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3DFE8E-DF6D-469A-B313-1962D490BBB4}"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F36" i="181"/>
  <c r="F35" i="181"/>
  <c r="F34" i="181"/>
  <c r="F3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G36" i="181"/>
  <c r="E36" i="18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E23" i="181"/>
  <c r="F23" i="181" s="1"/>
  <c r="G23" i="181" s="1"/>
  <c r="E22" i="181"/>
  <c r="F22" i="181" s="1"/>
  <c r="G22" i="181" s="1"/>
  <c r="E21" i="181"/>
  <c r="F21" i="181" s="1"/>
  <c r="G21" i="181" s="1"/>
  <c r="E20" i="181"/>
  <c r="E19" i="181"/>
  <c r="F19" i="181" s="1"/>
  <c r="G19" i="181" s="1"/>
  <c r="E18" i="181"/>
  <c r="F24" i="181" l="1"/>
  <c r="G24" i="181" s="1"/>
  <c r="F20" i="181"/>
  <c r="G20" i="181" s="1"/>
  <c r="F18" i="181"/>
  <c r="G18" i="181" s="1"/>
  <c r="D37" i="181"/>
  <c r="D80" i="36" l="1"/>
  <c r="B7797" i="106"/>
  <c r="E37" i="181"/>
  <c r="E17" i="181"/>
  <c r="F17" i="181" s="1"/>
  <c r="E16" i="181"/>
  <c r="F16" i="181" l="1"/>
  <c r="G16" i="181" s="1"/>
  <c r="G17"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B2977" i="106" s="1"/>
  <c r="D2977" i="106" s="1"/>
  <c r="K83" i="29"/>
  <c r="B2978" i="106" s="1"/>
  <c r="D2978" i="106" s="1"/>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D26" i="108"/>
  <c r="E26" i="108"/>
  <c r="F26" i="108"/>
  <c r="G26" i="108"/>
  <c r="D27" i="108"/>
  <c r="E27" i="108"/>
  <c r="F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33" i="118"/>
  <c r="J22" i="37"/>
  <c r="D24" i="37"/>
  <c r="B4270" i="106" s="1"/>
  <c r="D4270" i="106" s="1"/>
  <c r="L5" i="11"/>
  <c r="B2056" i="106" s="1"/>
  <c r="D2056" i="106" s="1"/>
  <c r="F14" i="4" l="1"/>
  <c r="B2597" i="106" s="1"/>
  <c r="D2597" i="106" s="1"/>
  <c r="F42" i="34"/>
  <c r="E38" i="108"/>
  <c r="F28" i="108"/>
  <c r="F41" i="108" s="1"/>
  <c r="G43" i="108" s="1"/>
  <c r="B7235" i="106"/>
  <c r="D7235" i="106" s="1"/>
  <c r="J41" i="3"/>
  <c r="H365" i="29"/>
  <c r="B7242" i="106" s="1"/>
  <c r="D7242" i="106" s="1"/>
  <c r="K76" i="4"/>
  <c r="B3586" i="106" s="1"/>
  <c r="D3586" i="106" s="1"/>
  <c r="K184" i="29"/>
  <c r="F13" i="4" s="1"/>
  <c r="B2596" i="106" s="1"/>
  <c r="D2596" i="106" s="1"/>
  <c r="G210" i="29"/>
  <c r="J77" i="4"/>
  <c r="B6262" i="106" s="1"/>
  <c r="D6262" i="106" s="1"/>
  <c r="D22" i="37"/>
  <c r="F50" i="34"/>
  <c r="G39" i="108"/>
  <c r="B6289" i="106"/>
  <c r="D6289" i="106" s="1"/>
  <c r="B2724" i="106"/>
  <c r="D2724" i="106" s="1"/>
  <c r="L13" i="11"/>
  <c r="B2060" i="106" s="1"/>
  <c r="D2060" i="106" s="1"/>
  <c r="C342" i="29"/>
  <c r="B7216" i="106" s="1"/>
  <c r="D7216" i="106" s="1"/>
  <c r="B3647" i="106"/>
  <c r="D3647"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D9" i="7"/>
  <c r="B1767" i="106" s="1"/>
  <c r="D1767" i="106" s="1"/>
  <c r="H29" i="118"/>
  <c r="K28" i="118" s="1"/>
  <c r="O27" i="118" s="1"/>
  <c r="O29" i="118" s="1"/>
  <c r="N22" i="3"/>
  <c r="B283" i="106" s="1"/>
  <c r="D283"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B1365" i="106"/>
  <c r="D1365" i="106" s="1"/>
  <c r="F65" i="34"/>
  <c r="F66" i="34"/>
  <c r="L16" i="11"/>
  <c r="B2061" i="106" s="1"/>
  <c r="D2061" i="106" s="1"/>
  <c r="B2031" i="106"/>
  <c r="D2031" i="106" s="1"/>
  <c r="N23" i="3"/>
  <c r="B284" i="106" s="1"/>
  <c r="D284" i="106" s="1"/>
  <c r="L114" i="29"/>
  <c r="F174" i="34"/>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<sst xmlns="http://schemas.openxmlformats.org/spreadsheetml/2006/main" count="5137" uniqueCount="2121">
  <si>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</si>
  <si>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</si>
  <si>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</si>
  <si>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</si>
  <si>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</si>
  <si>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</si>
  <si>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</si>
  <si>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</si>
  <si>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</si>
  <si>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</si>
  <si>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</si>
  <si>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</si>
  <si>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</si>
  <si>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</si>
  <si>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</si>
  <si>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</si>
  <si>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</si>
  <si>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</si>
  <si>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</si>
  <si>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</si>
  <si>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</si>
  <si>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</si>
  <si>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</si>
  <si>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</si>
  <si>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</si>
  <si>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</si>
  <si>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</si>
  <si>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</si>
  <si>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</si>
  <si>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</si>
  <si>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</si>
  <si>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</si>
  <si>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</si>
  <si>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</si>
  <si>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</si>
  <si>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</si>
  <si>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</si>
  <si>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</si>
  <si>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</si>
  <si>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</si>
  <si>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</si>
  <si>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</si>
  <si>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</si>
  <si>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</si>
  <si>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</si>
  <si>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</si>
  <si>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</si>
  <si>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</si>
  <si>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</si>
  <si>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</si>
  <si>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</si>
  <si>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</si>
  <si>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</si>
  <si>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</si>
  <si>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</si>
  <si>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</si>
  <si>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</si>
  <si>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</si>
  <si>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</si>
  <si>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</si>
  <si>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</si>
  <si>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</si>
  <si>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</si>
  <si>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</si>
  <si>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</si>
  <si>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</si>
  <si>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</si>
  <si>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</si>
  <si>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</si>
  <si>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</si>
  <si>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</si>
  <si>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</si>
  <si>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</si>
  <si>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</si>
  <si>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</si>
  <si>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</si>
  <si>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</si>
  <si>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</si>
  <si>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</si>
  <si>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</si>
  <si>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</si>
  <si>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</si>
  <si>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</si>
  <si>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</si>
  <si>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</si>
  <si>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</si>
  <si>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</si>
  <si>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</si>
  <si>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</si>
  <si>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</si>
  <si>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</si>
  <si>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</si>
  <si>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</si>
  <si>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</si>
  <si>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</si>
  <si>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</si>
  <si>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</si>
  <si>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</si>
  <si>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</si>
  <si>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</si>
  <si>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</si>
  <si>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</si>
  <si>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</si>
  <si>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</si>
  <si>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</si>
  <si>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</si>
  <si>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</si>
  <si>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</si>
  <si>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</si>
  <si>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</si>
  <si>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</si>
  <si>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</si>
  <si>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</si>
  <si>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</si>
  <si>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</si>
  <si>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</si>
  <si>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</si>
  <si>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</si>
  <si>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</si>
  <si>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</si>
  <si>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</si>
  <si>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</si>
  <si>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</si>
  <si>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</si>
  <si>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</si>
  <si>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</si>
  <si>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</si>
  <si>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</si>
  <si>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</si>
  <si>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</si>
  <si>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</si>
  <si>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</si>
  <si>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</si>
  <si>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</si>
  <si>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</si>
  <si>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</si>
  <si>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</si>
  <si>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</si>
  <si>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</si>
  <si>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</si>
  <si>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</si>
  <si>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</si>
  <si>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</si>
  <si>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</si>
  <si>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</si>
  <si>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</si>
  <si>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</si>
  <si>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</si>
  <si>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</si>
  <si>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</si>
  <si>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</si>
  <si>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</si>
  <si>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</si>
  <si>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</si>
  <si>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</si>
  <si>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</si>
  <si>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</si>
  <si>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</si>
  <si>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</si>
  <si>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</si>
  <si>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</si>
  <si>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</si>
  <si>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</si>
  <si>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</si>
  <si>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</si>
  <si>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</si>
  <si>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</si>
  <si>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</si>
  <si>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</si>
  <si>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</si>
  <si>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</si>
  <si>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</si>
  <si>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</si>
  <si>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</si>
  <si>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</si>
  <si>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</si>
  <si>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</si>
  <si>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</si>
  <si>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</si>
  <si>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</si>
  <si>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</si>
  <si>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</si>
  <si>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</si>
  <si>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</si>
  <si>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</si>
  <si>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</si>
  <si>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</si>
  <si>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</si>
  <si>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</si>
  <si>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</si>
  <si>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</si>
  <si>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</si>
  <si>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</si>
  <si>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</si>
  <si>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</si>
  <si>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</si>
  <si>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</si>
  <si>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</si>
  <si>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</si>
  <si>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</si>
  <si>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</si>
  <si>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</si>
  <si>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</si>
  <si>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</si>
  <si>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</si>
  <si>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</si>
  <si>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</si>
  <si>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</si>
  <si>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</si>
  <si>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</si>
  <si>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</si>
  <si>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</si>
  <si>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</si>
  <si>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</si>
  <si>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</si>
  <si>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</si>
  <si>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</si>
  <si>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</si>
  <si>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</si>
  <si>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</si>
  <si>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</si>
  <si>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</si>
  <si>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</si>
  <si>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</si>
  <si>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</si>
  <si>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</si>
  <si>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</si>
  <si>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</si>
  <si>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</si>
  <si>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</si>
  <si>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</si>
  <si>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</si>
  <si>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</si>
  <si>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</si>
  <si>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</si>
  <si>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</si>
  <si>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</si>
  <si>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</si>
  <si>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</si>
  <si>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</si>
  <si>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</si>
  <si>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</si>
  <si>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</si>
  <si>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</si>
  <si>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</si>
  <si>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</si>
  <si>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</si>
  <si>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</si>
  <si>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</si>
  <si>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</si>
  <si>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</si>
  <si>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</si>
  <si>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</si>
  <si>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</si>
  <si>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</si>
  <si>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</si>
  <si>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</si>
  <si>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</si>
  <si>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</si>
  <si>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</si>
  <si>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</si>
  <si>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</si>
  <si>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</si>
  <si>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</si>
  <si>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</si>
  <si>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</si>
  <si>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</si>
  <si>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</si>
  <si>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</si>
  <si>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</si>
  <si>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</si>
  <si>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</si>
  <si>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</si>
  <si>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</si>
  <si>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</si>
  <si>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</si>
  <si>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</si>
  <si>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</si>
  <si>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</si>
  <si>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</si>
  <si>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</si>
  <si>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</si>
  <si>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</si>
  <si>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</si>
  <si>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</si>
  <si>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</si>
  <si>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</si>
  <si>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</si>
  <si>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</si>
  <si>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</si>
  <si>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</si>
  <si>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</si>
  <si>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</si>
  <si>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</si>
  <si>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</si>
  <si>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</si>
  <si>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</si>
  <si>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</si>
  <si>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</si>
  <si>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</si>
  <si>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</si>
  <si>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</si>
  <si>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</si>
  <si>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</si>
  <si>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</si>
  <si>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</si>
  <si>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</si>
  <si>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</si>
  <si>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</si>
  <si>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</si>
  <si>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</si>
  <si>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</si>
  <si>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</si>
  <si>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</si>
  <si>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</si>
  <si>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</si>
  <si>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</si>
  <si>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</si>
  <si>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</si>
  <si>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</si>
  <si>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</si>
  <si>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</si>
  <si>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</si>
  <si>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</si>
  <si>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</si>
  <si>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</si>
  <si>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</si>
  <si>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</si>
  <si>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</si>
  <si>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</si>
  <si>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</si>
  <si>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</si>
  <si>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</si>
  <si>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</si>
  <si>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</si>
  <si>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</si>
  <si>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</si>
  <si>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</si>
  <si>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</si>
  <si>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</si>
  <si>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</si>
  <si>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</si>
  <si>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</si>
  <si>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</si>
  <si>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</si>
  <si>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</si>
  <si>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</si>
  <si>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</si>
  <si>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</si>
  <si>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</si>
  <si>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</si>
  <si>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</si>
  <si>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</si>
  <si>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</si>
  <si>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</si>
  <si>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</si>
  <si>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</si>
  <si>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</si>
  <si>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</si>
  <si>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</si>
  <si>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</si>
  <si>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</si>
  <si>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</si>
  <si>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</si>
  <si>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</si>
  <si>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</si>
  <si>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</si>
  <si>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</si>
  <si>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</si>
  <si>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</si>
  <si>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</si>
  <si>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</si>
  <si>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</si>
  <si>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</si>
  <si>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</si>
  <si>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</si>
  <si>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</si>
  <si>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</si>
  <si>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</si>
  <si>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</si>
  <si>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</si>
  <si>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</si>
  <si>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</si>
  <si>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</si>
  <si>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</si>
  <si>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</si>
  <si>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</si>
  <si>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</si>
  <si>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</si>
  <si>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</si>
  <si>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</si>
  <si>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</si>
  <si>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</si>
  <si>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</si>
  <si>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</si>
  <si>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</si>
  <si>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</si>
  <si>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</si>
  <si>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</si>
  <si>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</si>
  <si>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</si>
  <si>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</si>
  <si>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</si>
  <si>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</si>
  <si>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</si>
  <si>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</si>
  <si>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</si>
  <si>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</si>
  <si>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</si>
  <si>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</si>
  <si>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</si>
  <si>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</si>
  <si>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</si>
  <si>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</si>
  <si>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</si>
  <si>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</si>
  <si>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</si>
  <si>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</si>
  <si>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</si>
  <si>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</si>
  <si>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</si>
  <si>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</si>
  <si>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</si>
  <si>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</si>
  <si>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</si>
  <si>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</si>
  <si>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</si>
  <si>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</si>
  <si>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</si>
  <si>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</si>
  <si>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</si>
  <si>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</si>
  <si>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</si>
  <si>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</si>
  <si>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</si>
  <si>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</si>
  <si>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</si>
  <si>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</si>
  <si>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</si>
  <si>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</si>
  <si>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</si>
  <si>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</si>
  <si>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</si>
  <si>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</si>
  <si>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</si>
  <si>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</si>
  <si>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</si>
  <si>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</si>
  <si>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</si>
  <si>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</si>
  <si>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</si>
  <si>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</si>
  <si>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</si>
  <si>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</si>
  <si>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</si>
  <si>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</si>
  <si>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</si>
  <si>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</si>
  <si>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</si>
  <si>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</si>
  <si>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</si>
  <si>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</si>
  <si>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</si>
  <si>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</si>
  <si>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</si>
  <si>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</si>
  <si>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</si>
  <si>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</si>
  <si>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</si>
  <si>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</si>
  <si>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</si>
  <si>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</si>
  <si>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</si>
  <si>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</si>
  <si>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</si>
  <si>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</si>
  <si>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</si>
  <si>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</si>
  <si>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</si>
  <si>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</si>
  <si>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</si>
  <si>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</si>
  <si>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</si>
  <si>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</si>
  <si>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</si>
  <si>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</si>
  <si>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</si>
  <si>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</si>
  <si>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</si>
  <si>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</si>
  <si>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</si>
  <si>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</si>
  <si>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</si>
  <si>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</si>
  <si>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</si>
  <si>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</si>
  <si>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</si>
  <si>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</si>
  <si>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</si>
  <si>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</si>
  <si>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</si>
  <si>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</si>
  <si>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</si>
  <si>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</si>
  <si>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</si>
  <si>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</si>
  <si>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</si>
  <si>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</si>
  <si>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</si>
  <si>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</si>
  <si>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</si>
  <si>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</si>
  <si>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</si>
  <si>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</si>
  <si>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</si>
  <si>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</si>
  <si>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</si>
  <si>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</si>
  <si>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</si>
  <si>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</si>
  <si>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</si>
  <si>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</si>
  <si>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</si>
  <si>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</si>
  <si>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</si>
  <si>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</si>
  <si>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</si>
  <si>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</si>
  <si>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</si>
  <si>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</si>
  <si>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</si>
  <si>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</si>
  <si>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</si>
  <si>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</si>
  <si>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</si>
  <si>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</si>
  <si>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</si>
  <si>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</si>
  <si>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</si>
  <si>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</si>
  <si>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</si>
  <si>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</si>
  <si>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</si>
  <si>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</si>
  <si>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</si>
  <si>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</si>
  <si>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</si>
  <si>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</si>
  <si>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</si>
  <si>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</si>
  <si>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</si>
  <si>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</si>
  <si>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</si>
  <si>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</si>
  <si>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</si>
  <si>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</si>
  <si>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</si>
  <si>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</si>
  <si>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</si>
  <si>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</si>
  <si>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</si>
  <si>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</si>
  <si>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</si>
  <si>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</si>
  <si>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</si>
  <si>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</si>
  <si>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</si>
  <si>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</si>
  <si>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</si>
  <si>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</si>
  <si>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</si>
  <si>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</si>
  <si>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</si>
  <si>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</si>
  <si>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</si>
  <si>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</si>
  <si>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</si>
  <si>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</si>
  <si>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</si>
  <si>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</si>
  <si>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</si>
  <si>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</si>
  <si>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</si>
  <si>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</si>
  <si>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</si>
  <si>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</si>
  <si>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</si>
  <si>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</si>
  <si>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</si>
  <si>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</si>
  <si>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</si>
  <si>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</si>
  <si>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</si>
  <si>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</si>
  <si>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</si>
  <si>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</si>
  <si>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</si>
  <si>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</si>
  <si>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</si>
  <si>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</si>
  <si>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</si>
  <si>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</si>
  <si>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</si>
  <si>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</si>
  <si>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</si>
  <si>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</si>
  <si>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</si>
  <si>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</si>
  <si>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</si>
  <si>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</si>
  <si>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</si>
  <si>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</si>
  <si>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</si>
  <si>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</si>
  <si>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</si>
  <si>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</si>
  <si>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</si>
  <si>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</si>
  <si>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</si>
  <si>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</si>
  <si>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</si>
  <si>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</si>
  <si>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</si>
  <si>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</si>
  <si>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</si>
  <si>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</si>
  <si>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</si>
  <si>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</si>
  <si>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</si>
  <si>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</si>
  <si>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</si>
  <si>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</si>
  <si>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</si>
  <si>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</si>
  <si>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</si>
  <si>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</si>
  <si>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</si>
  <si>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</si>
  <si>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</si>
  <si>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</si>
  <si>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</si>
  <si>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</si>
  <si>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</si>
  <si>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</si>
  <si>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</si>
  <si>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</si>
  <si>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</si>
  <si>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</si>
  <si>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</si>
  <si>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</si>
  <si>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</si>
  <si>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</si>
  <si>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</si>
  <si>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</si>
  <si>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</si>
  <si>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</si>
  <si>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</si>
  <si>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</si>
  <si>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</si>
  <si>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</si>
  <si>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</si>
  <si>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</si>
  <si>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</si>
  <si>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</si>
  <si>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</si>
  <si>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</si>
  <si>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</si>
  <si>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</si>
  <si>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</si>
  <si>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</si>
  <si>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</si>
  <si>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</si>
  <si>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</si>
  <si>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</si>
  <si>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</si>
  <si>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</si>
  <si>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</si>
  <si>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</si>
  <si>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</si>
  <si>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</si>
  <si>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</si>
  <si>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</si>
  <si>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</si>
  <si>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</si>
  <si>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</si>
  <si>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</si>
  <si>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</si>
  <si>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</si>
  <si>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</si>
  <si>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</si>
  <si>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</si>
  <si>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</si>
  <si>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</si>
  <si>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</si>
  <si>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</si>
  <si>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</si>
  <si>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</si>
  <si>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</si>
  <si>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</si>
  <si>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</si>
  <si>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</si>
  <si>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</si>
  <si>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</si>
  <si>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</si>
  <si>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</si>
  <si>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</si>
  <si>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</si>
  <si>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</si>
  <si>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</si>
  <si>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</si>
  <si>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</si>
  <si>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</si>
  <si>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</si>
  <si>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</si>
  <si>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</si>
  <si>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</si>
  <si>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</si>
  <si>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</si>
  <si>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</si>
  <si>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</si>
  <si>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</si>
  <si>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</si>
  <si>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</si>
  <si>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</si>
  <si>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</si>
  <si>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</si>
  <si>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</si>
  <si>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</si>
  <si>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</si>
  <si>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</si>
  <si>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</si>
  <si>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</si>
  <si>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</si>
  <si>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</si>
  <si>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</si>
  <si>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</si>
  <si>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</si>
  <si>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</si>
  <si>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</si>
  <si>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</si>
  <si>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</si>
  <si>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</si>
  <si>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</si>
  <si>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</si>
  <si>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</si>
  <si>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</si>
  <si>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</si>
  <si>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</si>
  <si>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</si>
  <si>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</si>
  <si>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</si>
  <si>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</si>
  <si>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</si>
  <si>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</si>
  <si>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</si>
  <si>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</si>
  <si>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</si>
  <si>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</si>
  <si>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</si>
  <si>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</si>
  <si>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</si>
  <si>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</si>
  <si>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</si>
  <si>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</si>
  <si>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</si>
  <si>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</si>
  <si>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</si>
  <si>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</si>
  <si>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</si>
  <si>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</si>
  <si>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</si>
  <si>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</si>
  <si>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</si>
  <si>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</si>
  <si>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</si>
  <si>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</si>
  <si>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</si>
  <si>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</si>
  <si>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</si>
  <si>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</si>
  <si>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</si>
  <si>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</si>
  <si>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</si>
  <si>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</si>
  <si>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</si>
  <si>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</si>
  <si>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</si>
  <si>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</si>
  <si>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</si>
  <si>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</si>
  <si>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</si>
  <si>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</si>
  <si>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</si>
  <si>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</si>
  <si>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</si>
  <si>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</si>
  <si>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</si>
  <si>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</si>
  <si>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</si>
  <si>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</si>
  <si>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</si>
  <si>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</si>
  <si>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</si>
  <si>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</si>
  <si>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</si>
  <si>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</si>
  <si>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</si>
  <si>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</si>
  <si>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</si>
  <si>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</si>
  <si>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</si>
  <si>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</si>
  <si>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</si>
  <si>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</si>
  <si>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</si>
  <si>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</si>
  <si>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</si>
  <si>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</si>
  <si>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</si>
  <si>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</si>
  <si>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</si>
  <si>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</si>
  <si>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</si>
  <si>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</si>
  <si>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</si>
  <si>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</si>
  <si>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</si>
  <si>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</si>
  <si>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</si>
  <si>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</si>
  <si>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</si>
  <si>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</si>
  <si>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</si>
  <si>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</si>
  <si>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</si>
  <si>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</si>
  <si>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</si>
  <si>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</si>
  <si>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</si>
  <si>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</si>
  <si>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</si>
  <si>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</si>
  <si>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</si>
  <si>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</si>
  <si>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</si>
  <si>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</si>
  <si>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</si>
  <si>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</si>
  <si>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</si>
  <si>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</si>
  <si>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</si>
  <si>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</si>
  <si>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</si>
  <si>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</si>
  <si>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</si>
  <si>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</si>
  <si>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</si>
  <si>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</si>
  <si>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</si>
  <si>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</si>
  <si>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</si>
  <si>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</si>
  <si>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</si>
  <si>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</si>
  <si>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</si>
  <si>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</si>
  <si>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</si>
  <si>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</si>
  <si>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</si>
  <si>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</si>
  <si>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</si>
  <si>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</si>
  <si>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</si>
  <si>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</si>
  <si>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</si>
  <si>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</si>
  <si>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</si>
  <si>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</si>
  <si>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</si>
  <si>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</si>
  <si>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</si>
  <si>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</si>
  <si>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</si>
  <si>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</si>
  <si>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</si>
  <si>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</si>
  <si>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</si>
  <si>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</si>
  <si>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</si>
  <si>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</si>
  <si>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</si>
  <si>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</si>
  <si>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</si>
  <si>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</si>
  <si>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</si>
  <si>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</si>
  <si>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</si>
  <si>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</si>
  <si>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</si>
  <si>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</si>
  <si>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</si>
  <si>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</si>
  <si>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</si>
  <si>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</si>
  <si>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</si>
  <si>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</si>
  <si>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</si>
  <si>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</si>
  <si>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</si>
  <si>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</si>
  <si>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</si>
  <si>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</si>
  <si>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</si>
  <si>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</si>
  <si>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</si>
  <si>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</si>
  <si>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</si>
  <si>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</si>
  <si>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</si>
  <si>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</si>
  <si>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</si>
  <si>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</si>
  <si>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</si>
  <si>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</si>
  <si>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</si>
  <si>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</si>
  <si>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</si>
  <si>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</si>
  <si>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</si>
  <si>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</si>
  <si>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</si>
  <si>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</si>
  <si>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</si>
  <si>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</si>
  <si>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</si>
  <si>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</si>
  <si>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</si>
  <si>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</si>
  <si>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</si>
  <si>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</si>
  <si>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</si>
  <si>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</si>
  <si>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</si>
  <si>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</si>
  <si>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</si>
  <si>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</si>
  <si>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</si>
  <si>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</si>
  <si>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</si>
  <si>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</si>
  <si>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</si>
  <si>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</si>
  <si>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</si>
  <si>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</si>
  <si>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</si>
  <si>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</si>
  <si>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</si>
  <si>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</si>
  <si>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</si>
  <si>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</si>
  <si>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</si>
  <si>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</si>
  <si>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</si>
  <si>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</si>
  <si>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</si>
  <si>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</si>
  <si>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</si>
  <si>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</si>
  <si>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</si>
  <si>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</si>
  <si>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</si>
  <si>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</si>
  <si>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</si>
  <si>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</si>
  <si>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</si>
  <si>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</si>
  <si>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</si>
  <si>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</si>
  <si>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</si>
  <si>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</si>
  <si>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</si>
  <si>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</si>
  <si>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</si>
  <si>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</si>
  <si>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</si>
  <si>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</si>
  <si>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</si>
  <si>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</si>
  <si>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</si>
  <si>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</si>
  <si>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</si>
  <si>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</si>
  <si>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</si>
  <si>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</si>
  <si>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</si>
  <si>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</si>
  <si>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</si>
  <si>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</si>
  <si>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</si>
  <si>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</si>
  <si>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</si>
  <si>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</si>
  <si>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</si>
  <si>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</si>
  <si>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</si>
  <si>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</si>
  <si>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</si>
  <si>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</si>
  <si>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</si>
  <si>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</si>
  <si>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</si>
  <si>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</si>
  <si>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</si>
  <si>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</si>
  <si>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</si>
  <si>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</si>
  <si>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</si>
  <si>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</si>
  <si>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</si>
  <si>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</si>
  <si>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</si>
  <si>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</si>
  <si>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</si>
  <si>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</si>
  <si>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</si>
  <si>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</si>
  <si>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</si>
  <si>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</si>
  <si>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</si>
  <si>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</si>
  <si>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</si>
  <si>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</si>
  <si>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</si>
  <si>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</si>
  <si>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</si>
  <si>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</si>
  <si>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</si>
  <si>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</si>
  <si>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</si>
  <si>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</si>
  <si>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</si>
  <si>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</si>
  <si>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</si>
  <si>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</si>
  <si>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</si>
  <si>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</si>
  <si>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</si>
  <si>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</si>
  <si>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</si>
  <si>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</si>
  <si>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</si>
  <si>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</si>
  <si>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</si>
  <si>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</si>
  <si>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</si>
  <si>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</si>
  <si>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</si>
  <si>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</si>
  <si>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</si>
  <si>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</si>
  <si>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</si>
  <si>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</si>
  <si>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</si>
  <si>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</si>
  <si>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</si>
  <si>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</si>
  <si>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</si>
  <si>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</si>
  <si>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</si>
  <si>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</si>
  <si>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</si>
  <si>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</si>
  <si>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</si>
  <si>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</si>
  <si>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</si>
  <si>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</si>
  <si>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</si>
  <si>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</si>
  <si>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</si>
  <si>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</si>
  <si>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</si>
  <si>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</si>
  <si>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</si>
  <si>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</si>
  <si>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</si>
  <si>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</si>
  <si>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</si>
  <si>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</si>
  <si>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</si>
  <si>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</si>
  <si>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</si>
  <si>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</si>
  <si>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</si>
  <si>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</si>
  <si>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</si>
  <si>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</si>
  <si>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</si>
  <si>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</si>
  <si>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</si>
  <si>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</si>
  <si>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</si>
  <si>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</si>
  <si>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</si>
  <si>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</si>
  <si>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</si>
  <si>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</si>
  <si>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</si>
  <si>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</si>
  <si>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</si>
  <si>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</si>
  <si>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</si>
  <si>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</si>
  <si>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</si>
  <si>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</si>
  <si>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</si>
  <si>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</si>
  <si>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</si>
  <si>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</si>
  <si>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</si>
  <si>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</si>
  <si>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</si>
  <si>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</si>
  <si>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</si>
  <si>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</si>
  <si>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</si>
  <si>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</si>
  <si>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</si>
  <si>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</si>
  <si>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</si>
  <si>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</si>
  <si>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</si>
  <si>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</si>
  <si>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</si>
  <si>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</si>
  <si>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</si>
  <si>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</si>
  <si>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</si>
  <si>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</si>
  <si>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</si>
  <si>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</si>
  <si>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</si>
  <si>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</si>
  <si>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</si>
  <si>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</si>
  <si>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</si>
  <si>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</si>
  <si>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</si>
  <si>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</si>
  <si>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</si>
  <si>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</si>
  <si>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</si>
  <si>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</si>
  <si>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</si>
  <si>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</si>
  <si>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</si>
  <si>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</si>
  <si>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</si>
  <si>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</si>
  <si>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</si>
  <si>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</si>
  <si>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</si>
  <si>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</si>
  <si>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</si>
  <si>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</si>
  <si>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</si>
  <si>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</si>
  <si>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</si>
  <si>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</si>
  <si>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</si>
  <si>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</si>
  <si>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</si>
  <si>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</si>
  <si>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</si>
  <si>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</si>
  <si>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</si>
  <si>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</si>
  <si>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</si>
  <si>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</si>
  <si>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</si>
  <si>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</si>
  <si>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</si>
  <si>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</si>
  <si>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</si>
  <si>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</si>
  <si>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</si>
  <si>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</si>
  <si>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</si>
  <si>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</si>
  <si>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</si>
  <si>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</si>
  <si>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</si>
  <si>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</si>
  <si>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</si>
  <si>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</si>
  <si>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</si>
  <si>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</si>
  <si>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</si>
  <si>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</si>
  <si>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</si>
  <si>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</si>
  <si>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</si>
  <si>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</si>
  <si>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</si>
  <si>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</si>
  <si>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</si>
  <si>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</si>
  <si>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</si>
  <si>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</si>
  <si>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</si>
  <si>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</si>
  <si>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</si>
  <si>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</si>
  <si>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</si>
  <si>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</si>
  <si>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</si>
  <si>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</si>
  <si>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</si>
  <si>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</si>
  <si>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</si>
  <si>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</si>
  <si>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</si>
  <si>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</si>
  <si>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</si>
  <si>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</si>
  <si>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</si>
  <si>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</si>
  <si>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</si>
  <si>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</si>
  <si>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</si>
  <si>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</si>
  <si>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</si>
  <si>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</si>
  <si>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</si>
  <si>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</si>
  <si>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</si>
  <si>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</si>
  <si>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</si>
  <si>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</si>
  <si>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</si>
  <si>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</si>
  <si>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</si>
  <si>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</si>
  <si>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</si>
  <si>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</si>
  <si>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</si>
  <si>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</si>
  <si>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</si>
  <si>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</si>
  <si>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</si>
  <si>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</si>
  <si>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</si>
  <si>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</si>
  <si>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</si>
  <si>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</si>
  <si>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</si>
  <si>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</si>
  <si>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</si>
  <si>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</si>
  <si>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</si>
  <si>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</si>
  <si>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</si>
  <si>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</si>
  <si>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</si>
  <si>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</si>
  <si>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</si>
  <si>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</si>
  <si>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</si>
  <si>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</si>
  <si>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</si>
  <si>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</si>
  <si>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</si>
  <si>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</si>
  <si>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</si>
  <si>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</si>
  <si>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</si>
  <si>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</si>
  <si>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</si>
  <si>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</si>
  <si>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</si>
  <si>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</si>
  <si>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</si>
  <si>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</si>
  <si>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</si>
  <si>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</si>
  <si>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</si>
  <si>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</si>
  <si>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</si>
  <si>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</si>
  <si>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</si>
  <si>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</si>
  <si>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</si>
  <si>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</si>
  <si>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</si>
  <si>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</si>
  <si>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</si>
  <si>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</si>
  <si>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</si>
  <si>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</si>
  <si>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</si>
  <si>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</si>
  <si>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</si>
  <si>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</si>
  <si>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</si>
  <si>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</si>
  <si>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</si>
  <si>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</si>
  <si>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</si>
  <si>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</si>
  <si>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</si>
  <si>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</si>
  <si>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</si>
  <si>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</si>
  <si>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</si>
  <si>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</si>
  <si>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</si>
  <si>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</si>
  <si>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</si>
  <si>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</si>
  <si>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</si>
  <si>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</si>
  <si>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</si>
  <si>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</si>
  <si>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</si>
  <si>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</si>
  <si>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</si>
  <si>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</si>
  <si>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</si>
  <si>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</si>
  <si>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</si>
  <si>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</si>
  <si>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</si>
  <si>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</si>
  <si>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</si>
  <si>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</si>
  <si>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</si>
  <si>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</si>
  <si>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</si>
  <si>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</si>
  <si>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</si>
  <si>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</si>
  <si>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</si>
  <si>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</si>
  <si>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</si>
  <si>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</si>
  <si>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</si>
  <si>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</si>
  <si>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</si>
  <si>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</si>
  <si>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</si>
  <si>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</si>
  <si>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</si>
  <si>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</si>
  <si>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</si>
  <si>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</si>
  <si>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</si>
  <si>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</si>
  <si>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</si>
  <si>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</si>
  <si>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</si>
  <si>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</si>
  <si>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</si>
  <si>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</si>
  <si>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</si>
  <si>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</si>
  <si>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</si>
  <si>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</si>
  <si>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</si>
  <si>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</si>
  <si>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</si>
  <si>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</si>
  <si>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</si>
  <si>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</si>
  <si>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</si>
  <si>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</si>
  <si>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</si>
  <si>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</si>
  <si>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</si>
  <si>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</si>
  <si>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</si>
  <si>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</si>
  <si>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</si>
  <si>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</si>
  <si>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</si>
  <si>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</si>
  <si>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</si>
  <si>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</si>
  <si>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</si>
  <si>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</si>
  <si>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</si>
  <si>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</si>
  <si>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</si>
  <si>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</si>
  <si>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</si>
  <si>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</si>
  <si>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</si>
  <si>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</si>
  <si>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</si>
  <si>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</si>
  <si>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</si>
  <si>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</si>
  <si>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</si>
  <si>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</si>
  <si>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</si>
  <si>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</si>
  <si>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</si>
  <si>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</si>
  <si>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</si>
  <si>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</si>
  <si>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</si>
  <si>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</si>
  <si>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</si>
  <si>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</si>
  <si>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</si>
  <si>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</si>
  <si>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</si>
  <si>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</si>
  <si>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</si>
  <si>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</si>
  <si>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</si>
  <si>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</si>
  <si>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</si>
  <si>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</si>
  <si>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</si>
  <si>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</si>
  <si>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</si>
  <si>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</si>
  <si>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</si>
  <si>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</si>
  <si>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</si>
  <si>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</si>
  <si>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</si>
  <si>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</si>
  <si>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</si>
  <si>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</si>
  <si>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</si>
  <si>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</si>
  <si>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</si>
  <si>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</si>
  <si>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</si>
  <si>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</si>
  <si>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</si>
  <si>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</si>
  <si>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</si>
  <si>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</si>
  <si>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</si>
  <si>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</si>
  <si>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</si>
  <si>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</si>
  <si>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</si>
  <si>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</si>
  <si>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</si>
  <si>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</si>
  <si>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</si>
  <si>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</si>
  <si>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</si>
  <si>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</si>
  <si>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</si>
  <si>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</si>
  <si>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</si>
  <si>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</si>
  <si>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</si>
  <si>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</si>
  <si>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</si>
  <si>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</si>
  <si>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</si>
  <si>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</si>
  <si>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</si>
  <si>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</si>
  <si>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</si>
  <si>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</si>
  <si>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</si>
  <si>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</si>
  <si>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</si>
  <si>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</si>
  <si>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</si>
  <si>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</si>
  <si>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</si>
  <si>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</si>
  <si>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</si>
  <si>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</si>
  <si>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</si>
  <si>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</si>
  <si>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</si>
  <si>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</si>
  <si>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</si>
  <si>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</si>
  <si>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</si>
  <si>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</si>
  <si>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</si>
  <si>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</si>
  <si>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</si>
  <si>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</si>
  <si>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</si>
  <si>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</si>
  <si>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</si>
  <si>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</si>
  <si>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</si>
  <si>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</si>
  <si>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</si>
  <si>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</si>
  <si>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</si>
  <si>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</si>
  <si>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</si>
  <si>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</si>
  <si>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</si>
  <si>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</si>
  <si>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</si>
  <si>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</si>
  <si>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</si>
  <si>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</si>
  <si>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</si>
  <si>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</si>
  <si>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</si>
  <si>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</si>
  <si>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</si>
  <si>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</si>
  <si>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</si>
  <si>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</si>
  <si>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</si>
  <si>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</si>
  <si>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</si>
  <si>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</si>
  <si>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</si>
  <si>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</si>
  <si>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</si>
  <si>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</si>
  <si>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</si>
  <si>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</si>
  <si>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</si>
  <si>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</si>
  <si>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</si>
  <si>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</si>
  <si>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</si>
  <si>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</si>
  <si>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</si>
  <si>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</si>
  <si>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</si>
  <si>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</si>
  <si>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</si>
  <si>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</si>
  <si>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</si>
  <si>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</si>
  <si>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</si>
  <si>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</si>
  <si>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</si>
  <si>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</si>
  <si>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</si>
  <si>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</si>
  <si>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</si>
  <si>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</si>
  <si>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</si>
  <si>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</si>
  <si>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</si>
  <si>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</si>
  <si>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</si>
  <si>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</si>
  <si>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</si>
  <si>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</si>
  <si>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</si>
  <si>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</si>
  <si>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</si>
  <si>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</si>
  <si>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</si>
  <si>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</si>
  <si>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</si>
  <si>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</si>
  <si>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</si>
  <si>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</si>
  <si>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</si>
  <si>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</si>
  <si>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</si>
  <si>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</si>
  <si>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</si>
  <si>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</si>
  <si>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</si>
  <si>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</si>
  <si>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</si>
  <si>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</si>
  <si>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</si>
  <si>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</si>
  <si>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</si>
  <si>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</si>
  <si>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</si>
  <si>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</si>
  <si>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</si>
  <si>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</si>
  <si>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</si>
  <si>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</si>
  <si>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</si>
  <si>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</si>
  <si>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</si>
  <si>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</si>
  <si>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</si>
  <si>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</si>
  <si>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</si>
  <si>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</si>
  <si>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</si>
  <si>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</si>
  <si>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</si>
  <si>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</si>
  <si>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</si>
  <si>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</si>
  <si>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</si>
  <si>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</si>
  <si>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</si>
  <si>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</si>
  <si>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</si>
  <si>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</si>
  <si>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</si>
  <si>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</si>
  <si>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</si>
  <si>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</si>
  <si>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</si>
  <si>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</si>
  <si>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</si>
  <si>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</si>
  <si>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</si>
  <si>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</si>
  <si>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</si>
  <si>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</si>
  <si>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</si>
  <si>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</si>
  <si>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</si>
  <si>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</si>
  <si>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</si>
  <si>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</si>
  <si>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</si>
  <si>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</si>
  <si>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</si>
  <si>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</si>
  <si>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</si>
  <si>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</si>
  <si>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</si>
  <si>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</si>
  <si>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</si>
  <si>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</si>
  <si>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</si>
  <si>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</si>
  <si>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</si>
  <si>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</si>
  <si>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</si>
  <si>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</si>
  <si>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</si>
  <si>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</si>
  <si>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</si>
  <si>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</si>
  <si>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</si>
  <si>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</si>
  <si>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</si>
  <si>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</si>
  <si>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</si>
  <si>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</si>
  <si>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</si>
  <si>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</si>
  <si>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</si>
  <si>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</si>
  <si>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</si>
  <si>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</si>
  <si>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</si>
  <si>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</si>
  <si>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</si>
  <si>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</si>
  <si>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</si>
  <si>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</si>
  <si>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</si>
  <si>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</si>
  <si>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</si>
  <si>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</si>
  <si>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</si>
  <si>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</si>
  <si>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</si>
  <si>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</si>
  <si>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</si>
  <si>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</si>
  <si>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</si>
  <si>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</si>
  <si>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</si>
  <si>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</si>
  <si>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</si>
  <si>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</si>
  <si>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</si>
  <si>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</si>
  <si>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</si>
  <si>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</si>
  <si>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</si>
  <si>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</si>
  <si>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</si>
  <si>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</si>
  <si>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</si>
  <si>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</si>
  <si>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</si>
  <si>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</si>
  <si>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</si>
  <si>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</si>
  <si>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</si>
  <si>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</si>
  <si>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</si>
  <si>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</si>
  <si>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</si>
  <si>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</si>
  <si>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</si>
  <si>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</si>
  <si>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</si>
  <si>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</si>
  <si>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</si>
  <si>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</si>
  <si>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</si>
  <si>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</si>
  <si>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</si>
  <si>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</si>
  <si>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</si>
  <si>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</si>
  <si>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</si>
  <si>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</si>
  <si>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</si>
  <si>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</si>
  <si>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</si>
  <si>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</si>
  <si>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</si>
  <si>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</si>
  <si>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</si>
  <si>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</si>
  <si>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</si>
  <si>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</si>
  <si>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</si>
  <si>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</si>
  <si>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</si>
  <si>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</si>
  <si>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</si>
  <si>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</si>
  <si>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</si>
  <si>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</si>
  <si>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</si>
  <si>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</si>
  <si>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</si>
  <si>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</si>
  <si>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</si>
  <si>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</si>
  <si>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</si>
  <si>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</si>
  <si>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</si>
  <si>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</si>
  <si>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</si>
  <si>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</si>
  <si>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</si>
  <si>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</si>
  <si>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</si>
  <si>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</si>
  <si>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</si>
  <si>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</si>
  <si>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</si>
  <si>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</si>
  <si>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</si>
  <si>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</si>
  <si>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</si>
  <si>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</si>
  <si>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</si>
  <si>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</si>
  <si>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</si>
  <si>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</si>
  <si>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</si>
  <si>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</si>
  <si>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</si>
  <si>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</si>
  <si>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</si>
  <si>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</si>
  <si>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</si>
  <si>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</si>
  <si>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</si>
  <si>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</si>
  <si>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</si>
  <si>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</si>
  <si>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</si>
  <si>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</si>
  <si>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</si>
  <si>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</si>
  <si>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</si>
  <si>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</si>
  <si>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</si>
  <si>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</si>
  <si>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</si>
  <si>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</si>
  <si>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</si>
  <si>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</si>
  <si>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</si>
  <si>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</si>
  <si>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</si>
  <si>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</si>
  <si>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</si>
  <si>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</si>
  <si>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</si>
  <si>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</si>
  <si>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</si>
  <si>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</si>
  <si>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</si>
  <si>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</si>
  <si>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</si>
  <si>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</si>
  <si>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</si>
  <si>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</si>
  <si>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</si>
  <si>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</si>
  <si>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</si>
  <si>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</si>
  <si>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</si>
  <si>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</si>
  <si>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</si>
  <si>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</si>
  <si>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</si>
  <si>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</si>
  <si>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</si>
  <si>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</si>
  <si>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</si>
  <si>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</si>
  <si>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</si>
  <si>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</si>
  <si>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</si>
  <si>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</si>
  <si>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</si>
  <si>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</si>
  <si>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</si>
  <si>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</si>
  <si>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</si>
  <si>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</si>
  <si>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</si>
  <si>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</si>
  <si>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</si>
  <si>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</si>
  <si>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</si>
  <si>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</si>
  <si>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</si>
  <si>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</si>
  <si>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</si>
  <si>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</si>
  <si>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</si>
  <si>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</si>
  <si>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</si>
  <si>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</si>
  <si>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</si>
  <si>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</si>
  <si>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</si>
  <si>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</si>
  <si>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</si>
  <si>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</si>
  <si>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</si>
  <si>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</si>
  <si>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</si>
  <si>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</si>
  <si>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</si>
  <si>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</si>
  <si>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</si>
  <si>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</si>
  <si>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</si>
  <si>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</si>
  <si>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</si>
  <si>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</si>
  <si>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</si>
  <si>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</si>
  <si>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</si>
  <si>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</si>
  <si>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</si>
  <si>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</si>
  <si>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</si>
  <si>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</si>
  <si>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</si>
  <si>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</si>
  <si>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</si>
  <si>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</si>
  <si>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</si>
  <si>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</si>
  <si>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</si>
  <si>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</si>
  <si>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</si>
  <si>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</si>
  <si>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</si>
  <si>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</si>
  <si>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</si>
  <si>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</si>
  <si>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</si>
  <si>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</si>
  <si>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</si>
  <si>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</si>
  <si>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</si>
  <si>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</si>
  <si>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</si>
  <si>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</si>
  <si>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</si>
  <si>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</si>
  <si>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</si>
  <si>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</si>
  <si>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</si>
  <si>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</si>
  <si>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</si>
  <si>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</si>
  <si>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</si>
  <si>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</si>
  <si>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</si>
  <si>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</si>
  <si>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</si>
  <si>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</si>
  <si>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</si>
  <si>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</si>
  <si>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</si>
  <si>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</si>
  <si>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</si>
  <si>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</si>
  <si>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</si>
  <si>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</si>
  <si>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</si>
  <si>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</si>
  <si>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</si>
  <si>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</si>
  <si>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</si>
  <si>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</si>
  <si>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</si>
  <si>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</si>
  <si>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</si>
  <si>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</si>
  <si>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</si>
  <si>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</si>
  <si>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</si>
  <si>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</si>
  <si>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</si>
  <si>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</si>
  <si>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</si>
  <si>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</si>
  <si>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</si>
  <si>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</si>
  <si>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</si>
  <si>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</si>
  <si>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</si>
  <si>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</si>
  <si>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</si>
  <si>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</si>
  <si>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</si>
  <si>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</si>
  <si>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</si>
  <si>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</si>
  <si>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</si>
  <si>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</si>
  <si>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</si>
  <si>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</si>
  <si>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</si>
  <si>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</si>
  <si>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</si>
  <si>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</si>
  <si>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</si>
  <si>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</si>
  <si>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</si>
  <si>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</si>
  <si>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</si>
  <si>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</si>
  <si>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</si>
  <si>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</si>
  <si>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</si>
  <si>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</si>
  <si>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</si>
  <si>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</si>
  <si>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</si>
  <si>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</si>
  <si>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</si>
  <si>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</si>
  <si>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</si>
  <si>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</si>
  <si>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</si>
  <si>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</si>
  <si>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</si>
  <si>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</si>
  <si>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</si>
  <si>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</si>
  <si>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</si>
  <si>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</si>
  <si>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</si>
  <si>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</si>
  <si>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</si>
  <si>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</si>
  <si>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</si>
  <si>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</si>
  <si>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</si>
  <si>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</si>
  <si>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</si>
  <si>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</si>
  <si>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</si>
  <si>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</si>
  <si>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</si>
  <si>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</si>
  <si>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</si>
  <si>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</si>
  <si>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</si>
  <si>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</si>
  <si>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</si>
  <si>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</si>
  <si>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</si>
  <si>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</si>
  <si>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</si>
  <si>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</si>
  <si>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</si>
  <si>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</si>
  <si>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</si>
  <si>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</si>
  <si>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</si>
  <si>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</si>
  <si>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</si>
  <si>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</si>
  <si>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</si>
  <si>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</si>
  <si>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</si>
  <si>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</si>
  <si>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</si>
  <si>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</si>
  <si>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</si>
  <si>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</si>
  <si>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</si>
  <si>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</si>
  <si>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</si>
  <si>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</si>
  <si>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</si>
  <si>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</si>
  <si>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</si>
  <si>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</si>
  <si>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</si>
  <si>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</si>
  <si>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</si>
  <si>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</si>
  <si>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</si>
  <si>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</si>
  <si>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</si>
  <si>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</si>
  <si>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</si>
  <si>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</si>
  <si>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</si>
  <si>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</si>
  <si>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</si>
  <si>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</si>
  <si>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</si>
  <si>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</si>
  <si>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</si>
  <si>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</si>
  <si>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</si>
  <si>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</si>
  <si>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</si>
  <si>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</si>
  <si>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</si>
  <si>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</si>
  <si>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</si>
  <si>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</si>
  <si>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</si>
  <si>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</si>
  <si>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</si>
  <si>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</si>
  <si>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</si>
  <si>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</si>
  <si>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</si>
  <si>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</si>
  <si>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</si>
  <si>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</si>
  <si>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</si>
  <si>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</si>
  <si>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</si>
  <si>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</si>
  <si>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</si>
  <si>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</si>
  <si>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</si>
  <si>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</si>
  <si>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</si>
  <si>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Wayne</t>
  </si>
  <si>
    <t>806 North First Street</t>
  </si>
  <si>
    <t xml:space="preserve">Fairfield </t>
  </si>
  <si>
    <t>Dr. Scott England</t>
  </si>
  <si>
    <t>618-842-6501</t>
  </si>
  <si>
    <t>618-842-2892</t>
  </si>
  <si>
    <t>Leymone Hardcastle &amp; Co., Ltd</t>
  </si>
  <si>
    <t>Sara E. Hanks, CPA</t>
  </si>
  <si>
    <t>200 West Main Street</t>
  </si>
  <si>
    <t>Salem</t>
  </si>
  <si>
    <t>IL</t>
  </si>
  <si>
    <t>618-548-1002</t>
  </si>
  <si>
    <t>618-548-1018</t>
  </si>
  <si>
    <t>060-001832</t>
  </si>
  <si>
    <t>10-1819 Rentals Other - Tech Fee ($3,540)</t>
  </si>
  <si>
    <t>10-1999 Other Income Reimbursement ($405)</t>
  </si>
  <si>
    <t>10-3999 State Library Grant ($750)</t>
  </si>
  <si>
    <t>10-3299  Elementary Career Development Program ($623)</t>
  </si>
  <si>
    <t>20-1999  Other Income ($20)</t>
  </si>
  <si>
    <t>40-1999  Other Income ($200)</t>
  </si>
  <si>
    <t>2010B - Taxable General Obligation Bonds</t>
  </si>
  <si>
    <t>2016 - Taxable General Obligation Refunding Bonds</t>
  </si>
  <si>
    <t>2018 Bluebird Buses (2)</t>
  </si>
  <si>
    <t>Capital Bus Lease</t>
  </si>
  <si>
    <t>2018 Micro Bird Bus</t>
  </si>
  <si>
    <t>Schedule of Restricted Local Tax Levies and Selected Revenue Sources:  Other Receipts - Special Education Orphanage Individual ($25,236)</t>
  </si>
  <si>
    <t>Schedule of Capital Outlay and Depreciation:  Less Depreciation Deletions column - 5 Yr Schedule - includes $16,732 correction for FY 2018 depreciation</t>
  </si>
  <si>
    <t>Jasper SD 17/New Hope SD 6/FCHS SD 225/Geff SD 14</t>
  </si>
  <si>
    <t>Wabash Ohio Valley Special Education District</t>
  </si>
  <si>
    <t>30-5400 (600)  B&amp;I Admin Fees ($800)</t>
  </si>
  <si>
    <t>ERROR on Long-Term Debt (Principal) Retired - bus lease payments paid out of the Transportation Fund ($39,756)</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</si>
  <si>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</si>
  <si>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</si>
  <si>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the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</si>
  <si>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</si>
  <si>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</si>
  <si>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cost/benefit, we do not recommend any changes at this time.  We will continue to work with the District to ensure that both management and the Board of Education have a thorough understanding of these financial statements and disclosures.</t>
  </si>
  <si>
    <t>Due to cost/benefit of addressing this issue, no action is planned at this time.</t>
  </si>
  <si>
    <t>Internal controls are designed to allow management or employees, in the nomal course of performing their assigned duties to prevent, detect, or correct material misstatements and safeguard assets.  A good concept of an internal control system is adequate segregation of duties.</t>
  </si>
  <si>
    <t>One individual is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t>
  </si>
  <si>
    <t>All District accounting and financial records are maintained by one individual.</t>
  </si>
  <si>
    <t>Accounting functions would idealy be segregated among the different individuals within the organization to allow for a more controlled system of checks and balances, rather than the responsibility of a single individual, as is currently the District's procedure.</t>
  </si>
  <si>
    <t>The District is financially unable to hire additional staff because of limited funding opportunities.</t>
  </si>
  <si>
    <t>Within a small governmental entity, segregation of duties is often difficult to accomplish.  Management should focus on specific areas that could improve the segregation of duties, including, but not limited to, hiring additional personnel.</t>
  </si>
  <si>
    <t>The District currently relies on budgetary controls and oversight by the Board of Education to help mitigate the affects of the limited number of accounting personnel.  The District will review the internal control system on an annual basis and when it is cost efficient and funding is available, the District will make every attempt to hire additional personnel.</t>
  </si>
  <si>
    <t>The District issued Series 2016 Taxable General Obligation Refunding School Bonds February 26, 2016 as a direct purchase by the District's Education Fund of $287,900.  The debt service schedule was to be paid December 1, 2016 principal of $287,900 and interest of $5,498.09.</t>
  </si>
  <si>
    <t>The District did not follow the Debt Service Requirements of the Series 2016 Taxable General Obligation Refunding School Bonds.</t>
  </si>
  <si>
    <t>The District is not in compliance with the Debt Service Requirements of the Series 2016 Taxable General Obligation Refunding School Bonds.  The potential effect of this finding could be the District be denied further bond issues in the future.</t>
  </si>
  <si>
    <t>The 2015 bond levy was to be increased for the bond issue.  However, the levy was never increased causing this bond issue to not be included in the levy and therefore no monies available to pay down the debt as scheduled on December 1, 2016.  The District paid what they could to principal and interest in FY 2017 and to principal in FY 2018 and FY 2019.</t>
  </si>
  <si>
    <t>We recommend the District to comply with Debt Service requirements.</t>
  </si>
  <si>
    <t xml:space="preserve">The District will continue to pay down the principal to the Education Fund as the current Debt Service levy allows. </t>
  </si>
  <si>
    <t>The District has not paid the principal amount to the Education Fund as scheduled in FY 2017.  In FY 2017, only $76,900 of principal and $5,498.09 of interest was paid to the Education Fund.  In FY 2018  and 2019, respectively, $76,500 and $67,250 of principal was paid to the Education Fund.  The principal outstanding due to the Education Fund at 6/30/19 is $67,250.</t>
  </si>
  <si>
    <t>Sodexo</t>
  </si>
  <si>
    <t>ED-Food Services-Purchased Services</t>
  </si>
  <si>
    <t>10-2560-300</t>
  </si>
  <si>
    <t>Fairfield PSD 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</si>
</sst>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1</xdr:row>
          <xdr:rowOff>112567</xdr:rowOff>
        </xdr:from>
        <xdr:to>
          <xdr:col>1</xdr:col>
          <xdr:colOff>1113559</xdr:colOff>
          <xdr:row>5</xdr:row>
          <xdr:rowOff>150667</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1272887</xdr:colOff>
          <xdr:row>1</xdr:row>
          <xdr:rowOff>121227</xdr:rowOff>
        </xdr:from>
        <xdr:to>
          <xdr:col>1</xdr:col>
          <xdr:colOff>2183823</xdr:colOff>
          <xdr:row>5</xdr:row>
          <xdr:rowOff>159327</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4" t="s">
        <v>405</v>
      </c>
      <c r="J1" s="2015"/>
      <c r="K1" s="2015"/>
      <c r="L1" s="2015"/>
      <c r="M1" s="2015"/>
      <c r="N1" s="2015"/>
      <c r="O1" s="2015"/>
      <c r="P1" s="2015"/>
      <c r="Q1" s="2015"/>
      <c r="R1" s="2015"/>
      <c r="S1" s="2015"/>
    </row>
    <row r="2" spans="1:28" ht="12" customHeight="1" x14ac:dyDescent="0.2">
      <c r="A2" s="47" t="s">
        <v>1992</v>
      </c>
      <c r="D2" s="48"/>
      <c r="I2" s="2016" t="s">
        <v>979</v>
      </c>
      <c r="J2" s="2015"/>
      <c r="K2" s="2015"/>
      <c r="L2" s="2015"/>
      <c r="M2" s="2015"/>
      <c r="N2" s="2015"/>
      <c r="O2" s="2015"/>
      <c r="P2" s="2015"/>
      <c r="Q2" s="2015"/>
      <c r="R2" s="2015"/>
      <c r="S2" s="2015"/>
    </row>
    <row r="3" spans="1:28" ht="12" customHeight="1" x14ac:dyDescent="0.2">
      <c r="A3" s="155" t="s">
        <v>1944</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20096112004</v>
      </c>
      <c r="B13" s="1985"/>
      <c r="C13" s="1985"/>
      <c r="D13" s="1985"/>
      <c r="E13" s="1985"/>
      <c r="F13" s="1985"/>
      <c r="G13" s="1985"/>
      <c r="H13" s="1986"/>
      <c r="I13" s="31"/>
      <c r="J13" s="30"/>
      <c r="K13" s="28"/>
      <c r="L13" s="30"/>
      <c r="M13" s="30"/>
      <c r="N13" s="30"/>
      <c r="O13" s="30"/>
      <c r="P13" s="30"/>
      <c r="Q13" s="30"/>
      <c r="R13" s="30"/>
      <c r="S13" s="30"/>
      <c r="T13" s="1989" t="s">
        <v>2071</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2065</v>
      </c>
      <c r="B15" s="1987"/>
      <c r="C15" s="1987"/>
      <c r="D15" s="1987"/>
      <c r="E15" s="1987"/>
      <c r="F15" s="1987"/>
      <c r="G15" s="1987"/>
      <c r="H15" s="1988"/>
      <c r="T15" s="1950" t="s">
        <v>2072</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2120</v>
      </c>
      <c r="B17" s="2012"/>
      <c r="C17" s="2012"/>
      <c r="D17" s="2012"/>
      <c r="E17" s="2012"/>
      <c r="F17" s="2012"/>
      <c r="G17" s="2012"/>
      <c r="H17" s="2013"/>
      <c r="T17" s="1999" t="s">
        <v>2073</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2066</v>
      </c>
      <c r="B19" s="1983"/>
      <c r="C19" s="1983"/>
      <c r="D19" s="1983"/>
      <c r="E19" s="1983"/>
      <c r="F19" s="1983"/>
      <c r="G19" s="1983"/>
      <c r="H19" s="1981"/>
      <c r="I19" s="30"/>
      <c r="J19" s="99"/>
      <c r="K19" s="40"/>
      <c r="L19" s="38"/>
      <c r="M19" s="112" t="s">
        <v>315</v>
      </c>
      <c r="P19" s="27"/>
      <c r="Q19" s="27"/>
      <c r="R19" s="27"/>
      <c r="S19" s="31"/>
      <c r="T19" s="1982" t="s">
        <v>2074</v>
      </c>
      <c r="U19" s="1980"/>
      <c r="V19" s="1980"/>
      <c r="W19" s="1981"/>
      <c r="X19" s="1997" t="s">
        <v>2075</v>
      </c>
      <c r="Y19" s="1998"/>
      <c r="Z19" s="1995">
        <v>62881</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2067</v>
      </c>
      <c r="B21" s="1980"/>
      <c r="C21" s="1980"/>
      <c r="D21" s="1980"/>
      <c r="E21" s="1980"/>
      <c r="F21" s="1980"/>
      <c r="G21" s="1980"/>
      <c r="H21" s="1981"/>
      <c r="I21" s="2005" t="s">
        <v>678</v>
      </c>
      <c r="J21" s="1968"/>
      <c r="K21" s="1968"/>
      <c r="L21" s="1968"/>
      <c r="M21" s="1968"/>
      <c r="N21" s="1968"/>
      <c r="O21" s="1968"/>
      <c r="P21" s="1968"/>
      <c r="Q21" s="1968"/>
      <c r="R21" s="1968"/>
      <c r="S21" s="1969"/>
      <c r="T21" s="1947" t="s">
        <v>2076</v>
      </c>
      <c r="U21" s="1948"/>
      <c r="V21" s="1948"/>
      <c r="W21" s="1948"/>
      <c r="X21" s="1961" t="s">
        <v>2077</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2078</v>
      </c>
      <c r="U23" s="1943"/>
      <c r="V23" s="1943"/>
      <c r="W23" s="1943"/>
      <c r="X23" s="1958"/>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62837</v>
      </c>
      <c r="B25" s="1980"/>
      <c r="C25" s="1980"/>
      <c r="D25" s="1980"/>
      <c r="E25" s="1980"/>
      <c r="F25" s="1980"/>
      <c r="G25" s="1980"/>
      <c r="H25" s="1981"/>
      <c r="I25" s="113"/>
      <c r="J25" s="2046"/>
      <c r="K25" s="2046"/>
      <c r="L25" s="2046"/>
      <c r="M25" s="2046"/>
      <c r="N25" s="2046"/>
      <c r="O25" s="2046"/>
      <c r="P25" s="2046"/>
      <c r="Q25" s="2046"/>
      <c r="R25" s="2046"/>
      <c r="S25" s="2047"/>
      <c r="T25" s="1939"/>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2068</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2069</v>
      </c>
      <c r="B42" s="2029"/>
      <c r="C42" s="2030"/>
      <c r="D42" s="2043" t="s">
        <v>2070</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5" right="0.2" top="0.75" bottom="0.52" header="0.19" footer="0.17"/>
  <pageSetup scale="70" orientation="landscape" r:id="rId3"/>
  <headerFooter alignWithMargins="0">
    <oddFooter>&amp;C- 6 -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colorId="8" zoomScaleNormal="110" workbookViewId="0">
      <selection activeCell="E12" sqref="E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1" t="s">
        <v>1802</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8">
        <f>'Revenues 9-14'!C5</f>
        <v>528243</v>
      </c>
      <c r="C4" s="1524"/>
      <c r="D4" s="1751">
        <f>B4-C4</f>
        <v>528243</v>
      </c>
      <c r="E4" s="1524">
        <v>546074</v>
      </c>
      <c r="F4" s="1751">
        <f>E4-C4</f>
        <v>546074</v>
      </c>
    </row>
    <row r="5" spans="1:6" ht="13.7" customHeight="1" x14ac:dyDescent="0.2">
      <c r="A5" s="715" t="s">
        <v>870</v>
      </c>
      <c r="B5" s="1749">
        <f>'Revenues 9-14'!D5</f>
        <v>143544</v>
      </c>
      <c r="C5" s="585"/>
      <c r="D5" s="1752">
        <f t="shared" ref="D5:D18" si="0">B5-C5</f>
        <v>143544</v>
      </c>
      <c r="E5" s="585">
        <v>148390</v>
      </c>
      <c r="F5" s="1752">
        <f>E5-C5</f>
        <v>148390</v>
      </c>
    </row>
    <row r="6" spans="1:6" ht="13.7" customHeight="1" x14ac:dyDescent="0.2">
      <c r="A6" s="715" t="s">
        <v>411</v>
      </c>
      <c r="B6" s="1749">
        <f>'Revenues 9-14'!E5</f>
        <v>290078</v>
      </c>
      <c r="C6" s="585"/>
      <c r="D6" s="1752">
        <f t="shared" si="0"/>
        <v>290078</v>
      </c>
      <c r="E6" s="585">
        <v>306978</v>
      </c>
      <c r="F6" s="1752">
        <f t="shared" ref="F6:F18" si="1">E6-C6</f>
        <v>306978</v>
      </c>
    </row>
    <row r="7" spans="1:6" ht="13.7" customHeight="1" x14ac:dyDescent="0.2">
      <c r="A7" s="715" t="s">
        <v>155</v>
      </c>
      <c r="B7" s="1749">
        <f>'Revenues 9-14'!F5</f>
        <v>68901</v>
      </c>
      <c r="C7" s="585"/>
      <c r="D7" s="1752">
        <f t="shared" si="0"/>
        <v>68901</v>
      </c>
      <c r="E7" s="585">
        <v>71227</v>
      </c>
      <c r="F7" s="1752">
        <f t="shared" si="1"/>
        <v>71227</v>
      </c>
    </row>
    <row r="8" spans="1:6" ht="13.7" customHeight="1" x14ac:dyDescent="0.2">
      <c r="A8" s="715" t="s">
        <v>1179</v>
      </c>
      <c r="B8" s="1749">
        <f>'Revenues 9-14'!G5</f>
        <v>133632</v>
      </c>
      <c r="C8" s="585"/>
      <c r="D8" s="1752">
        <f t="shared" si="0"/>
        <v>133632</v>
      </c>
      <c r="E8" s="585">
        <v>155002</v>
      </c>
      <c r="F8" s="1752">
        <f t="shared" si="1"/>
        <v>155002</v>
      </c>
    </row>
    <row r="9" spans="1:6" ht="13.7" customHeight="1" x14ac:dyDescent="0.2">
      <c r="A9" s="715" t="s">
        <v>408</v>
      </c>
      <c r="B9" s="1749">
        <f>'Revenues 9-14'!H5</f>
        <v>0</v>
      </c>
      <c r="C9" s="585"/>
      <c r="D9" s="1752">
        <f t="shared" si="0"/>
        <v>0</v>
      </c>
      <c r="E9" s="585">
        <v>0</v>
      </c>
      <c r="F9" s="1752">
        <f t="shared" si="1"/>
        <v>0</v>
      </c>
    </row>
    <row r="10" spans="1:6" ht="13.7" customHeight="1" x14ac:dyDescent="0.2">
      <c r="A10" s="715" t="s">
        <v>407</v>
      </c>
      <c r="B10" s="1749">
        <f>'Revenues 9-14'!I5</f>
        <v>28709</v>
      </c>
      <c r="C10" s="585"/>
      <c r="D10" s="1752">
        <f t="shared" si="0"/>
        <v>28709</v>
      </c>
      <c r="E10" s="585">
        <v>29678</v>
      </c>
      <c r="F10" s="1752">
        <f t="shared" si="1"/>
        <v>29678</v>
      </c>
    </row>
    <row r="11" spans="1:6" x14ac:dyDescent="0.2">
      <c r="A11" s="715" t="s">
        <v>409</v>
      </c>
      <c r="B11" s="1749">
        <f>'Revenues 9-14'!J5</f>
        <v>278070</v>
      </c>
      <c r="C11" s="585"/>
      <c r="D11" s="1752">
        <f t="shared" si="0"/>
        <v>278070</v>
      </c>
      <c r="E11" s="585">
        <v>225000</v>
      </c>
      <c r="F11" s="1752">
        <f t="shared" si="1"/>
        <v>225000</v>
      </c>
    </row>
    <row r="12" spans="1:6" ht="13.7" customHeight="1" x14ac:dyDescent="0.2">
      <c r="A12" s="715" t="s">
        <v>157</v>
      </c>
      <c r="B12" s="1749">
        <f>'Revenues 9-14'!K5</f>
        <v>28709</v>
      </c>
      <c r="C12" s="585"/>
      <c r="D12" s="1752">
        <f t="shared" si="0"/>
        <v>28709</v>
      </c>
      <c r="E12" s="585">
        <v>29678</v>
      </c>
      <c r="F12" s="1752">
        <f t="shared" si="1"/>
        <v>29678</v>
      </c>
    </row>
    <row r="13" spans="1:6" ht="13.7" customHeight="1" x14ac:dyDescent="0.2">
      <c r="A13" s="715" t="s">
        <v>936</v>
      </c>
      <c r="B13" s="1749">
        <f>SUM('Revenues 9-14'!C6:D6)</f>
        <v>28709</v>
      </c>
      <c r="C13" s="585"/>
      <c r="D13" s="1752">
        <f t="shared" si="0"/>
        <v>28709</v>
      </c>
      <c r="E13" s="585">
        <v>29678</v>
      </c>
      <c r="F13" s="1752">
        <f t="shared" si="1"/>
        <v>29678</v>
      </c>
    </row>
    <row r="14" spans="1:6" ht="13.7" customHeight="1" x14ac:dyDescent="0.2">
      <c r="A14" s="715" t="s">
        <v>410</v>
      </c>
      <c r="B14" s="1749">
        <f>SUM('Revenues 9-14'!C7:D7,'Revenues 9-14'!F7:H7)</f>
        <v>11484</v>
      </c>
      <c r="C14" s="585"/>
      <c r="D14" s="1752">
        <f t="shared" si="0"/>
        <v>11484</v>
      </c>
      <c r="E14" s="585">
        <v>11871</v>
      </c>
      <c r="F14" s="1752">
        <f t="shared" si="1"/>
        <v>11871</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138521</v>
      </c>
      <c r="C16" s="585"/>
      <c r="D16" s="1752">
        <f t="shared" si="0"/>
        <v>138521</v>
      </c>
      <c r="E16" s="585">
        <v>155002</v>
      </c>
      <c r="F16" s="1752">
        <f t="shared" si="1"/>
        <v>155002</v>
      </c>
    </row>
    <row r="17" spans="1:6" ht="13.7" customHeight="1" x14ac:dyDescent="0.2">
      <c r="A17" s="715" t="s">
        <v>1160</v>
      </c>
      <c r="B17" s="1749">
        <f>'Revenues 9-14'!C10</f>
        <v>0</v>
      </c>
      <c r="C17" s="585"/>
      <c r="D17" s="1752">
        <f t="shared" si="0"/>
        <v>0</v>
      </c>
      <c r="E17" s="585">
        <v>0</v>
      </c>
      <c r="F17" s="1752">
        <f t="shared" si="1"/>
        <v>0</v>
      </c>
    </row>
    <row r="18" spans="1:6" ht="13.7" customHeight="1" x14ac:dyDescent="0.2">
      <c r="A18" s="715" t="s">
        <v>762</v>
      </c>
      <c r="B18" s="1749">
        <f>SUM('Revenues 9-14'!C11:K11)</f>
        <v>0</v>
      </c>
      <c r="C18" s="585"/>
      <c r="D18" s="1752">
        <f t="shared" si="0"/>
        <v>0</v>
      </c>
      <c r="E18" s="585">
        <v>0</v>
      </c>
      <c r="F18" s="1752">
        <f t="shared" si="1"/>
        <v>0</v>
      </c>
    </row>
    <row r="19" spans="1:6" ht="13.7" customHeight="1" thickBot="1" x14ac:dyDescent="0.25">
      <c r="A19" s="1753" t="s">
        <v>1161</v>
      </c>
      <c r="B19" s="1750">
        <f>SUM(B4:B18)</f>
        <v>1678600</v>
      </c>
      <c r="C19" s="1750">
        <f>SUM(C4:C18)</f>
        <v>0</v>
      </c>
      <c r="D19" s="1750">
        <f>SUM(D4:D18)</f>
        <v>1678600</v>
      </c>
      <c r="E19" s="1750">
        <f>SUM(E4:E18)</f>
        <v>1708578</v>
      </c>
      <c r="F19" s="1750">
        <f>SUM(F4:F18)</f>
        <v>1708578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5" right="0.15" top="1.65" bottom="0.72" header="0.93" footer="0.32"/>
  <pageSetup firstPageNumber="23" orientation="landscape" useFirstPageNumber="1" r:id="rId1"/>
  <headerFooter alignWithMargins="0">
    <oddHeader>&amp;CFairfield Public School District 112</oddHeader>
    <oddFooter>&amp;L&amp;9See accompanying notes to the financial statements.
&amp;C- 29 -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B23" colorId="8" zoomScaleNormal="110" workbookViewId="0">
      <selection activeCell="H49" sqref="H49:H5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2" t="s">
        <v>1955</v>
      </c>
      <c r="D2" s="723" t="s">
        <v>1956</v>
      </c>
      <c r="E2" s="723" t="s">
        <v>1957</v>
      </c>
      <c r="F2" s="1882" t="s">
        <v>1958</v>
      </c>
    </row>
    <row r="3" spans="1:7" ht="15.75" customHeight="1" x14ac:dyDescent="0.2">
      <c r="A3" s="2200" t="s">
        <v>1114</v>
      </c>
      <c r="B3" s="2201"/>
      <c r="C3" s="2189"/>
      <c r="D3" s="2190"/>
      <c r="E3" s="2190"/>
      <c r="F3" s="2191"/>
    </row>
    <row r="4" spans="1:7" ht="12.75" customHeight="1" thickBot="1" x14ac:dyDescent="0.25">
      <c r="A4" s="2198" t="s">
        <v>630</v>
      </c>
      <c r="B4" s="2199"/>
      <c r="C4" s="581"/>
      <c r="D4" s="581"/>
      <c r="E4" s="581"/>
      <c r="F4" s="1754">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5" t="s">
        <v>631</v>
      </c>
      <c r="B15" s="2186"/>
      <c r="C15" s="1754">
        <f>SUM(C6:C14)</f>
        <v>0</v>
      </c>
      <c r="D15" s="1754">
        <f>SUM(D6:D14)</f>
        <v>0</v>
      </c>
      <c r="E15" s="1754">
        <f>SUM(E6:E14)</f>
        <v>0</v>
      </c>
      <c r="F15" s="1754">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c r="D17" s="585"/>
      <c r="E17" s="726"/>
      <c r="F17" s="1754">
        <f>SUM(C17+D17)-E17</f>
        <v>0</v>
      </c>
    </row>
    <row r="18" spans="1:11" ht="12.75" customHeight="1" thickTop="1" thickBot="1" x14ac:dyDescent="0.25">
      <c r="A18" s="2208" t="s">
        <v>6</v>
      </c>
      <c r="B18" s="2209"/>
      <c r="C18" s="726"/>
      <c r="D18" s="585"/>
      <c r="E18" s="726"/>
      <c r="F18" s="1754">
        <f>SUM(C18+D18)-E18</f>
        <v>0</v>
      </c>
    </row>
    <row r="19" spans="1:11" ht="12.75" customHeight="1" thickTop="1" thickBot="1" x14ac:dyDescent="0.25">
      <c r="A19" s="2208" t="s">
        <v>388</v>
      </c>
      <c r="B19" s="2209"/>
      <c r="C19" s="726"/>
      <c r="D19" s="585"/>
      <c r="E19" s="726"/>
      <c r="F19" s="1754">
        <f>SUM(C19+D19)-E19</f>
        <v>0</v>
      </c>
    </row>
    <row r="20" spans="1:11" ht="12.75" customHeight="1" thickTop="1" thickBot="1" x14ac:dyDescent="0.25">
      <c r="A20" s="2208" t="s">
        <v>448</v>
      </c>
      <c r="B20" s="2209"/>
      <c r="C20" s="726"/>
      <c r="D20" s="585"/>
      <c r="E20" s="726"/>
      <c r="F20" s="1754">
        <f>SUM(C20+D20)-E20</f>
        <v>0</v>
      </c>
    </row>
    <row r="21" spans="1:11" ht="14.25" thickTop="1" thickBot="1" x14ac:dyDescent="0.25">
      <c r="A21" s="2185" t="s">
        <v>632</v>
      </c>
      <c r="B21" s="2186"/>
      <c r="C21" s="1754">
        <f>SUM(C17:C20)</f>
        <v>0</v>
      </c>
      <c r="D21" s="1754">
        <f>SUM(D17:D20)</f>
        <v>0</v>
      </c>
      <c r="E21" s="1754">
        <f>SUM(E17:E20)</f>
        <v>0</v>
      </c>
      <c r="F21" s="1754">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c r="D23" s="581"/>
      <c r="E23" s="581"/>
      <c r="F23" s="1754">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c r="D25" s="581"/>
      <c r="E25" s="581"/>
      <c r="F25" s="1754">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c r="D27" s="585"/>
      <c r="E27" s="585"/>
      <c r="F27" s="1754">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3" t="s">
        <v>583</v>
      </c>
      <c r="D30" s="1883" t="s">
        <v>1673</v>
      </c>
      <c r="E30" s="1883" t="s">
        <v>1959</v>
      </c>
      <c r="F30" s="1883" t="s">
        <v>1960</v>
      </c>
      <c r="G30" s="1883" t="s">
        <v>1910</v>
      </c>
      <c r="H30" s="1883" t="s">
        <v>1961</v>
      </c>
      <c r="I30" s="1883" t="s">
        <v>1962</v>
      </c>
      <c r="J30" s="1884" t="s">
        <v>2</v>
      </c>
      <c r="K30" s="731"/>
    </row>
    <row r="31" spans="1:11" ht="12" customHeight="1" x14ac:dyDescent="0.2">
      <c r="A31" s="732" t="s">
        <v>2085</v>
      </c>
      <c r="B31" s="733">
        <v>40520</v>
      </c>
      <c r="C31" s="734">
        <v>2700000</v>
      </c>
      <c r="D31" s="735">
        <v>6</v>
      </c>
      <c r="E31" s="734">
        <v>2420000</v>
      </c>
      <c r="F31" s="734"/>
      <c r="G31" s="734"/>
      <c r="H31" s="734">
        <v>145000</v>
      </c>
      <c r="I31" s="1755">
        <f>((E31+F31)-H31)+G31</f>
        <v>2275000</v>
      </c>
      <c r="J31" s="734">
        <v>2233757</v>
      </c>
      <c r="K31" s="736"/>
    </row>
    <row r="32" spans="1:11" ht="12" customHeight="1" x14ac:dyDescent="0.2">
      <c r="A32" s="732" t="s">
        <v>2086</v>
      </c>
      <c r="B32" s="733">
        <v>42426</v>
      </c>
      <c r="C32" s="734">
        <v>287900</v>
      </c>
      <c r="D32" s="735">
        <v>3</v>
      </c>
      <c r="E32" s="734">
        <v>134500</v>
      </c>
      <c r="F32" s="734"/>
      <c r="G32" s="734"/>
      <c r="H32" s="734">
        <v>67250</v>
      </c>
      <c r="I32" s="1755">
        <f>((E32+F32)-H32)+G32</f>
        <v>67250</v>
      </c>
      <c r="J32" s="734">
        <v>67250</v>
      </c>
      <c r="K32" s="736"/>
    </row>
    <row r="33" spans="1:11" ht="12" customHeight="1" x14ac:dyDescent="0.2">
      <c r="A33" s="732" t="s">
        <v>2087</v>
      </c>
      <c r="B33" s="733">
        <v>42870</v>
      </c>
      <c r="C33" s="734">
        <v>171914</v>
      </c>
      <c r="D33" s="735">
        <v>7</v>
      </c>
      <c r="E33" s="734">
        <v>143023</v>
      </c>
      <c r="F33" s="734"/>
      <c r="G33" s="734"/>
      <c r="H33" s="734">
        <v>27527</v>
      </c>
      <c r="I33" s="1755">
        <f t="shared" ref="I33:I48" si="1">((E33+F33)-H33)+G33</f>
        <v>115496</v>
      </c>
      <c r="J33" s="734">
        <v>115496</v>
      </c>
      <c r="K33" s="736"/>
    </row>
    <row r="34" spans="1:11" ht="12" customHeight="1" x14ac:dyDescent="0.2">
      <c r="A34" s="732" t="s">
        <v>2089</v>
      </c>
      <c r="B34" s="733">
        <v>42870</v>
      </c>
      <c r="C34" s="734">
        <v>69856</v>
      </c>
      <c r="D34" s="735">
        <v>7</v>
      </c>
      <c r="E34" s="734">
        <v>57083</v>
      </c>
      <c r="F34" s="734"/>
      <c r="G34" s="734"/>
      <c r="H34" s="734">
        <v>12229</v>
      </c>
      <c r="I34" s="1755">
        <f t="shared" si="1"/>
        <v>44854</v>
      </c>
      <c r="J34" s="734">
        <v>44854</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3229670</v>
      </c>
      <c r="D49" s="745"/>
      <c r="E49" s="1755">
        <f t="shared" ref="E49:J49" si="2">SUM(E31:E48)</f>
        <v>2754606</v>
      </c>
      <c r="F49" s="1755">
        <f t="shared" si="2"/>
        <v>0</v>
      </c>
      <c r="G49" s="1755">
        <f t="shared" si="2"/>
        <v>0</v>
      </c>
      <c r="H49" s="1755">
        <f t="shared" si="2"/>
        <v>252006</v>
      </c>
      <c r="I49" s="1755">
        <f t="shared" si="2"/>
        <v>2502600</v>
      </c>
      <c r="J49" s="1755">
        <f t="shared" si="2"/>
        <v>2461357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2088</v>
      </c>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4" right="0.15" top="0.46" bottom="0.45" header="0.26" footer="0.22"/>
  <pageSetup scale="71" firstPageNumber="24" fitToHeight="0" orientation="landscape" useFirstPageNumber="1" r:id="rId1"/>
  <headerFooter alignWithMargins="0">
    <oddHeader>&amp;CFairfield Public School District 112</oddHeader>
    <oddFooter>&amp;L&amp;9See accompanying notes to the financial statements.
&amp;C- 30 -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colorId="8" zoomScaleNormal="110" workbookViewId="0">
      <selection activeCell="H18" sqref="H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1963</v>
      </c>
      <c r="B3" s="2219"/>
      <c r="C3" s="2219"/>
      <c r="D3" s="2219"/>
      <c r="E3" s="2220"/>
      <c r="F3" s="763"/>
      <c r="G3" s="764"/>
      <c r="H3" s="764"/>
      <c r="I3" s="764"/>
      <c r="J3" s="765"/>
      <c r="K3" s="765"/>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11544</v>
      </c>
      <c r="I5" s="772"/>
      <c r="J5" s="773"/>
      <c r="K5" s="773"/>
    </row>
    <row r="6" spans="1:11" x14ac:dyDescent="0.2">
      <c r="A6" s="774" t="s">
        <v>720</v>
      </c>
      <c r="B6" s="775"/>
      <c r="C6" s="775"/>
      <c r="D6" s="775"/>
      <c r="E6" s="776"/>
      <c r="F6" s="777" t="s">
        <v>849</v>
      </c>
      <c r="G6" s="764"/>
      <c r="H6" s="764">
        <v>13</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9" t="s">
        <v>1813</v>
      </c>
      <c r="B10" s="2212"/>
      <c r="C10" s="2212"/>
      <c r="D10" s="2212"/>
      <c r="E10" s="2241"/>
      <c r="F10" s="783" t="s">
        <v>862</v>
      </c>
      <c r="G10" s="782"/>
      <c r="H10" s="784">
        <v>25236</v>
      </c>
      <c r="I10" s="764"/>
      <c r="J10" s="765"/>
      <c r="K10" s="765"/>
    </row>
    <row r="11" spans="1:11" x14ac:dyDescent="0.2">
      <c r="A11" s="2239" t="s">
        <v>160</v>
      </c>
      <c r="B11" s="2212"/>
      <c r="C11" s="2212"/>
      <c r="D11" s="2212"/>
      <c r="E11" s="2240"/>
      <c r="F11" s="770" t="s">
        <v>852</v>
      </c>
      <c r="G11" s="771"/>
      <c r="H11" s="764"/>
      <c r="I11" s="764"/>
      <c r="J11" s="765"/>
      <c r="K11" s="773"/>
    </row>
    <row r="12" spans="1:11" ht="13.5" thickBot="1" x14ac:dyDescent="0.25">
      <c r="A12" s="2229" t="s">
        <v>905</v>
      </c>
      <c r="B12" s="2230"/>
      <c r="C12" s="2230"/>
      <c r="D12" s="2230"/>
      <c r="E12" s="2231"/>
      <c r="F12" s="1756"/>
      <c r="G12" s="1757">
        <f>SUM(G5:G11)</f>
        <v>0</v>
      </c>
      <c r="H12" s="1757">
        <f>SUM(H5:H11)</f>
        <v>36793</v>
      </c>
      <c r="I12" s="1757">
        <f>SUM(I5:I11)</f>
        <v>0</v>
      </c>
      <c r="J12" s="1757">
        <f>SUM(J5:J11)</f>
        <v>0</v>
      </c>
      <c r="K12" s="1757">
        <f>SUM(K5:K11)</f>
        <v>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36793</v>
      </c>
      <c r="I14" s="771"/>
      <c r="J14" s="773"/>
      <c r="K14" s="765"/>
    </row>
    <row r="15" spans="1:11" x14ac:dyDescent="0.2">
      <c r="A15" s="2212" t="s">
        <v>4</v>
      </c>
      <c r="B15" s="2212"/>
      <c r="C15" s="2212"/>
      <c r="D15" s="2212"/>
      <c r="E15" s="2240"/>
      <c r="F15" s="789" t="s">
        <v>855</v>
      </c>
      <c r="G15" s="771"/>
      <c r="H15" s="764"/>
      <c r="I15" s="764"/>
      <c r="J15" s="765"/>
      <c r="K15" s="765"/>
    </row>
    <row r="16" spans="1:11" x14ac:dyDescent="0.2">
      <c r="A16" s="2212" t="s">
        <v>298</v>
      </c>
      <c r="B16" s="2212"/>
      <c r="C16" s="2212"/>
      <c r="D16" s="2212"/>
      <c r="E16" s="2240"/>
      <c r="F16" s="789" t="s">
        <v>923</v>
      </c>
      <c r="G16" s="772"/>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47" t="s">
        <v>1809</v>
      </c>
      <c r="B19" s="2247"/>
      <c r="C19" s="2247"/>
      <c r="D19" s="2247"/>
      <c r="E19" s="2248"/>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32" t="s">
        <v>638</v>
      </c>
      <c r="B21" s="2232"/>
      <c r="C21" s="2232"/>
      <c r="D21" s="2232"/>
      <c r="E21" s="2232"/>
      <c r="F21" s="1758"/>
      <c r="G21" s="792"/>
      <c r="H21" s="796"/>
      <c r="I21" s="796"/>
      <c r="J21" s="1759">
        <f>SUM(J18:J20)</f>
        <v>0</v>
      </c>
      <c r="K21" s="793"/>
    </row>
    <row r="22" spans="1:11" ht="13.5" thickTop="1" x14ac:dyDescent="0.2">
      <c r="A22" s="2212" t="s">
        <v>1815</v>
      </c>
      <c r="B22" s="2212"/>
      <c r="C22" s="2212"/>
      <c r="D22" s="2212"/>
      <c r="E22" s="2240"/>
      <c r="F22" s="789" t="s">
        <v>862</v>
      </c>
      <c r="G22" s="782"/>
      <c r="H22" s="764"/>
      <c r="I22" s="764"/>
      <c r="J22" s="797"/>
      <c r="K22" s="765"/>
    </row>
    <row r="23" spans="1:11" ht="13.5" thickBot="1" x14ac:dyDescent="0.25">
      <c r="A23" s="2233" t="s">
        <v>906</v>
      </c>
      <c r="B23" s="2232"/>
      <c r="C23" s="2232"/>
      <c r="D23" s="2232"/>
      <c r="E23" s="2232"/>
      <c r="F23" s="1760"/>
      <c r="G23" s="1757">
        <f>SUM(G14:G16,G21,G22)</f>
        <v>0</v>
      </c>
      <c r="H23" s="1757">
        <f>SUM(H14:H16,H21,H22)</f>
        <v>36793</v>
      </c>
      <c r="I23" s="1757">
        <f>SUM(I14:I16,I21,I22)</f>
        <v>0</v>
      </c>
      <c r="J23" s="1757">
        <f>SUM(J14:J16,J21,J22)</f>
        <v>0</v>
      </c>
      <c r="K23" s="1757">
        <f>SUM(K14:K16,K21,K22)</f>
        <v>0</v>
      </c>
    </row>
    <row r="24" spans="1:11" ht="14.25" thickTop="1" thickBot="1" x14ac:dyDescent="0.25">
      <c r="A24" s="2233" t="s">
        <v>1964</v>
      </c>
      <c r="B24" s="2232"/>
      <c r="C24" s="2232"/>
      <c r="D24" s="2232"/>
      <c r="E24" s="2232"/>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2" t="s">
        <v>541</v>
      </c>
      <c r="B41" s="2213"/>
      <c r="C41" s="2213"/>
      <c r="D41" s="2213"/>
      <c r="E41" s="2213"/>
      <c r="F41" s="221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61" right="0.17" top="0.69" bottom="0.6" header="0.23" footer="0.32"/>
  <pageSetup scale="80" firstPageNumber="25" orientation="landscape" useFirstPageNumber="1" r:id="rId1"/>
  <headerFooter>
    <oddHeader xml:space="preserve">&amp;C&amp;"Arial,Bold"Fairfield Public School District 112
Schedule of Restricted Local Tax Levies and Selected Revenues Sources 
Schedule of Tort Immunity Expenditures &amp;R&amp;8
</oddHeader>
    <oddFooter>&amp;L&amp;9See accompanying notes to the financial statements.
&amp;C- 31 -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157600</v>
      </c>
      <c r="D5" s="841"/>
      <c r="E5" s="841"/>
      <c r="F5" s="1759">
        <f>(C5+D5)-E5</f>
        <v>157600</v>
      </c>
      <c r="G5" s="837"/>
      <c r="H5" s="842"/>
      <c r="I5" s="842"/>
      <c r="J5" s="842"/>
      <c r="K5" s="793"/>
      <c r="L5" s="1768">
        <f>F5-K5</f>
        <v>157600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11871844</v>
      </c>
      <c r="D8" s="844"/>
      <c r="E8" s="844"/>
      <c r="F8" s="1759">
        <f>(C8+D8)-E8</f>
        <v>11871844</v>
      </c>
      <c r="G8" s="843">
        <v>50</v>
      </c>
      <c r="H8" s="765">
        <v>2980773</v>
      </c>
      <c r="I8" s="765">
        <v>221071</v>
      </c>
      <c r="J8" s="765"/>
      <c r="K8" s="1768">
        <f>(H8+I8)-J8</f>
        <v>3201844</v>
      </c>
      <c r="L8" s="1768">
        <f>F8-K8</f>
        <v>8670000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105345</v>
      </c>
      <c r="D10" s="846">
        <v>9939</v>
      </c>
      <c r="E10" s="846"/>
      <c r="F10" s="1763">
        <f>(C10+D10)-E10</f>
        <v>115284</v>
      </c>
      <c r="G10" s="843">
        <v>20</v>
      </c>
      <c r="H10" s="847">
        <v>99951</v>
      </c>
      <c r="I10" s="847">
        <v>3810</v>
      </c>
      <c r="J10" s="847"/>
      <c r="K10" s="1768">
        <f>(H10+I10)-J10</f>
        <v>103761</v>
      </c>
      <c r="L10" s="1768">
        <f>F10-K10</f>
        <v>11523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906902</v>
      </c>
      <c r="D12" s="844">
        <v>96918</v>
      </c>
      <c r="E12" s="844">
        <v>42215</v>
      </c>
      <c r="F12" s="1759">
        <f>(C12+D12)-E12</f>
        <v>961605</v>
      </c>
      <c r="G12" s="843">
        <v>10</v>
      </c>
      <c r="H12" s="765">
        <v>512946</v>
      </c>
      <c r="I12" s="765">
        <v>89776</v>
      </c>
      <c r="J12" s="765">
        <v>42235</v>
      </c>
      <c r="K12" s="1768">
        <f>(H12+I12)-J12</f>
        <v>560487</v>
      </c>
      <c r="L12" s="1768">
        <f>F12-K12</f>
        <v>401118</v>
      </c>
    </row>
    <row r="13" spans="1:14" ht="14.25" thickTop="1" thickBot="1" x14ac:dyDescent="0.25">
      <c r="A13" s="848" t="s">
        <v>1122</v>
      </c>
      <c r="B13" s="840">
        <v>252</v>
      </c>
      <c r="C13" s="844">
        <v>787254</v>
      </c>
      <c r="D13" s="844"/>
      <c r="E13" s="844"/>
      <c r="F13" s="1759">
        <f>(C13+D13)-E13</f>
        <v>787254</v>
      </c>
      <c r="G13" s="843">
        <v>5</v>
      </c>
      <c r="H13" s="765">
        <v>570414</v>
      </c>
      <c r="I13" s="765">
        <v>40849</v>
      </c>
      <c r="J13" s="765">
        <v>16732</v>
      </c>
      <c r="K13" s="1768">
        <f>(H13+I13)-J13</f>
        <v>594531</v>
      </c>
      <c r="L13" s="1768">
        <f>F13-K13</f>
        <v>192723</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13828945</v>
      </c>
      <c r="D16" s="1759">
        <f>SUM(D3,D5:D6,D8:D10,D12:D15)</f>
        <v>106857</v>
      </c>
      <c r="E16" s="1759">
        <f>SUM(E3,E5:E6,E8:E10,E12:E15)</f>
        <v>42215</v>
      </c>
      <c r="F16" s="1759">
        <f>SUM(F3,F5:F6,F8:F10,F12:F15)</f>
        <v>13893587</v>
      </c>
      <c r="G16" s="843"/>
      <c r="H16" s="1759">
        <f>SUM(H3,H6,H8:H10,H12:H14,)</f>
        <v>4164084</v>
      </c>
      <c r="I16" s="1759">
        <f>SUM(I3,I6,I8:I10,I12:I14,)</f>
        <v>355506</v>
      </c>
      <c r="J16" s="1759">
        <f>SUM(J3,J6,J8:J10,J12:J14,)</f>
        <v>58967</v>
      </c>
      <c r="K16" s="1759">
        <f>(H16+I16)-J16</f>
        <v>4460623</v>
      </c>
      <c r="L16" s="1759">
        <f>F16-K16</f>
        <v>9432964</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355506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53" right="0.17" top="1.1000000000000001" bottom="0.74" header="0.59" footer="0.39"/>
  <pageSetup scale="78" firstPageNumber="26" orientation="landscape" useFirstPageNumber="1" r:id="rId1"/>
  <headerFooter alignWithMargins="0">
    <oddHeader>&amp;CFairfield Public School District 112</oddHeader>
    <oddFooter>&amp;L&amp;9See accompanying notes to the financial statements.
&amp;C- 32 -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54" colorId="8" zoomScale="110" zoomScaleNormal="110" workbookViewId="0">
      <selection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5300606</v>
      </c>
      <c r="G8" s="865"/>
    </row>
    <row r="9" spans="1:7" x14ac:dyDescent="0.2">
      <c r="A9" s="869" t="s">
        <v>460</v>
      </c>
      <c r="B9" s="870" t="s">
        <v>1876</v>
      </c>
      <c r="C9" s="871"/>
      <c r="D9" s="869" t="s">
        <v>501</v>
      </c>
      <c r="E9" s="868"/>
      <c r="F9" s="1907">
        <f>'Expenditures 15-22'!K151</f>
        <v>271696</v>
      </c>
      <c r="G9" s="872"/>
    </row>
    <row r="10" spans="1:7" x14ac:dyDescent="0.2">
      <c r="A10" s="869" t="s">
        <v>499</v>
      </c>
      <c r="B10" s="870" t="s">
        <v>1877</v>
      </c>
      <c r="C10" s="871"/>
      <c r="D10" s="869" t="s">
        <v>501</v>
      </c>
      <c r="E10" s="868"/>
      <c r="F10" s="1907">
        <f>'Expenditures 15-22'!K174</f>
        <v>335363</v>
      </c>
      <c r="G10" s="872"/>
    </row>
    <row r="11" spans="1:7" x14ac:dyDescent="0.2">
      <c r="A11" s="869" t="s">
        <v>461</v>
      </c>
      <c r="B11" s="870" t="s">
        <v>1878</v>
      </c>
      <c r="C11" s="871"/>
      <c r="D11" s="869" t="s">
        <v>501</v>
      </c>
      <c r="E11" s="868"/>
      <c r="F11" s="1907">
        <f>'Expenditures 15-22'!K210</f>
        <v>267515</v>
      </c>
      <c r="G11" s="872"/>
    </row>
    <row r="12" spans="1:7" x14ac:dyDescent="0.2">
      <c r="A12" s="869" t="s">
        <v>462</v>
      </c>
      <c r="B12" s="870" t="s">
        <v>1879</v>
      </c>
      <c r="C12" s="871"/>
      <c r="D12" s="869" t="s">
        <v>501</v>
      </c>
      <c r="E12" s="868"/>
      <c r="F12" s="1907">
        <f>'Expenditures 15-22'!K295</f>
        <v>232009</v>
      </c>
      <c r="G12" s="872"/>
    </row>
    <row r="13" spans="1:7" x14ac:dyDescent="0.2">
      <c r="A13" s="869" t="s">
        <v>106</v>
      </c>
      <c r="B13" s="870" t="s">
        <v>1880</v>
      </c>
      <c r="C13" s="871"/>
      <c r="D13" s="869" t="s">
        <v>501</v>
      </c>
      <c r="E13" s="868"/>
      <c r="F13" s="1907">
        <f>'Expenditures 15-22'!K342</f>
        <v>201336</v>
      </c>
      <c r="G13" s="873"/>
    </row>
    <row r="14" spans="1:7" ht="12" customHeight="1" thickBot="1" x14ac:dyDescent="0.25">
      <c r="A14" s="1769"/>
      <c r="B14" s="1770"/>
      <c r="C14" s="1771"/>
      <c r="D14" s="1772" t="s">
        <v>501</v>
      </c>
      <c r="E14" s="1773" t="s">
        <v>958</v>
      </c>
      <c r="F14" s="1774">
        <f>SUM(F8:F13)</f>
        <v>6608525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1990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2">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2001</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30073</v>
      </c>
      <c r="G52" s="865"/>
    </row>
    <row r="53" spans="1:7" x14ac:dyDescent="0.2">
      <c r="A53" s="869" t="s">
        <v>459</v>
      </c>
      <c r="B53" s="869" t="s">
        <v>1475</v>
      </c>
      <c r="C53" s="889">
        <f>'Expenditures 15-22'!B102</f>
        <v>4000</v>
      </c>
      <c r="D53" s="888" t="str">
        <f>'Expenditures 15-22'!A102</f>
        <v>Total Payments to Other Govt Units</v>
      </c>
      <c r="E53" s="868"/>
      <c r="F53" s="1911">
        <f>'Expenditures 15-22'!K102</f>
        <v>105554</v>
      </c>
      <c r="G53" s="865"/>
    </row>
    <row r="54" spans="1:7" x14ac:dyDescent="0.2">
      <c r="A54" s="869" t="s">
        <v>459</v>
      </c>
      <c r="B54" s="869" t="s">
        <v>1476</v>
      </c>
      <c r="C54" s="889" t="s">
        <v>982</v>
      </c>
      <c r="D54" s="885" t="s">
        <v>1095</v>
      </c>
      <c r="E54" s="868"/>
      <c r="F54" s="1911">
        <f>'Expenditures 15-22'!G114</f>
        <v>16522</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21996</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212250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39756</v>
      </c>
      <c r="G64" s="865"/>
    </row>
    <row r="65" spans="1:8" x14ac:dyDescent="0.2">
      <c r="A65" s="869" t="s">
        <v>461</v>
      </c>
      <c r="B65" s="869" t="s">
        <v>1889</v>
      </c>
      <c r="C65" s="886" t="s">
        <v>982</v>
      </c>
      <c r="D65" s="885" t="s">
        <v>1095</v>
      </c>
      <c r="E65" s="868"/>
      <c r="F65" s="1911">
        <f>'Expenditures 15-22'!G210</f>
        <v>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332</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428473</v>
      </c>
      <c r="G76" s="865"/>
    </row>
    <row r="77" spans="1:8" s="893" customFormat="1" ht="12" customHeight="1" thickTop="1" thickBot="1" x14ac:dyDescent="0.25">
      <c r="A77" s="1778"/>
      <c r="B77" s="1775"/>
      <c r="C77" s="1771"/>
      <c r="D77" s="1776" t="s">
        <v>1899</v>
      </c>
      <c r="E77" s="1773"/>
      <c r="F77" s="1779">
        <f>(F14-F76)</f>
        <v>6180052</v>
      </c>
      <c r="G77" s="869"/>
    </row>
    <row r="78" spans="1:8" s="893" customFormat="1" ht="12" customHeight="1" thickTop="1" x14ac:dyDescent="0.2">
      <c r="A78" s="1780"/>
      <c r="B78" s="1775"/>
      <c r="C78" s="1771"/>
      <c r="D78" s="1776" t="s">
        <v>2061</v>
      </c>
      <c r="E78" s="1773"/>
      <c r="F78" s="898">
        <v>549.4</v>
      </c>
      <c r="G78" s="899"/>
      <c r="H78" s="869"/>
    </row>
    <row r="79" spans="1:8" s="893" customFormat="1" ht="12" customHeight="1" thickBot="1" x14ac:dyDescent="0.25">
      <c r="A79" s="1781"/>
      <c r="B79" s="1775"/>
      <c r="C79" s="1771"/>
      <c r="D79" s="1776" t="s">
        <v>1900</v>
      </c>
      <c r="E79" s="1773" t="s">
        <v>958</v>
      </c>
      <c r="F79" s="1782">
        <f>IF(F78&gt;0,F77/F78," Complete Line 78")</f>
        <v>11248.729523116128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1000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53990</v>
      </c>
      <c r="G94" s="912"/>
    </row>
    <row r="95" spans="1:7" x14ac:dyDescent="0.2">
      <c r="A95" s="908" t="s">
        <v>140</v>
      </c>
      <c r="B95" s="908" t="s">
        <v>175</v>
      </c>
      <c r="C95" s="910">
        <v>1700</v>
      </c>
      <c r="D95" s="918" t="str">
        <f>'Revenues 9-14'!A82</f>
        <v>Total District/School Activity Income</v>
      </c>
      <c r="E95" s="906"/>
      <c r="F95" s="1788">
        <f>SUM('Revenues 9-14'!C82,'Revenues 9-14'!D82)</f>
        <v>9459</v>
      </c>
      <c r="G95" s="912"/>
    </row>
    <row r="96" spans="1:7" x14ac:dyDescent="0.2">
      <c r="A96" s="908" t="s">
        <v>459</v>
      </c>
      <c r="B96" s="908" t="s">
        <v>176</v>
      </c>
      <c r="C96" s="910">
        <f>'Revenues 9-14'!B84</f>
        <v>1811</v>
      </c>
      <c r="D96" s="911" t="str">
        <f>'Revenues 9-14'!A84</f>
        <v>Rentals - Regular Textbooks</v>
      </c>
      <c r="E96" s="906"/>
      <c r="F96" s="1788">
        <f>'Revenues 9-14'!C84</f>
        <v>9860</v>
      </c>
      <c r="G96" s="912"/>
    </row>
    <row r="97" spans="1:7" x14ac:dyDescent="0.2">
      <c r="A97" s="908" t="s">
        <v>459</v>
      </c>
      <c r="B97" s="908" t="s">
        <v>177</v>
      </c>
      <c r="C97" s="910">
        <f>'Revenues 9-14'!B87</f>
        <v>1819</v>
      </c>
      <c r="D97" s="911" t="str">
        <f>'Revenues 9-14'!A87</f>
        <v>Rentals - Other (Describe &amp; Itemize)</v>
      </c>
      <c r="E97" s="906"/>
      <c r="F97" s="1788">
        <f>'Revenues 9-14'!C87</f>
        <v>3540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870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2002</v>
      </c>
      <c r="C105" s="913">
        <v>3100</v>
      </c>
      <c r="D105" s="919" t="str">
        <f>'Revenues 9-14'!A132</f>
        <v>Total Special Education</v>
      </c>
      <c r="E105" s="906"/>
      <c r="F105" s="1788">
        <f>SUM('Revenues 9-14'!C132:D132,'Revenues 9-14'!F132)</f>
        <v>25236</v>
      </c>
      <c r="G105" s="912"/>
    </row>
    <row r="106" spans="1:7" x14ac:dyDescent="0.2">
      <c r="A106" s="908" t="s">
        <v>673</v>
      </c>
      <c r="B106" s="908" t="s">
        <v>2003</v>
      </c>
      <c r="C106" s="920">
        <v>3200</v>
      </c>
      <c r="D106" s="911" t="str">
        <f>'Revenues 9-14'!A141</f>
        <v>Total Career and Technical Education</v>
      </c>
      <c r="E106" s="906"/>
      <c r="F106" s="1788">
        <f>SUM('Revenues 9-14'!C141,'Revenues 9-14'!D141,'Revenues 9-14'!G141)</f>
        <v>623</v>
      </c>
      <c r="G106" s="912"/>
    </row>
    <row r="107" spans="1:7" x14ac:dyDescent="0.2">
      <c r="A107" s="921" t="s">
        <v>664</v>
      </c>
      <c r="B107" s="908" t="s">
        <v>2004</v>
      </c>
      <c r="C107" s="920">
        <v>3300</v>
      </c>
      <c r="D107" s="911" t="str">
        <f>'Revenues 9-14'!A145</f>
        <v>Total Bilingual Ed</v>
      </c>
      <c r="E107" s="906"/>
      <c r="F107" s="1788">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8">
        <f>'Revenues 9-14'!C146</f>
        <v>3622</v>
      </c>
      <c r="G108" s="912"/>
    </row>
    <row r="109" spans="1:7" x14ac:dyDescent="0.2">
      <c r="A109" s="908" t="s">
        <v>673</v>
      </c>
      <c r="B109" s="908" t="s">
        <v>2006</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8">
        <f>SUM('Revenues 9-14'!C148,'Revenues 9-14'!D148)</f>
        <v>0</v>
      </c>
      <c r="G110" s="912"/>
    </row>
    <row r="111" spans="1:7" x14ac:dyDescent="0.2">
      <c r="A111" s="908" t="s">
        <v>668</v>
      </c>
      <c r="B111" s="908" t="s">
        <v>2008</v>
      </c>
      <c r="C111" s="922">
        <v>3500</v>
      </c>
      <c r="D111" s="911" t="str">
        <f>'Revenues 9-14'!A155</f>
        <v>Total Transportation</v>
      </c>
      <c r="E111" s="906"/>
      <c r="F111" s="1788">
        <f>SUM('Revenues 9-14'!C155,'Revenues 9-14'!D155,'Revenues 9-14'!F155,'Revenues 9-14'!G155)</f>
        <v>137667</v>
      </c>
      <c r="G111" s="912"/>
    </row>
    <row r="112" spans="1:7" x14ac:dyDescent="0.2">
      <c r="A112" s="908" t="s">
        <v>459</v>
      </c>
      <c r="B112" s="908" t="s">
        <v>2009</v>
      </c>
      <c r="C112" s="920">
        <f>'Revenues 9-14'!B156</f>
        <v>3610</v>
      </c>
      <c r="D112" s="911" t="str">
        <f>'Revenues 9-14'!A156</f>
        <v>Learning Improvement - Change Grants</v>
      </c>
      <c r="E112" s="906"/>
      <c r="F112" s="1788">
        <f>'Revenues 9-14'!C156</f>
        <v>0</v>
      </c>
      <c r="G112" s="912"/>
    </row>
    <row r="113" spans="1:7" x14ac:dyDescent="0.2">
      <c r="A113" s="908" t="s">
        <v>668</v>
      </c>
      <c r="B113" s="908" t="s">
        <v>2010</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5">
        <f>SUM('Revenues 9-14'!C163:G163)</f>
        <v>0</v>
      </c>
      <c r="G118" s="912"/>
    </row>
    <row r="119" spans="1:7" x14ac:dyDescent="0.2">
      <c r="A119" s="923" t="s">
        <v>504</v>
      </c>
      <c r="B119" s="923" t="s">
        <v>2016</v>
      </c>
      <c r="C119" s="924">
        <f>'Revenues 9-14'!B164</f>
        <v>3815</v>
      </c>
      <c r="D119" s="925" t="str">
        <f>'Revenues 9-14'!A164</f>
        <v>State Charter Schools</v>
      </c>
      <c r="E119" s="906"/>
      <c r="F119" s="1905">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8">
        <f>'Revenues 9-14'!D167</f>
        <v>0</v>
      </c>
      <c r="G120" s="930"/>
    </row>
    <row r="121" spans="1:7" x14ac:dyDescent="0.2">
      <c r="A121" s="927" t="s">
        <v>500</v>
      </c>
      <c r="B121" s="927" t="s">
        <v>2018</v>
      </c>
      <c r="C121" s="928">
        <f>'Revenues 9-14'!B168</f>
        <v>3999</v>
      </c>
      <c r="D121" s="929" t="s">
        <v>543</v>
      </c>
      <c r="E121" s="931"/>
      <c r="F121" s="1788">
        <f>SUM('Revenues 9-14'!C168:G168,'Revenues 9-14'!J168)</f>
        <v>750</v>
      </c>
      <c r="G121" s="930"/>
    </row>
    <row r="122" spans="1:7" x14ac:dyDescent="0.2">
      <c r="A122" s="927" t="s">
        <v>459</v>
      </c>
      <c r="B122" s="927" t="s">
        <v>2019</v>
      </c>
      <c r="C122" s="932">
        <f>'Revenues 9-14'!B177</f>
        <v>4045</v>
      </c>
      <c r="D122" s="929" t="str">
        <f>'Revenues 9-14'!A177 &amp; " (Subtract)"</f>
        <v>Head Start (Subtract)</v>
      </c>
      <c r="E122" s="906"/>
      <c r="F122" s="1788">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2021</v>
      </c>
      <c r="C124" s="932">
        <v>4100</v>
      </c>
      <c r="D124" s="933" t="str">
        <f>'Revenues 9-14'!A188</f>
        <v>Total Title V</v>
      </c>
      <c r="E124" s="906"/>
      <c r="F124" s="1788">
        <f>SUM('Revenues 9-14'!C188,'Revenues 9-14'!D188,'Revenues 9-14'!F188,'Revenues 9-14'!G188)</f>
        <v>19887</v>
      </c>
      <c r="G124" s="930"/>
    </row>
    <row r="125" spans="1:7" x14ac:dyDescent="0.2">
      <c r="A125" s="927" t="s">
        <v>664</v>
      </c>
      <c r="B125" s="927" t="s">
        <v>2022</v>
      </c>
      <c r="C125" s="932">
        <v>4200</v>
      </c>
      <c r="D125" s="929" t="str">
        <f>'Revenues 9-14'!A198</f>
        <v>Total Food Service</v>
      </c>
      <c r="E125" s="906"/>
      <c r="F125" s="1788">
        <f>SUM('Revenues 9-14'!C198,'Revenues 9-14'!G198)</f>
        <v>231999</v>
      </c>
      <c r="G125" s="930"/>
    </row>
    <row r="126" spans="1:7" x14ac:dyDescent="0.2">
      <c r="A126" s="927" t="s">
        <v>668</v>
      </c>
      <c r="B126" s="927" t="s">
        <v>2023</v>
      </c>
      <c r="C126" s="932">
        <v>4300</v>
      </c>
      <c r="D126" s="933" t="str">
        <f>'Revenues 9-14'!A204</f>
        <v>Total Title I</v>
      </c>
      <c r="E126" s="906"/>
      <c r="F126" s="1788">
        <f>SUM('Revenues 9-14'!C204,'Revenues 9-14'!D204,'Revenues 9-14'!F204,'Revenues 9-14'!G204)</f>
        <v>279156</v>
      </c>
      <c r="G126" s="930"/>
    </row>
    <row r="127" spans="1:7" x14ac:dyDescent="0.2">
      <c r="A127" s="927" t="s">
        <v>668</v>
      </c>
      <c r="B127" s="927" t="s">
        <v>2024</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8">
        <f>SUM('Revenues 9-14'!C214,'Revenues 9-14'!D214,'Revenues 9-14'!F214,'Revenues 9-14'!G214)</f>
        <v>8419</v>
      </c>
      <c r="G129" s="930"/>
    </row>
    <row r="130" spans="1:7" x14ac:dyDescent="0.2">
      <c r="A130" s="927" t="s">
        <v>668</v>
      </c>
      <c r="B130" s="927" t="s">
        <v>2027</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2028</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8">
        <v>0</v>
      </c>
      <c r="G138" s="905"/>
    </row>
    <row r="139" spans="1:7" s="867" customFormat="1" hidden="1" x14ac:dyDescent="0.2">
      <c r="A139" s="934" t="s">
        <v>206</v>
      </c>
      <c r="B139" s="934" t="s">
        <v>2035</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8">
        <f>SUM('Revenues 9-14'!C240:G240,'Revenues 9-14'!J240)</f>
        <v>44587</v>
      </c>
      <c r="G146" s="905"/>
    </row>
    <row r="147" spans="1:7" s="867" customFormat="1" hidden="1" x14ac:dyDescent="0.2">
      <c r="A147" s="934" t="s">
        <v>206</v>
      </c>
      <c r="B147" s="934" t="s">
        <v>2040</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2043</v>
      </c>
      <c r="C157" s="940" t="s">
        <v>841</v>
      </c>
      <c r="D157" s="941" t="s">
        <v>777</v>
      </c>
      <c r="E157" s="942"/>
      <c r="F157" s="1788">
        <f>SUM(F133:F156)</f>
        <v>44587</v>
      </c>
      <c r="G157" s="905"/>
    </row>
    <row r="158" spans="1:7" s="867" customFormat="1" x14ac:dyDescent="0.2">
      <c r="A158" s="938" t="s">
        <v>459</v>
      </c>
      <c r="B158" s="939" t="s">
        <v>2044</v>
      </c>
      <c r="C158" s="940" t="s">
        <v>1427</v>
      </c>
      <c r="D158" s="941" t="s">
        <v>1428</v>
      </c>
      <c r="E158" s="942"/>
      <c r="F158" s="1788">
        <f>SUM('Revenues 9-14'!C253)</f>
        <v>0</v>
      </c>
      <c r="G158" s="905"/>
    </row>
    <row r="159" spans="1:7" s="867" customFormat="1" x14ac:dyDescent="0.2">
      <c r="A159" s="938" t="s">
        <v>500</v>
      </c>
      <c r="B159" s="939" t="s">
        <v>2045</v>
      </c>
      <c r="C159" s="940" t="s">
        <v>1466</v>
      </c>
      <c r="D159" s="941" t="s">
        <v>1467</v>
      </c>
      <c r="E159" s="942"/>
      <c r="F159" s="1788">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5">
        <f>SUM('Revenues 9-14'!C259,'Revenues 9-14'!D259,'Revenues 9-14'!F259,'Revenues 9-14'!G259)</f>
        <v>27200</v>
      </c>
      <c r="G164" s="930"/>
    </row>
    <row r="165" spans="1:7" x14ac:dyDescent="0.2">
      <c r="A165" s="927" t="s">
        <v>668</v>
      </c>
      <c r="B165" s="927" t="s">
        <v>2051</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8">
        <f>SUM('Revenues 9-14'!C263:D263,'Revenues 9-14'!F263:G263)</f>
        <v>4166</v>
      </c>
      <c r="G168" s="947">
        <v>6320</v>
      </c>
    </row>
    <row r="169" spans="1:7" x14ac:dyDescent="0.2">
      <c r="A169" s="927" t="s">
        <v>668</v>
      </c>
      <c r="B169" s="927" t="s">
        <v>2053</v>
      </c>
      <c r="C169" s="932">
        <f>'Revenues 9-14'!B264</f>
        <v>4992</v>
      </c>
      <c r="D169" s="933" t="str">
        <f>'Revenues 9-14'!A264</f>
        <v>Medicaid Matching Funds - Fee-for-Service Program</v>
      </c>
      <c r="E169" s="906"/>
      <c r="F169" s="1788">
        <f>SUM('Revenues 9-14'!C264:D264,'Revenues 9-14'!F264:G264)</f>
        <v>72623</v>
      </c>
      <c r="G169" s="947"/>
    </row>
    <row r="170" spans="1:7" x14ac:dyDescent="0.2">
      <c r="A170" s="948" t="s">
        <v>668</v>
      </c>
      <c r="B170" s="944" t="s">
        <v>2054</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9"/>
      <c r="B174" s="1783"/>
      <c r="C174" s="1784"/>
      <c r="D174" s="1785" t="s">
        <v>2055</v>
      </c>
      <c r="E174" s="1786" t="s">
        <v>958</v>
      </c>
      <c r="F174" s="1787">
        <f>SUM(F84:F132,F157:F172)</f>
        <v>934654</v>
      </c>
    </row>
    <row r="175" spans="1:7" ht="12" customHeight="1" x14ac:dyDescent="0.2">
      <c r="A175" s="1769"/>
      <c r="B175" s="1783"/>
      <c r="C175" s="1784"/>
      <c r="D175" s="1785" t="s">
        <v>2056</v>
      </c>
      <c r="E175" s="1786"/>
      <c r="F175" s="1788">
        <f>'PCTC-OEPP 27-28'!F77-F174</f>
        <v>5245398</v>
      </c>
    </row>
    <row r="176" spans="1:7" ht="12" customHeight="1" x14ac:dyDescent="0.2">
      <c r="A176" s="1769"/>
      <c r="B176" s="1783"/>
      <c r="C176" s="1784"/>
      <c r="D176" s="1785" t="s">
        <v>1817</v>
      </c>
      <c r="E176" s="1786"/>
      <c r="F176" s="1788">
        <f>'Cap Outlay Deprec 26'!I18</f>
        <v>355506</v>
      </c>
    </row>
    <row r="177" spans="1:7" ht="12" customHeight="1" x14ac:dyDescent="0.2">
      <c r="A177" s="1769"/>
      <c r="B177" s="1783"/>
      <c r="C177" s="1784"/>
      <c r="D177" s="1785" t="s">
        <v>2057</v>
      </c>
      <c r="E177" s="1786"/>
      <c r="F177" s="1788">
        <f>F175+F176</f>
        <v>5600904</v>
      </c>
    </row>
    <row r="178" spans="1:7" ht="12" customHeight="1" x14ac:dyDescent="0.2">
      <c r="A178" s="1769"/>
      <c r="B178" s="1789"/>
      <c r="C178" s="1784"/>
      <c r="D178" s="1785" t="str">
        <f>D78</f>
        <v>9 Month ADA from District Average Daily Attendance/Prior General State Aid Inquiry 2018-2019</v>
      </c>
      <c r="E178" s="1786"/>
      <c r="F178" s="1790">
        <f>'PCTC-OEPP 27-28'!F78</f>
        <v>549.4</v>
      </c>
      <c r="G178" s="930"/>
    </row>
    <row r="179" spans="1:7" ht="12" customHeight="1" thickBot="1" x14ac:dyDescent="0.25">
      <c r="A179" s="1769"/>
      <c r="B179" s="1789"/>
      <c r="C179" s="1784"/>
      <c r="D179" s="1785" t="s">
        <v>2058</v>
      </c>
      <c r="E179" s="1786" t="s">
        <v>1545</v>
      </c>
      <c r="F179" s="1791">
        <f>F177/F178</f>
        <v>10194.583181652712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1993</v>
      </c>
      <c r="B182" s="1921"/>
      <c r="C182" s="1922"/>
      <c r="D182" s="1921"/>
      <c r="E182" s="1922"/>
      <c r="F182" s="1921"/>
      <c r="G182" s="1921"/>
    </row>
    <row r="183" spans="1:7" s="1920" customFormat="1" ht="12.2" customHeight="1" x14ac:dyDescent="0.2">
      <c r="A183" s="1923" t="s">
        <v>1995</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45" right="0.2" top="0.75" bottom="0.61" header="0.46" footer="0.32"/>
  <pageSetup scale="73" firstPageNumber="33" orientation="portrait" useFirstPageNumber="1" r:id="rId2"/>
  <headerFooter alignWithMargins="0">
    <oddHeader>&amp;CFairfield Public School District 112</oddHeader>
    <oddFooter>&amp;L&amp;9See accompanying notes to the financial statements.
&amp;C-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7"/>
  <sheetViews>
    <sheetView showGridLines="0" view="pageLayout" topLeftCell="A10" zoomScaleNormal="100" workbookViewId="0">
      <selection activeCell="C31" sqref="C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0" t="s">
        <v>1833</v>
      </c>
      <c r="B14" s="1661"/>
      <c r="C14" s="1661"/>
      <c r="D14" s="1661"/>
      <c r="E14" s="1661"/>
      <c r="F14" s="1661"/>
      <c r="G14" s="1662"/>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2118</v>
      </c>
      <c r="B17" s="1938" t="s">
        <v>2119</v>
      </c>
      <c r="C17" s="1936" t="s">
        <v>2117</v>
      </c>
      <c r="D17" s="1842">
        <v>261086</v>
      </c>
      <c r="E17" s="1540">
        <f t="shared" ref="E17:E37" si="0">IF(D17&lt;=25000,D17,IF(D17&gt;25000,25000,0))</f>
        <v>25000</v>
      </c>
      <c r="F17" s="1930">
        <f t="shared" ref="F17:F3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236086</v>
      </c>
      <c r="H17" s="1647"/>
    </row>
    <row r="18" spans="1:8" x14ac:dyDescent="0.25">
      <c r="A18" s="1653"/>
      <c r="B18" s="1932"/>
      <c r="C18" s="1655"/>
      <c r="D18" s="1842"/>
      <c r="E18" s="1540">
        <f t="shared" ref="E18:E36" si="2">IF(D18&lt;=25000,D18,IF(D18&gt;25000,25000,0))</f>
        <v>0</v>
      </c>
      <c r="F18" s="1930">
        <f t="shared" si="1"/>
        <v>0</v>
      </c>
      <c r="G18" s="1792">
        <f t="shared" ref="G18:G36" si="3">IF(F18=0,0,D18-F18)</f>
        <v>0</v>
      </c>
    </row>
    <row r="19" spans="1:8" x14ac:dyDescent="0.25">
      <c r="A19" s="1653"/>
      <c r="B19" s="1932"/>
      <c r="C19" s="1655"/>
      <c r="D19" s="1842"/>
      <c r="E19" s="1540">
        <f t="shared" si="2"/>
        <v>0</v>
      </c>
      <c r="F19" s="1930">
        <f t="shared" si="1"/>
        <v>0</v>
      </c>
      <c r="G19" s="1792">
        <f t="shared" si="3"/>
        <v>0</v>
      </c>
    </row>
    <row r="20" spans="1:8" x14ac:dyDescent="0.25">
      <c r="A20" s="1653"/>
      <c r="B20" s="1932"/>
      <c r="C20" s="1654"/>
      <c r="D20" s="1842"/>
      <c r="E20" s="1540">
        <f t="shared" si="2"/>
        <v>0</v>
      </c>
      <c r="F20" s="1930">
        <f t="shared" si="1"/>
        <v>0</v>
      </c>
      <c r="G20" s="1792">
        <f t="shared" si="3"/>
        <v>0</v>
      </c>
    </row>
    <row r="21" spans="1:8" x14ac:dyDescent="0.25">
      <c r="A21" s="1653"/>
      <c r="B21" s="1932"/>
      <c r="C21" s="1654"/>
      <c r="D21" s="1842"/>
      <c r="E21" s="1540">
        <f t="shared" si="2"/>
        <v>0</v>
      </c>
      <c r="F21" s="1930">
        <f t="shared" si="1"/>
        <v>0</v>
      </c>
      <c r="G21" s="1792">
        <f t="shared" si="3"/>
        <v>0</v>
      </c>
    </row>
    <row r="22" spans="1:8" x14ac:dyDescent="0.25">
      <c r="A22" s="1653"/>
      <c r="B22" s="1932"/>
      <c r="C22" s="1654"/>
      <c r="D22" s="1842"/>
      <c r="E22" s="1540">
        <f t="shared" si="2"/>
        <v>0</v>
      </c>
      <c r="F22" s="1930">
        <f t="shared" si="1"/>
        <v>0</v>
      </c>
      <c r="G22" s="1792">
        <f t="shared" si="3"/>
        <v>0</v>
      </c>
    </row>
    <row r="23" spans="1:8" x14ac:dyDescent="0.25">
      <c r="A23" s="1653"/>
      <c r="B23" s="1932"/>
      <c r="C23" s="1654"/>
      <c r="D23" s="1842"/>
      <c r="E23" s="1540">
        <f t="shared" si="2"/>
        <v>0</v>
      </c>
      <c r="F23" s="1930">
        <f t="shared" si="1"/>
        <v>0</v>
      </c>
      <c r="G23" s="1792">
        <f t="shared" si="3"/>
        <v>0</v>
      </c>
    </row>
    <row r="24" spans="1:8" x14ac:dyDescent="0.25">
      <c r="A24" s="1653"/>
      <c r="B24" s="1932"/>
      <c r="C24" s="1654"/>
      <c r="D24" s="1842"/>
      <c r="E24" s="1540">
        <f t="shared" si="2"/>
        <v>0</v>
      </c>
      <c r="F24" s="1930">
        <f t="shared" si="1"/>
        <v>0</v>
      </c>
      <c r="G24" s="1792">
        <f t="shared" si="3"/>
        <v>0</v>
      </c>
    </row>
    <row r="25" spans="1:8" x14ac:dyDescent="0.25">
      <c r="A25" s="1653"/>
      <c r="B25" s="1932"/>
      <c r="C25" s="1654"/>
      <c r="D25" s="1842"/>
      <c r="E25" s="1540">
        <f t="shared" si="2"/>
        <v>0</v>
      </c>
      <c r="F25" s="1930">
        <f t="shared" si="1"/>
        <v>0</v>
      </c>
      <c r="G25" s="1792">
        <f t="shared" si="3"/>
        <v>0</v>
      </c>
    </row>
    <row r="26" spans="1:8" x14ac:dyDescent="0.25">
      <c r="A26" s="1653"/>
      <c r="B26" s="1932"/>
      <c r="C26" s="1654"/>
      <c r="D26" s="1842"/>
      <c r="E26" s="1540">
        <f t="shared" si="2"/>
        <v>0</v>
      </c>
      <c r="F26" s="1930">
        <f t="shared" si="1"/>
        <v>0</v>
      </c>
      <c r="G26" s="1792">
        <f t="shared" si="3"/>
        <v>0</v>
      </c>
    </row>
    <row r="27" spans="1:8" x14ac:dyDescent="0.25">
      <c r="A27" s="1653"/>
      <c r="B27" s="1932"/>
      <c r="C27" s="1654"/>
      <c r="D27" s="1842"/>
      <c r="E27" s="1540">
        <f t="shared" si="2"/>
        <v>0</v>
      </c>
      <c r="F27" s="1930">
        <f t="shared" si="1"/>
        <v>0</v>
      </c>
      <c r="G27" s="1792">
        <f t="shared" si="3"/>
        <v>0</v>
      </c>
    </row>
    <row r="28" spans="1:8" x14ac:dyDescent="0.25">
      <c r="A28" s="1653"/>
      <c r="B28" s="1932"/>
      <c r="C28" s="1654"/>
      <c r="D28" s="1842"/>
      <c r="E28" s="1540">
        <f t="shared" si="2"/>
        <v>0</v>
      </c>
      <c r="F28" s="1930">
        <f t="shared" si="1"/>
        <v>0</v>
      </c>
      <c r="G28" s="1792">
        <f t="shared" si="3"/>
        <v>0</v>
      </c>
    </row>
    <row r="29" spans="1:8" x14ac:dyDescent="0.25">
      <c r="A29" s="1653"/>
      <c r="B29" s="1933"/>
      <c r="C29" s="1654"/>
      <c r="D29" s="1842"/>
      <c r="E29" s="1540">
        <f t="shared" si="2"/>
        <v>0</v>
      </c>
      <c r="F29" s="1930">
        <f t="shared" si="1"/>
        <v>0</v>
      </c>
      <c r="G29" s="1792">
        <f t="shared" si="3"/>
        <v>0</v>
      </c>
    </row>
    <row r="30" spans="1:8" x14ac:dyDescent="0.25">
      <c r="A30" s="1653"/>
      <c r="B30" s="1933"/>
      <c r="C30" s="1654"/>
      <c r="D30" s="1842"/>
      <c r="E30" s="1540">
        <f t="shared" si="2"/>
        <v>0</v>
      </c>
      <c r="F30" s="1930">
        <f t="shared" si="1"/>
        <v>0</v>
      </c>
      <c r="G30" s="1792">
        <f t="shared" si="3"/>
        <v>0</v>
      </c>
    </row>
    <row r="31" spans="1:8" x14ac:dyDescent="0.25">
      <c r="A31" s="1653"/>
      <c r="B31" s="1933"/>
      <c r="C31" s="1654"/>
      <c r="D31" s="1842"/>
      <c r="E31" s="1540">
        <f t="shared" si="2"/>
        <v>0</v>
      </c>
      <c r="F31" s="1930">
        <f t="shared" si="1"/>
        <v>0</v>
      </c>
      <c r="G31" s="1792">
        <f t="shared" si="3"/>
        <v>0</v>
      </c>
    </row>
    <row r="32" spans="1:8" x14ac:dyDescent="0.25">
      <c r="A32" s="1653"/>
      <c r="B32" s="1933"/>
      <c r="C32" s="1654"/>
      <c r="D32" s="1842"/>
      <c r="E32" s="1540">
        <f t="shared" si="2"/>
        <v>0</v>
      </c>
      <c r="F32" s="1930">
        <f t="shared" si="1"/>
        <v>0</v>
      </c>
      <c r="G32" s="1792">
        <f t="shared" si="3"/>
        <v>0</v>
      </c>
    </row>
    <row r="33" spans="1:7" x14ac:dyDescent="0.25">
      <c r="A33" s="1653"/>
      <c r="B33" s="1666"/>
      <c r="C33" s="1654"/>
      <c r="D33" s="1842"/>
      <c r="E33" s="1540">
        <f t="shared" ref="E33:E35" si="4">IF(D33&lt;=25000,D33,IF(D33&gt;25000,25000,0))</f>
        <v>0</v>
      </c>
      <c r="F33" s="1930">
        <f t="shared" ref="F33:F36" si="5">IF(OR(B33="10-1000-100",B33="10-1000-200",B33="10-1000-300",B33="10-1000-400",B33="10-1000-600",B33="10-1000-800",B33="50-1000-200",B33="10-2100-100",B33="10-2100-200",B33="10-2100-300",B33="10-2100-400",B33="10-2100-600",B33="10-2100-800",B33="20-2100-100",B33="20-2100-200",B33="20-2100-300",B33="20-2100-400",B33="20-2100-600",B33="20-2100-800",B33="40-2100-100",B33="40-2100-200",B33="40-2100-300",B33="40-2100-400",B33="40-2100-600",B33="40-2100-800",B33="50-2100-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10-2540-800",B33="20-2540-100",B33="20-2540-200",B33="20-2540-300",B33="20-2540-400",B33="20-2540-600",B33="20-2540-800",B33="50-2540-200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10-3000-100",B33="10-3000-200",B33="10-3000-300",B33="10-3000-400",B33="10-3000-600",B33="10-3000-800",B33="20-3000-100",B33="20-3000-200",B33="20-3000-300",B33="20-3000-400",B33="20-3000-600",B33="20-3000-800",B33="40-3000-100",B33="40-3000-200",B33="40-3000-300",B33="40-3000-400",B33="40-3000-600",B33="40-3000-800",B33="50-3000-200"),E33,0)</f>
        <v>0</v>
      </c>
      <c r="G33" s="1792">
        <f t="shared" ref="G33:G35" si="6">IF(F33=0,0,D33-F33)</f>
        <v>0</v>
      </c>
    </row>
    <row r="34" spans="1:7" x14ac:dyDescent="0.25">
      <c r="A34" s="1653"/>
      <c r="B34" s="1666"/>
      <c r="C34" s="1654"/>
      <c r="D34" s="1842"/>
      <c r="E34" s="1540">
        <f t="shared" si="4"/>
        <v>0</v>
      </c>
      <c r="F34" s="1930">
        <f t="shared" si="5"/>
        <v>0</v>
      </c>
      <c r="G34" s="1792">
        <f t="shared" si="6"/>
        <v>0</v>
      </c>
    </row>
    <row r="35" spans="1:7" x14ac:dyDescent="0.25">
      <c r="A35" s="1653"/>
      <c r="B35" s="1666"/>
      <c r="C35" s="1654"/>
      <c r="D35" s="1842"/>
      <c r="E35" s="1540">
        <f t="shared" si="4"/>
        <v>0</v>
      </c>
      <c r="F35" s="1930">
        <f t="shared" si="5"/>
        <v>0</v>
      </c>
      <c r="G35" s="1792">
        <f t="shared" si="6"/>
        <v>0</v>
      </c>
    </row>
    <row r="36" spans="1:7" x14ac:dyDescent="0.25">
      <c r="A36" s="1653"/>
      <c r="B36" s="1665"/>
      <c r="C36" s="1654"/>
      <c r="D36" s="1842"/>
      <c r="E36" s="1540">
        <f t="shared" si="2"/>
        <v>0</v>
      </c>
      <c r="F36" s="1930">
        <f t="shared" si="5"/>
        <v>0</v>
      </c>
      <c r="G36" s="1792">
        <f t="shared" si="3"/>
        <v>0</v>
      </c>
    </row>
    <row r="37" spans="1:7" x14ac:dyDescent="0.25">
      <c r="A37" s="1795" t="s">
        <v>156</v>
      </c>
      <c r="B37" s="1796"/>
      <c r="C37" s="1797"/>
      <c r="D37" s="1793">
        <f>SUM(D17:D36)</f>
        <v>261086</v>
      </c>
      <c r="E37" s="1541">
        <f t="shared" si="0"/>
        <v>25000</v>
      </c>
      <c r="F37" s="1931">
        <f>SUM(F17:F36)</f>
        <v>25000</v>
      </c>
      <c r="G37" s="1794">
        <f>SUM(G17:G36)</f>
        <v>236086</v>
      </c>
    </row>
  </sheetData>
  <sheetProtection selectLockedCells="1"/>
  <mergeCells count="6">
    <mergeCell ref="A13:G13"/>
    <mergeCell ref="A4:G5"/>
    <mergeCell ref="A11:G11"/>
    <mergeCell ref="A7:G7"/>
    <mergeCell ref="A8:G8"/>
    <mergeCell ref="A9:G9"/>
  </mergeCells>
  <pageMargins left="0.42" right="0.2" top="0.5" bottom="0" header="0.3" footer="0.33"/>
  <pageSetup scale="80" firstPageNumber="35" fitToHeight="0" orientation="landscape" useFirstPageNumber="1" r:id="rId1"/>
  <headerFooter>
    <oddHeader>&amp;CFairfield Public School District 112</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0" colorId="8"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2943</v>
      </c>
      <c r="F10" s="974"/>
      <c r="G10" s="975"/>
      <c r="H10" s="162"/>
      <c r="I10" s="162"/>
    </row>
    <row r="11" spans="1:9" s="668" customFormat="1" ht="22.5" customHeight="1" x14ac:dyDescent="0.2">
      <c r="A11" s="2285" t="s">
        <v>1976</v>
      </c>
      <c r="B11" s="2286"/>
      <c r="C11" s="2286"/>
      <c r="D11" s="2287"/>
      <c r="E11" s="977">
        <v>25765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3742612</v>
      </c>
      <c r="F19" s="1798"/>
      <c r="G19" s="1800">
        <f>'Expenditures 15-22'!K33-SUM('Expenditures 15-22'!G33,'Expenditures 15-22'!I33)+'Expenditures 15-22'!D229</f>
        <v>3742612</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209660</v>
      </c>
      <c r="F21" s="1801"/>
      <c r="G21" s="1804">
        <f>'Expenditures 15-22'!K42-SUM('Expenditures 15-22'!G42,'Expenditures 15-22'!I42)+'Expenditures 15-22'!K120-SUM('Expenditures 15-22'!G120,'Expenditures 15-22'!I120)+'Expenditures 15-22'!K180-SUM('Expenditures 15-22'!G180,'Expenditures 15-22'!I180)+'Expenditures 15-22'!D238</f>
        <v>209660</v>
      </c>
      <c r="H21" s="987"/>
      <c r="I21" s="162"/>
    </row>
    <row r="22" spans="1:9" s="668" customFormat="1" ht="12" customHeight="1" x14ac:dyDescent="0.2">
      <c r="A22" s="994" t="s">
        <v>564</v>
      </c>
      <c r="B22" s="995"/>
      <c r="C22" s="993">
        <v>2200</v>
      </c>
      <c r="D22" s="1801"/>
      <c r="E22" s="1803">
        <f>'Expenditures 15-22'!K47-SUM('Expenditures 15-22'!G47,'Expenditures 15-22'!I47)+'Expenditures 15-22'!D243</f>
        <v>81270</v>
      </c>
      <c r="F22" s="1801"/>
      <c r="G22" s="1804">
        <f>'Expenditures 15-22'!K47-SUM('Expenditures 15-22'!G47,'Expenditures 15-22'!I47)+'Expenditures 15-22'!D243</f>
        <v>81270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350080</v>
      </c>
      <c r="F23" s="1801"/>
      <c r="G23" s="1803">
        <f>'Expenditures 15-22'!K53-SUM('Expenditures 15-22'!G53,'Expenditures 15-22'!I53)+'Expenditures 15-22'!D257+'Expenditures 15-22'!K330-SUM('Expenditures 15-22'!G330,'Expenditures 15-22'!I330)</f>
        <v>350080</v>
      </c>
      <c r="H23" s="987"/>
      <c r="I23" s="162"/>
    </row>
    <row r="24" spans="1:9" s="668" customFormat="1" ht="12" customHeight="1" x14ac:dyDescent="0.2">
      <c r="A24" s="994" t="s">
        <v>566</v>
      </c>
      <c r="B24" s="995"/>
      <c r="C24" s="993">
        <v>2400</v>
      </c>
      <c r="D24" s="1801"/>
      <c r="E24" s="1803">
        <f>'Expenditures 15-22'!K57-SUM('Expenditures 15-22'!G57,'Expenditures 15-22'!I57)+'Expenditures 15-22'!D261</f>
        <v>390434</v>
      </c>
      <c r="F24" s="1801"/>
      <c r="G24" s="1804">
        <f>'Expenditures 15-22'!K57-SUM('Expenditures 15-22'!G57,'Expenditures 15-22'!I57)+'Expenditures 15-22'!D261</f>
        <v>390434</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86191</v>
      </c>
      <c r="E27" s="1803">
        <f>E8</f>
        <v>0</v>
      </c>
      <c r="F27" s="1803">
        <f>'Expenditures 15-22'!K60-SUM('Expenditures 15-22'!G60,'Expenditures 15-22'!I60)+'Expenditures 15-22'!D264-E8</f>
        <v>86191</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613014</v>
      </c>
      <c r="F28" s="1805">
        <f>'Expenditures 15-22'!K61-SUM('Expenditures 15-22'!G61,'Expenditures 15-22'!I61)+'Expenditures 15-22'!K124-SUM('Expenditures 15-22'!G124,'Expenditures 15-22'!I124)+'Expenditures 15-22'!D266-E9</f>
        <v>613014</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278307</v>
      </c>
      <c r="F29" s="1801"/>
      <c r="G29" s="1804">
        <f>'Expenditures 15-22'!K62-SUM('Expenditures 15-22'!G62,'Expenditures 15-22'!I62)+'Expenditures 15-22'!K125-SUM('Expenditures 15-22'!G125,'Expenditures 15-22'!I125)+'Expenditures 15-22'!K182-SUM('Expenditures 15-22'!G182,'Expenditures 15-22'!I182)+'Expenditures 15-22'!D267</f>
        <v>278307</v>
      </c>
      <c r="H29" s="985"/>
    </row>
    <row r="30" spans="1:9" ht="12" customHeight="1" x14ac:dyDescent="0.2">
      <c r="A30" s="994" t="s">
        <v>100</v>
      </c>
      <c r="B30" s="997"/>
      <c r="C30" s="993">
        <v>2560</v>
      </c>
      <c r="D30" s="1801"/>
      <c r="E30" s="1803">
        <f>'Expenditures 15-22'!K63-SUM('Expenditures 15-22'!G63,'Expenditures 15-22'!I63)+'Expenditures 15-22'!D268-E10</f>
        <v>274530</v>
      </c>
      <c r="F30" s="1801"/>
      <c r="G30" s="1803">
        <f>'Expenditures 15-22'!K63-SUM('Expenditures 15-22'!G63,'Expenditures 15-22'!I63)+'Expenditures 15-22'!D268-E10</f>
        <v>274530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30405</v>
      </c>
      <c r="F39" s="1801"/>
      <c r="G39" s="1803">
        <f>'Expenditures 15-22'!K75-SUM('Expenditures 15-22'!G75,'Expenditures 15-22'!I75)+'Expenditures 15-22'!K130-SUM('Expenditures 15-22'!G130,'Expenditures 15-22'!I130)+'Expenditures 15-22'!K185-SUM('Expenditures 15-22'!G185,'Expenditures 15-22'!I185)+'Expenditures 15-22'!D280</f>
        <v>30405</v>
      </c>
    </row>
    <row r="40" spans="1:7" ht="12" customHeight="1" x14ac:dyDescent="0.2">
      <c r="A40" s="990" t="s">
        <v>1823</v>
      </c>
      <c r="B40" s="991"/>
      <c r="C40" s="993"/>
      <c r="D40" s="1801"/>
      <c r="E40" s="1805">
        <f>-'Contracts Paid in CY 29'!G37</f>
        <v>-236086</v>
      </c>
      <c r="F40" s="1801"/>
      <c r="G40" s="1805">
        <f>-'Contracts Paid in CY 29'!G37</f>
        <v>-236086</v>
      </c>
    </row>
    <row r="41" spans="1:7" ht="12" customHeight="1" x14ac:dyDescent="0.2">
      <c r="A41" s="998" t="s">
        <v>156</v>
      </c>
      <c r="B41" s="999"/>
      <c r="C41" s="1000"/>
      <c r="D41" s="1805">
        <f>SUM(D19:D39)</f>
        <v>86191</v>
      </c>
      <c r="E41" s="1805">
        <f>SUM(E19:E40)</f>
        <v>5734226</v>
      </c>
      <c r="F41" s="1805">
        <f>SUM(F19:F39)</f>
        <v>699205</v>
      </c>
      <c r="G41" s="1805">
        <f>SUM(G19:G40)</f>
        <v>5121212</v>
      </c>
    </row>
    <row r="42" spans="1:7" x14ac:dyDescent="0.2">
      <c r="A42" s="987"/>
      <c r="B42" s="162"/>
      <c r="C42" s="1001"/>
      <c r="D42" s="2283" t="s">
        <v>522</v>
      </c>
      <c r="E42" s="2284"/>
      <c r="F42" s="1002" t="s">
        <v>523</v>
      </c>
      <c r="G42" s="1003"/>
    </row>
    <row r="43" spans="1:7" ht="12" customHeight="1" x14ac:dyDescent="0.2">
      <c r="A43" s="987"/>
      <c r="B43" s="162"/>
      <c r="C43" s="1001"/>
      <c r="D43" s="1806" t="s">
        <v>473</v>
      </c>
      <c r="E43" s="1807">
        <f>D41</f>
        <v>86191</v>
      </c>
      <c r="F43" s="1806" t="s">
        <v>473</v>
      </c>
      <c r="G43" s="1807">
        <f>F41</f>
        <v>699205</v>
      </c>
    </row>
    <row r="44" spans="1:7" ht="12" customHeight="1" x14ac:dyDescent="0.2">
      <c r="A44" s="987"/>
      <c r="B44" s="162"/>
      <c r="C44" s="1001"/>
      <c r="D44" s="1806" t="s">
        <v>474</v>
      </c>
      <c r="E44" s="1807">
        <f>E41</f>
        <v>5734226</v>
      </c>
      <c r="F44" s="1806" t="s">
        <v>474</v>
      </c>
      <c r="G44" s="1807">
        <f>G41</f>
        <v>5121212</v>
      </c>
    </row>
    <row r="45" spans="1:7" ht="12" customHeight="1" x14ac:dyDescent="0.2">
      <c r="A45" s="987"/>
      <c r="B45" s="162"/>
      <c r="C45" s="162"/>
      <c r="D45" s="1808" t="s">
        <v>1006</v>
      </c>
      <c r="E45" s="1809">
        <f>(E43/E44)</f>
        <v>1.5030973665844353E-2</v>
      </c>
      <c r="F45" s="1808" t="s">
        <v>1006</v>
      </c>
      <c r="G45" s="1809">
        <f>(G43/G44)</f>
        <v>0.13653115707766053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54" header="0.39" footer="0.26"/>
  <pageSetup scale="85" firstPageNumber="30" orientation="landscape" useFirstPageNumber="1" r:id="rId1"/>
  <headerFooter alignWithMargins="0">
    <oddHeader>&amp;C&amp;"Arial,Bold"Fairfield Public School District 112
ESTIMATED INDIRECT COST DATA</oddHeader>
    <oddFooter>&amp;L&amp;9See accompanying notes to the financial statements.
&amp;C- 36 -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E27" sqref="E2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1" t="s">
        <v>1379</v>
      </c>
      <c r="B1" s="2291"/>
      <c r="C1" s="2291"/>
      <c r="D1" s="2291"/>
      <c r="E1" s="2291"/>
      <c r="F1" s="2291"/>
    </row>
    <row r="2" spans="1:10" x14ac:dyDescent="0.2">
      <c r="A2" s="1885" t="s">
        <v>1911</v>
      </c>
      <c r="B2" s="1846"/>
      <c r="C2" s="1885"/>
      <c r="D2" s="1846"/>
      <c r="E2" s="1846"/>
      <c r="F2" s="1847"/>
    </row>
    <row r="3" spans="1:10" x14ac:dyDescent="0.2">
      <c r="A3" s="1885" t="s">
        <v>1977</v>
      </c>
      <c r="B3" s="1846"/>
      <c r="C3" s="1885"/>
      <c r="D3" s="1846"/>
      <c r="E3" s="1846"/>
      <c r="F3" s="1847"/>
    </row>
    <row r="4" spans="1:10" ht="3.75" customHeight="1" x14ac:dyDescent="0.2">
      <c r="A4" s="1846"/>
      <c r="B4" s="1846"/>
      <c r="C4" s="1846"/>
      <c r="D4" s="1846"/>
      <c r="E4" s="1846"/>
      <c r="F4" s="1847"/>
    </row>
    <row r="5" spans="1:10" ht="15" x14ac:dyDescent="0.25">
      <c r="A5" s="2292" t="s">
        <v>1546</v>
      </c>
      <c r="B5" s="2293"/>
      <c r="C5" s="2294"/>
      <c r="D5" s="2294"/>
      <c r="E5" s="2294"/>
      <c r="F5" s="2294"/>
    </row>
    <row r="6" spans="1:10" ht="12" customHeight="1" x14ac:dyDescent="0.25">
      <c r="A6" s="1848"/>
      <c r="B6" s="1849"/>
      <c r="C6" s="2295" t="str">
        <f>COVER!A17</f>
        <v>Fairfield PSD 112</v>
      </c>
      <c r="D6" s="2295"/>
      <c r="E6" s="2295"/>
      <c r="F6" s="1850"/>
    </row>
    <row r="7" spans="1:10" ht="11.25" customHeight="1" thickBot="1" x14ac:dyDescent="0.3">
      <c r="A7" s="1848"/>
      <c r="B7" s="1849"/>
      <c r="C7" s="2296">
        <f>COVER!A13</f>
        <v>20096112004</v>
      </c>
      <c r="D7" s="2296"/>
      <c r="E7" s="2296"/>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t="s">
        <v>2064</v>
      </c>
      <c r="D13" s="1863" t="s">
        <v>2064</v>
      </c>
      <c r="E13" s="1866" t="s">
        <v>2064</v>
      </c>
      <c r="F13" s="1865" t="s">
        <v>2092</v>
      </c>
      <c r="H13" s="1876">
        <f t="shared" si="0"/>
        <v>5</v>
      </c>
      <c r="I13" s="1876">
        <f t="shared" si="1"/>
        <v>5</v>
      </c>
      <c r="J13" s="1876">
        <f t="shared" si="2"/>
        <v>5</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2064</v>
      </c>
      <c r="D26" s="1863" t="s">
        <v>2064</v>
      </c>
      <c r="E26" s="1866" t="s">
        <v>2064</v>
      </c>
      <c r="F26" s="1865" t="s">
        <v>2093</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10</v>
      </c>
      <c r="I34" s="1876">
        <f>SUM(I11:I32)</f>
        <v>10</v>
      </c>
      <c r="J34" s="1876">
        <f>SUM(J11:J32)</f>
        <v>10</v>
      </c>
      <c r="K34" s="1876">
        <f>SUM(H34:J34)</f>
        <v>30</v>
      </c>
    </row>
    <row r="35" spans="1:11" ht="12" customHeight="1" x14ac:dyDescent="0.2">
      <c r="A35" s="1869" t="s">
        <v>1392</v>
      </c>
      <c r="B35" s="1870"/>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1"/>
      <c r="B39" s="1871"/>
      <c r="C39" s="1871"/>
      <c r="D39" s="1871"/>
      <c r="E39" s="1871"/>
      <c r="F39" s="1871"/>
    </row>
    <row r="40" spans="1:11" s="1868" customFormat="1" ht="12" customHeight="1" x14ac:dyDescent="0.25">
      <c r="A40" s="1872" t="s">
        <v>1391</v>
      </c>
      <c r="B40" s="1873"/>
      <c r="C40" s="2305"/>
      <c r="D40" s="2305"/>
      <c r="E40" s="2305"/>
      <c r="F40" s="2306"/>
      <c r="H40" s="1877"/>
      <c r="I40" s="1877"/>
      <c r="J40" s="1877"/>
      <c r="K40" s="1877"/>
    </row>
    <row r="41" spans="1:11" s="1868" customFormat="1" ht="12" customHeight="1" x14ac:dyDescent="0.25">
      <c r="A41" s="2307"/>
      <c r="B41" s="2308"/>
      <c r="C41" s="2308"/>
      <c r="D41" s="2308"/>
      <c r="E41" s="2308"/>
      <c r="F41" s="2309"/>
      <c r="H41" s="1877"/>
      <c r="I41" s="1877"/>
      <c r="J41" s="1877"/>
      <c r="K41" s="1877"/>
    </row>
    <row r="42" spans="1:11" s="1868" customFormat="1" ht="12" customHeight="1" x14ac:dyDescent="0.25">
      <c r="A42" s="2307"/>
      <c r="B42" s="2308"/>
      <c r="C42" s="2308"/>
      <c r="D42" s="2308"/>
      <c r="E42" s="2308"/>
      <c r="F42" s="2309"/>
      <c r="H42" s="1877"/>
      <c r="I42" s="1877"/>
      <c r="J42" s="1877"/>
      <c r="K42" s="1877"/>
    </row>
    <row r="43" spans="1:11" s="1868" customFormat="1" ht="15" x14ac:dyDescent="0.25">
      <c r="A43" s="2299"/>
      <c r="B43" s="2300"/>
      <c r="C43" s="2300"/>
      <c r="D43" s="2300"/>
      <c r="E43" s="2300"/>
      <c r="F43" s="2301"/>
      <c r="H43" s="1877"/>
      <c r="I43" s="1877"/>
      <c r="J43" s="1877"/>
      <c r="K43" s="1877"/>
    </row>
    <row r="44" spans="1:11" s="1868" customFormat="1" ht="12" hidden="1" customHeight="1" x14ac:dyDescent="0.25">
      <c r="A44" s="2299"/>
      <c r="B44" s="2300"/>
      <c r="C44" s="2300"/>
      <c r="D44" s="2300"/>
      <c r="E44" s="2300"/>
      <c r="F44" s="2301"/>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5" right="0.2" top="0.68" bottom="0.66" header="0.43" footer="0.36"/>
  <pageSetup scale="82" orientation="landscape" r:id="rId1"/>
  <headerFooter>
    <oddHeader>&amp;CFairfield Public School District 112</oddHeader>
    <oddFooter>&amp;L&amp;9See accompanying notes to the financial statements.
&amp;C- 37 -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10" colorId="8" zoomScaleNormal="110" workbookViewId="0">
      <selection activeCell="F31" sqref="F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5" t="str">
        <f>COVER!A17</f>
        <v>Fairfield PSD 112</v>
      </c>
      <c r="J6" s="2316"/>
      <c r="Q6" s="1663"/>
    </row>
    <row r="7" spans="1:17" x14ac:dyDescent="0.2">
      <c r="A7" s="2317" t="s">
        <v>869</v>
      </c>
      <c r="B7" s="2318"/>
      <c r="C7" s="2318"/>
      <c r="D7" s="2318"/>
      <c r="E7" s="2319"/>
      <c r="F7" s="1017"/>
      <c r="G7" s="1009"/>
      <c r="H7" s="1016" t="s">
        <v>372</v>
      </c>
      <c r="I7" s="2320">
        <f>COVER!A13</f>
        <v>20096112004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1978</v>
      </c>
      <c r="F9" s="1023"/>
      <c r="G9" s="1023"/>
      <c r="H9" s="1894"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107586</v>
      </c>
      <c r="F12" s="1039"/>
      <c r="G12" s="1810">
        <f t="shared" ref="G12:G18" si="0">SUM(E12:F12)</f>
        <v>107586</v>
      </c>
      <c r="H12" s="1040">
        <v>110000</v>
      </c>
      <c r="I12" s="1039"/>
      <c r="J12" s="1810">
        <f t="shared" ref="J12:J18" si="1">SUM(H12:I12)</f>
        <v>110000</v>
      </c>
    </row>
    <row r="13" spans="1:17" ht="15" customHeight="1" x14ac:dyDescent="0.2">
      <c r="A13" s="1035">
        <v>2</v>
      </c>
      <c r="B13" s="1036" t="s">
        <v>42</v>
      </c>
      <c r="C13" s="1037"/>
      <c r="D13" s="1038">
        <v>2330</v>
      </c>
      <c r="E13" s="1810">
        <f>'Expenditures 15-22'!K51</f>
        <v>167</v>
      </c>
      <c r="F13" s="1039"/>
      <c r="G13" s="1810">
        <f t="shared" si="0"/>
        <v>167</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v>10570</v>
      </c>
      <c r="F18" s="1043"/>
      <c r="G18" s="1811">
        <f t="shared" si="0"/>
        <v>10570</v>
      </c>
      <c r="H18" s="1040">
        <v>12254</v>
      </c>
      <c r="I18" s="1040"/>
      <c r="J18" s="1810">
        <f t="shared" si="1"/>
        <v>12254</v>
      </c>
    </row>
    <row r="19" spans="1:10" ht="12.75" customHeight="1" thickBot="1" x14ac:dyDescent="0.25">
      <c r="A19" s="1035">
        <v>8</v>
      </c>
      <c r="B19" s="1044" t="s">
        <v>1161</v>
      </c>
      <c r="D19" s="1045"/>
      <c r="E19" s="1812">
        <f t="shared" ref="E19:J19" si="2">SUM(E12:E17)-E18</f>
        <v>97183</v>
      </c>
      <c r="F19" s="1812">
        <f t="shared" si="2"/>
        <v>0</v>
      </c>
      <c r="G19" s="1812">
        <f t="shared" si="2"/>
        <v>97183</v>
      </c>
      <c r="H19" s="1812">
        <f t="shared" si="2"/>
        <v>97746</v>
      </c>
      <c r="I19" s="1812">
        <f t="shared" si="2"/>
        <v>0</v>
      </c>
      <c r="J19" s="1812">
        <f t="shared" si="2"/>
        <v>97746</v>
      </c>
    </row>
    <row r="20" spans="1:10" ht="13.5" thickTop="1" x14ac:dyDescent="0.2">
      <c r="A20" s="1035">
        <v>9</v>
      </c>
      <c r="B20" s="2327" t="s">
        <v>1980</v>
      </c>
      <c r="C20" s="2327"/>
      <c r="D20" s="2328"/>
      <c r="E20" s="1046"/>
      <c r="F20" s="1046"/>
      <c r="G20" s="1046"/>
      <c r="H20" s="1046"/>
      <c r="I20" s="1046"/>
      <c r="J20" s="1813">
        <f>IF(AND(G19&gt;0,J19&gt;0),(((J19-G19)/G19)),"Enter Budget Data")</f>
        <v>5.7931942829507217E-3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&amp;CFairfield Public School District 112</oddHeader>
    <oddFooter>&amp;LSee accompanying notes to the financial statements.
&amp;C- 38 -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view="pageLayout" zoomScaleNormal="110" workbookViewId="0">
      <selection activeCell="A15" sqref="A15"/>
    </sheetView>
  </sheetViews>
  <sheetFormatPr defaultRowHeight="12.75" x14ac:dyDescent="0.2"/>
  <cols>
    <col min="1" max="1" width="3.85546875"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2079</v>
      </c>
    </row>
    <row r="6" spans="1:2" x14ac:dyDescent="0.2">
      <c r="A6" s="1068">
        <v>2</v>
      </c>
      <c r="B6" s="329" t="s">
        <v>2080</v>
      </c>
    </row>
    <row r="7" spans="1:2" x14ac:dyDescent="0.2">
      <c r="A7" s="1068">
        <v>3</v>
      </c>
      <c r="B7" s="329" t="s">
        <v>2082</v>
      </c>
    </row>
    <row r="8" spans="1:2" x14ac:dyDescent="0.2">
      <c r="A8" s="1068">
        <v>4</v>
      </c>
      <c r="B8" s="329" t="s">
        <v>2081</v>
      </c>
    </row>
    <row r="9" spans="1:2" x14ac:dyDescent="0.2">
      <c r="A9" s="1069">
        <v>5</v>
      </c>
      <c r="B9" s="329" t="s">
        <v>2083</v>
      </c>
    </row>
    <row r="10" spans="1:2" x14ac:dyDescent="0.2">
      <c r="A10" s="1069">
        <v>6</v>
      </c>
      <c r="B10" s="329" t="s">
        <v>2084</v>
      </c>
    </row>
    <row r="11" spans="1:2" x14ac:dyDescent="0.2">
      <c r="A11" s="1069">
        <v>7</v>
      </c>
      <c r="B11" s="329" t="s">
        <v>2094</v>
      </c>
    </row>
    <row r="12" spans="1:2" x14ac:dyDescent="0.2">
      <c r="A12" s="1069">
        <v>8</v>
      </c>
      <c r="B12" s="329" t="s">
        <v>2090</v>
      </c>
    </row>
    <row r="13" spans="1:2" x14ac:dyDescent="0.2">
      <c r="A13" s="1069">
        <v>9</v>
      </c>
      <c r="B13" s="329" t="s">
        <v>2091</v>
      </c>
    </row>
    <row r="14" spans="1:2" x14ac:dyDescent="0.2">
      <c r="A14" s="1069">
        <v>10</v>
      </c>
      <c r="B14" s="329" t="s">
        <v>2095</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row>
    <row r="63" spans="1:2" x14ac:dyDescent="0.2">
      <c r="B63" s="1070"/>
    </row>
  </sheetData>
  <phoneticPr fontId="14" type="noConversion"/>
  <pageMargins left="0.63" right="0.2" top="1.17" bottom="0.89" header="0.79" footer="0.53"/>
  <pageSetup scale="80" firstPageNumber="32" orientation="portrait" useFirstPageNumber="1" r:id="rId1"/>
  <headerFooter alignWithMargins="0">
    <oddHeader>&amp;CFairfield Public School District 112</oddHeader>
    <oddFooter>&amp;L&amp;9See accompanying notes to the financial statements.
&amp;C- 38 -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topLeftCell="A66" zoomScaleNormal="110" workbookViewId="0">
      <selection activeCell="B4" sqref="B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&amp;CFairfield Public School District 112</oddHeader>
    <oddFooter xml:space="preserve">&amp;L
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&amp;CFairfield Public School District 112</oddHeader>
    <oddFooter xml:space="preserve">&amp;LSee accompanying notes to the financial statements.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1" sqref="B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200025</xdr:colOff>
                <xdr:row>1</xdr:row>
                <xdr:rowOff>114300</xdr:rowOff>
              </from>
              <to>
                <xdr:col>1</xdr:col>
                <xdr:colOff>1114425</xdr:colOff>
                <xdr:row>5</xdr:row>
                <xdr:rowOff>152400</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1276350</xdr:colOff>
                <xdr:row>1</xdr:row>
                <xdr:rowOff>123825</xdr:rowOff>
              </from>
              <to>
                <xdr:col>1</xdr:col>
                <xdr:colOff>2181225</xdr:colOff>
                <xdr:row>5</xdr:row>
                <xdr:rowOff>161925</xdr:rowOff>
              </to>
            </anchor>
          </objectPr>
        </oleObject>
      </mc:Choice>
      <mc:Fallback>
        <oleObject progId="Acrobat Document" dvAspect="DVASPECT_ICON" shapeId="3789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5197323</v>
      </c>
      <c r="C8" s="1814">
        <f>'Acct Summary 7-8'!D8</f>
        <v>208256</v>
      </c>
      <c r="D8" s="1814">
        <f>'Acct Summary 7-8'!F8</f>
        <v>268367</v>
      </c>
      <c r="E8" s="1814">
        <f>'Acct Summary 7-8'!I8</f>
        <v>29657</v>
      </c>
      <c r="F8" s="1814">
        <f>SUM(B8:E8)</f>
        <v>5703603</v>
      </c>
    </row>
    <row r="9" spans="1:8" s="1079" customFormat="1" ht="14.25" customHeight="1" thickBot="1" x14ac:dyDescent="0.25">
      <c r="A9" s="1078" t="s">
        <v>1369</v>
      </c>
      <c r="B9" s="1815">
        <f>'Acct Summary 7-8'!C17</f>
        <v>5300606</v>
      </c>
      <c r="C9" s="1815">
        <f>'Acct Summary 7-8'!D17</f>
        <v>271696</v>
      </c>
      <c r="D9" s="1815">
        <f>'Acct Summary 7-8'!F17</f>
        <v>267515</v>
      </c>
      <c r="E9" s="1814"/>
      <c r="F9" s="1814">
        <f>SUM(B9:E9)</f>
        <v>5839817</v>
      </c>
    </row>
    <row r="10" spans="1:8" s="1079" customFormat="1" ht="14.25" thickTop="1" thickBot="1" x14ac:dyDescent="0.25">
      <c r="A10" s="1080" t="s">
        <v>1370</v>
      </c>
      <c r="B10" s="1816">
        <f>(B8-B9)</f>
        <v>-103283</v>
      </c>
      <c r="C10" s="1816">
        <f>(C8-C9)</f>
        <v>-63440</v>
      </c>
      <c r="D10" s="1816">
        <f>(D8-D9)</f>
        <v>852</v>
      </c>
      <c r="E10" s="1815">
        <f>(E8-E9)</f>
        <v>29657</v>
      </c>
      <c r="F10" s="1817">
        <f>SUM(F8-F9)</f>
        <v>-136214</v>
      </c>
    </row>
    <row r="11" spans="1:8" s="1079" customFormat="1" ht="14.25" thickTop="1" thickBot="1" x14ac:dyDescent="0.25">
      <c r="A11" s="1081" t="s">
        <v>1984</v>
      </c>
      <c r="B11" s="1818">
        <f>'Acct Summary 7-8'!C81</f>
        <v>3579826</v>
      </c>
      <c r="C11" s="1818">
        <f>'Acct Summary 7-8'!D81</f>
        <v>544575</v>
      </c>
      <c r="D11" s="1818">
        <f>'Acct Summary 7-8'!F81</f>
        <v>158607</v>
      </c>
      <c r="E11" s="1818">
        <f>'Acct Summary 7-8'!I81</f>
        <v>268194</v>
      </c>
      <c r="F11" s="1819">
        <f>SUM(B11:E11)</f>
        <v>4551202</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&amp;CFairfield Public School District 112</oddHeader>
    <oddFooter>&amp;LSee accompanying notes to the financial statements.
&amp;C- 40 -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topLeftCell="C14" colorId="8" zoomScaleNormal="110" workbookViewId="0">
      <selection activeCell="C58" sqref="C5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r:id="rId1"/>
  <headerFooter alignWithMargins="0">
    <oddHeader>&amp;CFairfield Public School District 112</oddHeader>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20096112004</v>
      </c>
    </row>
    <row r="3" spans="1:2" x14ac:dyDescent="0.2">
      <c r="A3" t="s">
        <v>956</v>
      </c>
      <c r="B3" s="138" t="str">
        <f>COVER!A15</f>
        <v>Wayne</v>
      </c>
    </row>
    <row r="4" spans="1:2" x14ac:dyDescent="0.2">
      <c r="A4" t="s">
        <v>1007</v>
      </c>
      <c r="B4" s="138" t="str">
        <f>COVER!A17</f>
        <v>Fairfield PSD 112</v>
      </c>
    </row>
    <row r="5" spans="1:2" x14ac:dyDescent="0.2">
      <c r="A5" t="s">
        <v>704</v>
      </c>
      <c r="B5" s="138" t="str">
        <f>COVER!A38</f>
        <v>Dr. Scott England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67250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3579826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3544434</v>
      </c>
      <c r="D92" s="2" t="str">
        <f t="shared" si="0"/>
        <v>Error?</v>
      </c>
    </row>
    <row r="93" spans="1:4" x14ac:dyDescent="0.2">
      <c r="A93" s="5">
        <v>32</v>
      </c>
      <c r="B93" s="138">
        <f>'Assets-Liab 5-6'!C41</f>
        <v>3579826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544575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531590</v>
      </c>
      <c r="D123" s="2" t="str">
        <f t="shared" si="0"/>
        <v>Error?</v>
      </c>
    </row>
    <row r="124" spans="1:4" x14ac:dyDescent="0.2">
      <c r="A124" s="5">
        <v>63</v>
      </c>
      <c r="B124" s="138">
        <f>'Assets-Liab 5-6'!D41</f>
        <v>544575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41243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41243</v>
      </c>
      <c r="D140" s="2" t="str">
        <f t="shared" si="1"/>
        <v>Error?</v>
      </c>
    </row>
    <row r="141" spans="1:4" x14ac:dyDescent="0.2">
      <c r="A141" s="5">
        <v>80</v>
      </c>
      <c r="B141" s="138">
        <f>'Assets-Liab 5-6'!E41</f>
        <v>41243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158607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158607</v>
      </c>
      <c r="D170" s="2" t="str">
        <f t="shared" si="1"/>
        <v>Error?</v>
      </c>
    </row>
    <row r="171" spans="1:4" x14ac:dyDescent="0.2">
      <c r="A171" s="5">
        <v>110</v>
      </c>
      <c r="B171" s="138">
        <f>'Assets-Liab 5-6'!F41</f>
        <v>158607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93506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26938</v>
      </c>
      <c r="D189" s="2" t="str">
        <f t="shared" si="1"/>
        <v>Error?</v>
      </c>
    </row>
    <row r="190" spans="1:4" x14ac:dyDescent="0.2">
      <c r="A190" s="5">
        <v>129</v>
      </c>
      <c r="B190" s="138">
        <f>'Assets-Liab 5-6'!G41</f>
        <v>93506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157600</v>
      </c>
      <c r="D273" s="2" t="str">
        <f t="shared" si="3"/>
        <v>Error?</v>
      </c>
    </row>
    <row r="274" spans="1:4" x14ac:dyDescent="0.2">
      <c r="A274" s="5">
        <v>213</v>
      </c>
      <c r="B274" s="138">
        <f>'Assets-Liab 5-6'!M17</f>
        <v>11871844</v>
      </c>
      <c r="D274" s="2" t="str">
        <f t="shared" si="3"/>
        <v>Error?</v>
      </c>
    </row>
    <row r="275" spans="1:4" x14ac:dyDescent="0.2">
      <c r="A275" s="5">
        <v>214</v>
      </c>
      <c r="B275" s="138">
        <f>'Assets-Liab 5-6'!M18</f>
        <v>115284</v>
      </c>
      <c r="D275" s="2" t="str">
        <f t="shared" si="3"/>
        <v>Error?</v>
      </c>
    </row>
    <row r="276" spans="1:4" x14ac:dyDescent="0.2">
      <c r="A276" s="5">
        <v>215</v>
      </c>
      <c r="B276" s="138">
        <f>'Assets-Liab 5-6'!M19</f>
        <v>1748859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13893587</v>
      </c>
      <c r="C279" s="2" t="s">
        <v>573</v>
      </c>
      <c r="D279" s="2" t="str">
        <f t="shared" si="3"/>
        <v>Error?</v>
      </c>
    </row>
    <row r="280" spans="1:4" x14ac:dyDescent="0.2">
      <c r="A280" s="5">
        <v>219</v>
      </c>
      <c r="B280" s="138">
        <f>'Assets-Liab 5-6'!M40</f>
        <v>13893587</v>
      </c>
      <c r="D280" s="2" t="str">
        <f t="shared" si="3"/>
        <v>Error?</v>
      </c>
    </row>
    <row r="281" spans="1:4" x14ac:dyDescent="0.2">
      <c r="A281" s="5">
        <v>220</v>
      </c>
      <c r="B281" s="138">
        <f>'Assets-Liab 5-6'!M41</f>
        <v>13893587</v>
      </c>
      <c r="C281" s="2" t="s">
        <v>573</v>
      </c>
      <c r="D281" s="2" t="str">
        <f t="shared" si="3"/>
        <v>Error?</v>
      </c>
    </row>
    <row r="282" spans="1:4" x14ac:dyDescent="0.2">
      <c r="A282" s="5">
        <v>221</v>
      </c>
      <c r="B282" s="138">
        <f>'Assets-Liab 5-6'!N21</f>
        <v>41243</v>
      </c>
      <c r="D282" s="2" t="str">
        <f t="shared" si="3"/>
        <v>Error?</v>
      </c>
    </row>
    <row r="283" spans="1:4" x14ac:dyDescent="0.2">
      <c r="A283" s="5">
        <v>222</v>
      </c>
      <c r="B283" s="138">
        <f>'Assets-Liab 5-6'!N22</f>
        <v>2461357</v>
      </c>
      <c r="D283" s="2" t="str">
        <f t="shared" si="3"/>
        <v>Error?</v>
      </c>
    </row>
    <row r="284" spans="1:4" x14ac:dyDescent="0.2">
      <c r="A284" s="5">
        <v>223</v>
      </c>
      <c r="B284" s="138">
        <f>'Assets-Liab 5-6'!N23</f>
        <v>2502600</v>
      </c>
      <c r="C284" s="2" t="s">
        <v>573</v>
      </c>
      <c r="D284" s="2" t="str">
        <f t="shared" si="3"/>
        <v>Error?</v>
      </c>
    </row>
    <row r="285" spans="1:4" x14ac:dyDescent="0.2">
      <c r="A285" s="5">
        <v>224</v>
      </c>
      <c r="B285" s="138">
        <f>'Assets-Liab 5-6'!N36</f>
        <v>2502600</v>
      </c>
      <c r="D285" s="2" t="str">
        <f t="shared" si="3"/>
        <v>Error?</v>
      </c>
    </row>
    <row r="286" spans="1:4" x14ac:dyDescent="0.2">
      <c r="A286" s="10">
        <v>225</v>
      </c>
      <c r="D286" s="2" t="str">
        <f t="shared" si="3"/>
        <v>OK</v>
      </c>
    </row>
    <row r="287" spans="1:4" x14ac:dyDescent="0.2">
      <c r="A287" s="5">
        <v>226</v>
      </c>
      <c r="B287" s="138">
        <f>'Assets-Liab 5-6'!N37</f>
        <v>2502600</v>
      </c>
      <c r="C287" s="2" t="s">
        <v>573</v>
      </c>
      <c r="D287" s="2" t="str">
        <f t="shared" si="3"/>
        <v>Error?</v>
      </c>
    </row>
    <row r="288" spans="1:4" x14ac:dyDescent="0.2">
      <c r="A288" s="5">
        <v>227</v>
      </c>
      <c r="B288" s="138">
        <f>'Assets-Liab 5-6'!N41</f>
        <v>2502600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1982219</v>
      </c>
      <c r="D705" s="2" t="str">
        <f t="shared" si="10"/>
        <v>Error?</v>
      </c>
    </row>
    <row r="706" spans="1:4" x14ac:dyDescent="0.2">
      <c r="A706" s="5">
        <v>645</v>
      </c>
      <c r="B706" s="138">
        <f>'Expenditures 15-22'!C16</f>
        <v>5564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36893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2725195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20243</v>
      </c>
      <c r="D722" s="2" t="str">
        <f t="shared" si="10"/>
        <v>Error?</v>
      </c>
    </row>
    <row r="723" spans="1:4" x14ac:dyDescent="0.2">
      <c r="A723" s="5">
        <v>662</v>
      </c>
      <c r="B723" s="138">
        <f>'Expenditures 15-22'!C38</f>
        <v>26535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102702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149480</v>
      </c>
      <c r="C727" s="2" t="s">
        <v>573</v>
      </c>
      <c r="D727" s="2" t="str">
        <f t="shared" si="10"/>
        <v>Error?</v>
      </c>
    </row>
    <row r="728" spans="1:4" x14ac:dyDescent="0.2">
      <c r="A728" s="5">
        <v>667</v>
      </c>
      <c r="B728" s="138">
        <f>'Expenditures 15-22'!C44</f>
        <v>18670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18670</v>
      </c>
      <c r="C731" s="2" t="s">
        <v>573</v>
      </c>
      <c r="D731" s="2" t="str">
        <f t="shared" si="10"/>
        <v>Error?</v>
      </c>
    </row>
    <row r="732" spans="1:4" x14ac:dyDescent="0.2">
      <c r="A732" s="5">
        <v>671</v>
      </c>
      <c r="B732" s="138">
        <f>'Expenditures 15-22'!C49</f>
        <v>13773</v>
      </c>
      <c r="D732" s="2" t="str">
        <f t="shared" si="10"/>
        <v>Error?</v>
      </c>
    </row>
    <row r="733" spans="1:4" x14ac:dyDescent="0.2">
      <c r="A733" s="5">
        <v>672</v>
      </c>
      <c r="B733" s="138">
        <f>'Expenditures 15-22'!C50</f>
        <v>80750</v>
      </c>
      <c r="D733" s="2" t="str">
        <f t="shared" si="10"/>
        <v>Error?</v>
      </c>
    </row>
    <row r="734" spans="1:4" x14ac:dyDescent="0.2">
      <c r="A734" s="5">
        <v>673</v>
      </c>
      <c r="B734" s="138">
        <f>'Expenditures 15-22'!C53</f>
        <v>94523</v>
      </c>
      <c r="C734" s="2" t="s">
        <v>573</v>
      </c>
      <c r="D734" s="2" t="str">
        <f t="shared" si="10"/>
        <v>Error?</v>
      </c>
    </row>
    <row r="735" spans="1:4" x14ac:dyDescent="0.2">
      <c r="A735" s="5">
        <v>674</v>
      </c>
      <c r="B735" s="138">
        <f>'Expenditures 15-22'!C55</f>
        <v>308013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308013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67711</v>
      </c>
      <c r="D739" s="2" t="str">
        <f t="shared" si="10"/>
        <v>Error?</v>
      </c>
    </row>
    <row r="740" spans="1:4" x14ac:dyDescent="0.2">
      <c r="A740" s="5">
        <v>679</v>
      </c>
      <c r="B740" s="138">
        <f>'Expenditures 15-22'!C61</f>
        <v>254570</v>
      </c>
      <c r="D740" s="2" t="str">
        <f t="shared" si="10"/>
        <v>Error?</v>
      </c>
    </row>
    <row r="741" spans="1:4" x14ac:dyDescent="0.2">
      <c r="A741" s="5">
        <v>680</v>
      </c>
      <c r="B741" s="138">
        <f>'Expenditures 15-22'!C62</f>
        <v>17509</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339790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910476</v>
      </c>
      <c r="C755" s="2" t="s">
        <v>573</v>
      </c>
      <c r="D755" s="2" t="str">
        <f t="shared" si="10"/>
        <v>Error?</v>
      </c>
    </row>
    <row r="756" spans="1:4" x14ac:dyDescent="0.2">
      <c r="A756" s="5">
        <v>695</v>
      </c>
      <c r="B756" s="138">
        <f>'Expenditures 15-22'!C75</f>
        <v>23821</v>
      </c>
      <c r="D756" s="2" t="str">
        <f t="shared" si="10"/>
        <v>Error?</v>
      </c>
    </row>
    <row r="757" spans="1:4" x14ac:dyDescent="0.2">
      <c r="A757" s="5">
        <v>696</v>
      </c>
      <c r="B757" s="138">
        <f>'Expenditures 15-22'!C114</f>
        <v>3659492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404436</v>
      </c>
      <c r="D763" s="2" t="str">
        <f t="shared" si="10"/>
        <v>Error?</v>
      </c>
    </row>
    <row r="764" spans="1:4" x14ac:dyDescent="0.2">
      <c r="A764" s="5">
        <v>703</v>
      </c>
      <c r="B764" s="138">
        <f>'Expenditures 15-22'!D16</f>
        <v>742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574252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6252</v>
      </c>
      <c r="D780" s="2" t="str">
        <f t="shared" si="11"/>
        <v>Error?</v>
      </c>
    </row>
    <row r="781" spans="1:4" x14ac:dyDescent="0.2">
      <c r="A781" s="5">
        <v>720</v>
      </c>
      <c r="B781" s="138">
        <f>'Expenditures 15-22'!D38</f>
        <v>6787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26299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39338</v>
      </c>
      <c r="C785" s="2" t="s">
        <v>573</v>
      </c>
      <c r="D785" s="2" t="str">
        <f t="shared" si="11"/>
        <v>Error?</v>
      </c>
    </row>
    <row r="786" spans="1:4" x14ac:dyDescent="0.2">
      <c r="A786" s="5">
        <v>725</v>
      </c>
      <c r="B786" s="138">
        <f>'Expenditures 15-22'!D44</f>
        <v>2618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2618</v>
      </c>
      <c r="C789" s="2" t="s">
        <v>573</v>
      </c>
      <c r="D789" s="2" t="str">
        <f t="shared" si="11"/>
        <v>Error?</v>
      </c>
    </row>
    <row r="790" spans="1:4" x14ac:dyDescent="0.2">
      <c r="A790" s="5">
        <v>729</v>
      </c>
      <c r="B790" s="138">
        <f>'Expenditures 15-22'!D49</f>
        <v>1692</v>
      </c>
      <c r="D790" s="2" t="str">
        <f t="shared" si="11"/>
        <v>Error?</v>
      </c>
    </row>
    <row r="791" spans="1:4" x14ac:dyDescent="0.2">
      <c r="A791" s="5">
        <v>730</v>
      </c>
      <c r="B791" s="138">
        <f>'Expenditures 15-22'!D50</f>
        <v>19308</v>
      </c>
      <c r="D791" s="2" t="str">
        <f t="shared" si="11"/>
        <v>Error?</v>
      </c>
    </row>
    <row r="792" spans="1:4" x14ac:dyDescent="0.2">
      <c r="A792" s="5">
        <v>731</v>
      </c>
      <c r="B792" s="138">
        <f>'Expenditures 15-22'!D53</f>
        <v>21000</v>
      </c>
      <c r="C792" s="2" t="s">
        <v>573</v>
      </c>
      <c r="D792" s="2" t="str">
        <f t="shared" si="11"/>
        <v>Error?</v>
      </c>
    </row>
    <row r="793" spans="1:4" x14ac:dyDescent="0.2">
      <c r="A793" s="5">
        <v>732</v>
      </c>
      <c r="B793" s="138">
        <f>'Expenditures 15-22'!D55</f>
        <v>48120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48120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105</v>
      </c>
      <c r="D797" s="2" t="str">
        <f t="shared" si="11"/>
        <v>Error?</v>
      </c>
    </row>
    <row r="798" spans="1:4" x14ac:dyDescent="0.2">
      <c r="A798" s="5">
        <v>737</v>
      </c>
      <c r="B798" s="138">
        <f>'Expenditures 15-22'!D61</f>
        <v>40722</v>
      </c>
      <c r="D798" s="2" t="str">
        <f t="shared" si="11"/>
        <v>Error?</v>
      </c>
    </row>
    <row r="799" spans="1:4" x14ac:dyDescent="0.2">
      <c r="A799" s="5">
        <v>738</v>
      </c>
      <c r="B799" s="138">
        <f>'Expenditures 15-22'!D62</f>
        <v>10136</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50963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162039</v>
      </c>
      <c r="C813" s="2" t="s">
        <v>573</v>
      </c>
      <c r="D813" s="2" t="str">
        <f t="shared" si="11"/>
        <v>Error?</v>
      </c>
    </row>
    <row r="814" spans="1:4" x14ac:dyDescent="0.2">
      <c r="A814" s="5">
        <v>753</v>
      </c>
      <c r="B814" s="138">
        <f>'Expenditures 15-22'!D75</f>
        <v>6252</v>
      </c>
      <c r="D814" s="2" t="str">
        <f t="shared" si="11"/>
        <v>Error?</v>
      </c>
    </row>
    <row r="815" spans="1:4" x14ac:dyDescent="0.2">
      <c r="A815" s="5">
        <v>754</v>
      </c>
      <c r="B815" s="138">
        <f>'Expenditures 15-22'!D114</f>
        <v>742543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17981</v>
      </c>
      <c r="D821" s="2" t="str">
        <f t="shared" si="11"/>
        <v>Error?</v>
      </c>
    </row>
    <row r="822" spans="1:4" x14ac:dyDescent="0.2">
      <c r="A822" s="5">
        <v>761</v>
      </c>
      <c r="B822" s="138">
        <f>'Expenditures 15-22'!E16</f>
        <v>1585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15324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51313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268</v>
      </c>
      <c r="D839" s="2" t="str">
        <f t="shared" si="12"/>
        <v>Error?</v>
      </c>
    </row>
    <row r="840" spans="1:4" x14ac:dyDescent="0.2">
      <c r="A840" s="5">
        <v>779</v>
      </c>
      <c r="B840" s="138">
        <f>'Expenditures 15-22'!E39</f>
        <v>9719</v>
      </c>
      <c r="D840" s="2" t="str">
        <f t="shared" si="12"/>
        <v>Error?</v>
      </c>
    </row>
    <row r="841" spans="1:4" x14ac:dyDescent="0.2">
      <c r="A841" s="5">
        <v>780</v>
      </c>
      <c r="B841" s="138">
        <f>'Expenditures 15-22'!E40</f>
        <v>1623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11610</v>
      </c>
      <c r="C843" s="2" t="s">
        <v>573</v>
      </c>
      <c r="D843" s="2" t="str">
        <f t="shared" si="12"/>
        <v>Error?</v>
      </c>
    </row>
    <row r="844" spans="1:4" x14ac:dyDescent="0.2">
      <c r="A844" s="5">
        <v>783</v>
      </c>
      <c r="B844" s="138">
        <f>'Expenditures 15-22'!E44</f>
        <v>44408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10238</v>
      </c>
      <c r="D846" s="2" t="str">
        <f t="shared" si="12"/>
        <v>Error?</v>
      </c>
    </row>
    <row r="847" spans="1:4" x14ac:dyDescent="0.2">
      <c r="A847" s="5">
        <v>786</v>
      </c>
      <c r="B847" s="138">
        <f>'Expenditures 15-22'!E47</f>
        <v>54646</v>
      </c>
      <c r="C847" s="2" t="s">
        <v>573</v>
      </c>
      <c r="D847" s="2" t="str">
        <f t="shared" si="12"/>
        <v>Error?</v>
      </c>
    </row>
    <row r="848" spans="1:4" x14ac:dyDescent="0.2">
      <c r="A848" s="5">
        <v>787</v>
      </c>
      <c r="B848" s="138">
        <f>'Expenditures 15-22'!E49</f>
        <v>19503</v>
      </c>
      <c r="D848" s="2" t="str">
        <f t="shared" si="12"/>
        <v>Error?</v>
      </c>
    </row>
    <row r="849" spans="1:4" x14ac:dyDescent="0.2">
      <c r="A849" s="5">
        <v>788</v>
      </c>
      <c r="B849" s="138">
        <f>'Expenditures 15-22'!E50</f>
        <v>7488</v>
      </c>
      <c r="D849" s="2" t="str">
        <f t="shared" si="12"/>
        <v>Error?</v>
      </c>
    </row>
    <row r="850" spans="1:4" x14ac:dyDescent="0.2">
      <c r="A850" s="5">
        <v>789</v>
      </c>
      <c r="B850" s="138">
        <f>'Expenditures 15-22'!E53</f>
        <v>27158</v>
      </c>
      <c r="C850" s="2" t="s">
        <v>573</v>
      </c>
      <c r="D850" s="2" t="str">
        <f t="shared" si="12"/>
        <v>Error?</v>
      </c>
    </row>
    <row r="851" spans="1:4" x14ac:dyDescent="0.2">
      <c r="A851" s="5">
        <v>790</v>
      </c>
      <c r="B851" s="138">
        <f>'Expenditures 15-22'!E55</f>
        <v>11915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11915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5350</v>
      </c>
      <c r="D855" s="2" t="str">
        <f t="shared" si="12"/>
        <v>Error?</v>
      </c>
    </row>
    <row r="856" spans="1:4" x14ac:dyDescent="0.2">
      <c r="A856" s="5">
        <v>795</v>
      </c>
      <c r="B856" s="138">
        <f>'Expenditures 15-22'!E61</f>
        <v>23497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274530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303377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408706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460019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112541</v>
      </c>
      <c r="D879" s="2" t="str">
        <f t="shared" si="12"/>
        <v>Error?</v>
      </c>
    </row>
    <row r="880" spans="1:4" x14ac:dyDescent="0.2">
      <c r="A880" s="5">
        <v>819</v>
      </c>
      <c r="B880" s="138">
        <f>'Expenditures 15-22'!F16</f>
        <v>533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13871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196816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840</v>
      </c>
      <c r="D896" s="2" t="str">
        <f t="shared" si="13"/>
        <v>Error?</v>
      </c>
    </row>
    <row r="897" spans="1:4" x14ac:dyDescent="0.2">
      <c r="A897" s="5">
        <v>836</v>
      </c>
      <c r="B897" s="138">
        <f>'Expenditures 15-22'!F38</f>
        <v>2410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781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4031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5078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5078</v>
      </c>
      <c r="C905" s="2" t="s">
        <v>573</v>
      </c>
      <c r="D905" s="2" t="str">
        <f t="shared" si="13"/>
        <v>Error?</v>
      </c>
    </row>
    <row r="906" spans="1:4" x14ac:dyDescent="0.2">
      <c r="A906" s="5">
        <v>845</v>
      </c>
      <c r="B906" s="138">
        <f>'Expenditures 15-22'!F49</f>
        <v>2259</v>
      </c>
      <c r="D906" s="2" t="str">
        <f t="shared" si="13"/>
        <v>Error?</v>
      </c>
    </row>
    <row r="907" spans="1:4" x14ac:dyDescent="0.2">
      <c r="A907" s="5">
        <v>846</v>
      </c>
      <c r="B907" s="138">
        <f>'Expenditures 15-22'!F50</f>
        <v>40</v>
      </c>
      <c r="D907" s="2" t="str">
        <f t="shared" si="13"/>
        <v>Error?</v>
      </c>
    </row>
    <row r="908" spans="1:4" x14ac:dyDescent="0.2">
      <c r="A908" s="5">
        <v>847</v>
      </c>
      <c r="B908" s="138">
        <f>'Expenditures 15-22'!F53</f>
        <v>2299</v>
      </c>
      <c r="C908" s="2" t="s">
        <v>573</v>
      </c>
      <c r="D908" s="2" t="str">
        <f t="shared" si="13"/>
        <v>Error?</v>
      </c>
    </row>
    <row r="909" spans="1:4" x14ac:dyDescent="0.2">
      <c r="A909" s="5">
        <v>848</v>
      </c>
      <c r="B909" s="138">
        <f>'Expenditures 15-22'!F55</f>
        <v>2207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3301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16916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213732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12984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3538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3538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16522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74857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105554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208298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2530278</v>
      </c>
      <c r="C1093" s="2" t="s">
        <v>573</v>
      </c>
      <c r="D1093" s="2" t="str">
        <f t="shared" si="16"/>
        <v>Error?</v>
      </c>
    </row>
    <row r="1094" spans="1:4" x14ac:dyDescent="0.2">
      <c r="A1094" s="5">
        <v>1033</v>
      </c>
      <c r="B1094" s="138">
        <f>'Expenditures 15-22'!K16</f>
        <v>8424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69253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3635417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27335</v>
      </c>
      <c r="C1110" s="2" t="s">
        <v>573</v>
      </c>
      <c r="D1110" s="2" t="str">
        <f t="shared" si="16"/>
        <v>Error?</v>
      </c>
    </row>
    <row r="1111" spans="1:4" x14ac:dyDescent="0.2">
      <c r="A1111" s="5">
        <v>1050</v>
      </c>
      <c r="B1111" s="138">
        <f>'Expenditures 15-22'!K38</f>
        <v>36000</v>
      </c>
      <c r="C1111" s="2" t="s">
        <v>573</v>
      </c>
      <c r="D1111" s="2" t="str">
        <f t="shared" si="16"/>
        <v>Error?</v>
      </c>
    </row>
    <row r="1112" spans="1:4" x14ac:dyDescent="0.2">
      <c r="A1112" s="5">
        <v>1051</v>
      </c>
      <c r="B1112" s="138">
        <f>'Expenditures 15-22'!K39</f>
        <v>9719</v>
      </c>
      <c r="C1112" s="2" t="s">
        <v>573</v>
      </c>
      <c r="D1112" s="2" t="str">
        <f t="shared" si="16"/>
        <v>Error?</v>
      </c>
    </row>
    <row r="1113" spans="1:4" x14ac:dyDescent="0.2">
      <c r="A1113" s="5">
        <v>1052</v>
      </c>
      <c r="B1113" s="138">
        <f>'Expenditures 15-22'!K40</f>
        <v>131405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204459</v>
      </c>
      <c r="C1115" s="2" t="s">
        <v>573</v>
      </c>
      <c r="D1115" s="2" t="str">
        <f t="shared" si="16"/>
        <v>Error?</v>
      </c>
    </row>
    <row r="1116" spans="1:4" x14ac:dyDescent="0.2">
      <c r="A1116" s="5">
        <v>1055</v>
      </c>
      <c r="B1116" s="138">
        <f>'Expenditures 15-22'!K44</f>
        <v>65696</v>
      </c>
      <c r="C1116" s="2" t="s">
        <v>573</v>
      </c>
      <c r="D1116" s="2" t="str">
        <f t="shared" si="16"/>
        <v>Error?</v>
      </c>
    </row>
    <row r="1117" spans="1:4" x14ac:dyDescent="0.2">
      <c r="A1117" s="5">
        <v>1056</v>
      </c>
      <c r="B1117" s="138">
        <f>'Expenditures 15-22'!K45</f>
        <v>8616</v>
      </c>
      <c r="C1117" s="2" t="s">
        <v>573</v>
      </c>
      <c r="D1117" s="2" t="str">
        <f t="shared" si="16"/>
        <v>Error?</v>
      </c>
    </row>
    <row r="1118" spans="1:4" x14ac:dyDescent="0.2">
      <c r="A1118" s="5">
        <v>1057</v>
      </c>
      <c r="B1118" s="138">
        <f>'Expenditures 15-22'!K46</f>
        <v>10238</v>
      </c>
      <c r="C1118" s="2" t="s">
        <v>573</v>
      </c>
      <c r="D1118" s="2" t="str">
        <f t="shared" si="16"/>
        <v>Error?</v>
      </c>
    </row>
    <row r="1119" spans="1:4" x14ac:dyDescent="0.2">
      <c r="A1119" s="5">
        <v>1058</v>
      </c>
      <c r="B1119" s="138">
        <f>'Expenditures 15-22'!K47</f>
        <v>84550</v>
      </c>
      <c r="C1119" s="2" t="s">
        <v>573</v>
      </c>
      <c r="D1119" s="2" t="str">
        <f t="shared" si="16"/>
        <v>Error?</v>
      </c>
    </row>
    <row r="1120" spans="1:4" x14ac:dyDescent="0.2">
      <c r="A1120" s="5">
        <v>1059</v>
      </c>
      <c r="B1120" s="138">
        <f>'Expenditures 15-22'!K49</f>
        <v>37227</v>
      </c>
      <c r="C1120" s="2" t="s">
        <v>573</v>
      </c>
      <c r="D1120" s="2" t="str">
        <f t="shared" si="16"/>
        <v>Error?</v>
      </c>
    </row>
    <row r="1121" spans="1:4" x14ac:dyDescent="0.2">
      <c r="A1121" s="5">
        <v>1060</v>
      </c>
      <c r="B1121" s="138">
        <f>'Expenditures 15-22'!K50</f>
        <v>107586</v>
      </c>
      <c r="C1121" s="2" t="s">
        <v>573</v>
      </c>
      <c r="D1121" s="2" t="str">
        <f t="shared" si="16"/>
        <v>Error?</v>
      </c>
    </row>
    <row r="1122" spans="1:4" x14ac:dyDescent="0.2">
      <c r="A1122" s="5">
        <v>1061</v>
      </c>
      <c r="B1122" s="138">
        <f>'Expenditures 15-22'!K53</f>
        <v>144980</v>
      </c>
      <c r="C1122" s="2" t="s">
        <v>573</v>
      </c>
      <c r="D1122" s="2" t="str">
        <f t="shared" si="16"/>
        <v>Error?</v>
      </c>
    </row>
    <row r="1123" spans="1:4" x14ac:dyDescent="0.2">
      <c r="A1123" s="5">
        <v>1062</v>
      </c>
      <c r="B1123" s="138">
        <f>'Expenditures 15-22'!K55</f>
        <v>370255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370255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73524</v>
      </c>
      <c r="C1127" s="2" t="s">
        <v>573</v>
      </c>
      <c r="D1127" s="2" t="str">
        <f t="shared" si="16"/>
        <v>Error?</v>
      </c>
    </row>
    <row r="1128" spans="1:4" x14ac:dyDescent="0.2">
      <c r="A1128" s="5">
        <v>1067</v>
      </c>
      <c r="B1128" s="138">
        <f>'Expenditures 15-22'!K61</f>
        <v>318789</v>
      </c>
      <c r="C1128" s="2" t="s">
        <v>573</v>
      </c>
      <c r="D1128" s="2" t="str">
        <f t="shared" si="16"/>
        <v>Error?</v>
      </c>
    </row>
    <row r="1129" spans="1:4" x14ac:dyDescent="0.2">
      <c r="A1129" s="5">
        <v>1068</v>
      </c>
      <c r="B1129" s="138">
        <f>'Expenditures 15-22'!K62</f>
        <v>27645</v>
      </c>
      <c r="C1129" s="2" t="s">
        <v>573</v>
      </c>
      <c r="D1129" s="2" t="str">
        <f t="shared" si="16"/>
        <v>Error?</v>
      </c>
    </row>
    <row r="1130" spans="1:4" x14ac:dyDescent="0.2">
      <c r="A1130" s="5">
        <v>1069</v>
      </c>
      <c r="B1130" s="138">
        <f>'Expenditures 15-22'!K63</f>
        <v>277473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697431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1501675</v>
      </c>
      <c r="C1143" s="2" t="s">
        <v>573</v>
      </c>
      <c r="D1143" s="2" t="str">
        <f t="shared" si="16"/>
        <v>Error?</v>
      </c>
    </row>
    <row r="1144" spans="1:4" x14ac:dyDescent="0.2">
      <c r="A1144" s="5">
        <v>1083</v>
      </c>
      <c r="B1144" s="138">
        <f>'Expenditures 15-22'!K75</f>
        <v>30073</v>
      </c>
      <c r="C1144" s="2" t="s">
        <v>573</v>
      </c>
      <c r="D1144" s="2" t="str">
        <f t="shared" si="16"/>
        <v>Error?</v>
      </c>
    </row>
    <row r="1145" spans="1:4" x14ac:dyDescent="0.2">
      <c r="A1145" s="5">
        <v>1084</v>
      </c>
      <c r="B1145" s="138">
        <f>'Expenditures 15-22'!K102</f>
        <v>105554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5300606</v>
      </c>
      <c r="C1152" s="2" t="s">
        <v>573</v>
      </c>
      <c r="D1152" s="2" t="str">
        <f t="shared" si="17"/>
        <v>Error?</v>
      </c>
    </row>
    <row r="1153" spans="1:4" x14ac:dyDescent="0.2">
      <c r="A1153" s="5">
        <v>1092</v>
      </c>
      <c r="B1153" s="138">
        <f>'Expenditures 15-22'!K115</f>
        <v>-103283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223950</v>
      </c>
      <c r="D1237" s="2" t="str">
        <f t="shared" si="18"/>
        <v>Error?</v>
      </c>
    </row>
    <row r="1238" spans="1:4" x14ac:dyDescent="0.2">
      <c r="A1238" s="10">
        <v>1177</v>
      </c>
      <c r="D1238" s="2" t="str">
        <f t="shared" si="18"/>
        <v>OK</v>
      </c>
    </row>
    <row r="1239" spans="1:4" x14ac:dyDescent="0.2">
      <c r="A1239" s="5">
        <v>1178</v>
      </c>
      <c r="B1239" s="138">
        <f>'Expenditures 15-22'!E127</f>
        <v>223950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223950</v>
      </c>
      <c r="C1241" s="2" t="s">
        <v>573</v>
      </c>
      <c r="D1241" s="2" t="str">
        <f t="shared" si="18"/>
        <v>Error?</v>
      </c>
    </row>
    <row r="1242" spans="1:4" x14ac:dyDescent="0.2">
      <c r="A1242" s="5">
        <v>1181</v>
      </c>
      <c r="B1242" s="138">
        <f>'Expenditures 15-22'!E151</f>
        <v>223950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25750</v>
      </c>
      <c r="D1245" s="2" t="str">
        <f t="shared" si="18"/>
        <v>Error?</v>
      </c>
    </row>
    <row r="1246" spans="1:4" x14ac:dyDescent="0.2">
      <c r="A1246" s="10">
        <v>1185</v>
      </c>
      <c r="D1246" s="2" t="str">
        <f t="shared" si="18"/>
        <v>OK</v>
      </c>
    </row>
    <row r="1247" spans="1:4" x14ac:dyDescent="0.2">
      <c r="A1247" s="5">
        <v>1186</v>
      </c>
      <c r="B1247" s="138">
        <f>'Expenditures 15-22'!F127</f>
        <v>25750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25750</v>
      </c>
      <c r="C1249" s="2" t="s">
        <v>573</v>
      </c>
      <c r="D1249" s="2" t="str">
        <f t="shared" si="18"/>
        <v>Error?</v>
      </c>
    </row>
    <row r="1250" spans="1:4" x14ac:dyDescent="0.2">
      <c r="A1250" s="5">
        <v>1189</v>
      </c>
      <c r="B1250" s="138">
        <f>'Expenditures 15-22'!F151</f>
        <v>25750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21996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21996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21996</v>
      </c>
      <c r="C1258" s="2" t="s">
        <v>573</v>
      </c>
      <c r="D1258" s="2" t="str">
        <f t="shared" si="18"/>
        <v>Error?</v>
      </c>
    </row>
    <row r="1259" spans="1:4" x14ac:dyDescent="0.2">
      <c r="A1259" s="5">
        <v>1198</v>
      </c>
      <c r="B1259" s="138">
        <f>'Expenditures 15-22'!G151</f>
        <v>21996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271696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271696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271696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271696</v>
      </c>
      <c r="C1288" s="2" t="s">
        <v>573</v>
      </c>
      <c r="D1288" s="2" t="str">
        <f t="shared" si="19"/>
        <v>Error?</v>
      </c>
    </row>
    <row r="1289" spans="1:4" x14ac:dyDescent="0.2">
      <c r="A1289" s="5">
        <v>1228</v>
      </c>
      <c r="B1289" s="138">
        <f>'Expenditures 15-22'!K152</f>
        <v>-63440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122313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212250</v>
      </c>
      <c r="D1315" s="2" t="str">
        <f t="shared" si="19"/>
        <v>Error?</v>
      </c>
    </row>
    <row r="1316" spans="1:4" x14ac:dyDescent="0.2">
      <c r="A1316" s="5">
        <v>1255</v>
      </c>
      <c r="B1316" s="138">
        <f>'Expenditures 15-22'!H171</f>
        <v>800</v>
      </c>
      <c r="D1316" s="2" t="str">
        <f t="shared" si="19"/>
        <v>Error?</v>
      </c>
    </row>
    <row r="1317" spans="1:4" x14ac:dyDescent="0.2">
      <c r="A1317" s="5">
        <v>1256</v>
      </c>
      <c r="B1317" s="138">
        <f>'Expenditures 15-22'!H172</f>
        <v>335363</v>
      </c>
      <c r="C1317" s="2" t="s">
        <v>573</v>
      </c>
      <c r="D1317" s="2" t="str">
        <f t="shared" si="19"/>
        <v>Error?</v>
      </c>
    </row>
    <row r="1318" spans="1:4" x14ac:dyDescent="0.2">
      <c r="A1318" s="5">
        <v>1257</v>
      </c>
      <c r="B1318" s="138">
        <f>'Expenditures 15-22'!H174</f>
        <v>335363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122313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212250</v>
      </c>
      <c r="C1329" s="2" t="s">
        <v>573</v>
      </c>
      <c r="D1329" s="2" t="str">
        <f t="shared" si="19"/>
        <v>Error?</v>
      </c>
    </row>
    <row r="1330" spans="1:4" x14ac:dyDescent="0.2">
      <c r="A1330" s="5">
        <v>1269</v>
      </c>
      <c r="B1330" s="138">
        <f>'Expenditures 15-22'!K171</f>
        <v>800</v>
      </c>
      <c r="C1330" s="2" t="s">
        <v>573</v>
      </c>
      <c r="D1330" s="2" t="str">
        <f t="shared" si="19"/>
        <v>Error?</v>
      </c>
    </row>
    <row r="1331" spans="1:4" x14ac:dyDescent="0.2">
      <c r="A1331" s="5">
        <v>1270</v>
      </c>
      <c r="B1331" s="138">
        <f>'Expenditures 15-22'!K172</f>
        <v>335363</v>
      </c>
      <c r="C1331" s="2" t="s">
        <v>573</v>
      </c>
      <c r="D1331" s="2" t="str">
        <f t="shared" si="19"/>
        <v>Error?</v>
      </c>
    </row>
    <row r="1332" spans="1:4" x14ac:dyDescent="0.2">
      <c r="A1332" s="5">
        <v>1271</v>
      </c>
      <c r="B1332" s="138">
        <f>'Expenditures 15-22'!K174</f>
        <v>335363</v>
      </c>
      <c r="C1332" s="2" t="s">
        <v>573</v>
      </c>
      <c r="D1332" s="2" t="str">
        <f t="shared" si="19"/>
        <v>Error?</v>
      </c>
    </row>
    <row r="1333" spans="1:4" x14ac:dyDescent="0.2">
      <c r="A1333" s="5">
        <v>1272</v>
      </c>
      <c r="B1333" s="138">
        <f>'Expenditures 15-22'!K175</f>
        <v>1245</v>
      </c>
      <c r="C1333" s="2" t="s">
        <v>573</v>
      </c>
      <c r="D1333" s="2" t="str">
        <f t="shared" si="19"/>
        <v>Error?</v>
      </c>
    </row>
    <row r="1334" spans="1:4" x14ac:dyDescent="0.2">
      <c r="A1334" s="10">
        <v>1273</v>
      </c>
      <c r="D1334" s="2" t="str">
        <f t="shared" si="19"/>
        <v>OK</v>
      </c>
    </row>
    <row r="1335" spans="1:4" x14ac:dyDescent="0.2">
      <c r="A1335" s="5">
        <v>1274</v>
      </c>
      <c r="B1335" s="138">
        <f>'Expenditures 15-22'!C182</f>
        <v>123920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123920</v>
      </c>
      <c r="C1339" s="2" t="s">
        <v>573</v>
      </c>
      <c r="D1339" s="2" t="str">
        <f t="shared" si="19"/>
        <v>Error?</v>
      </c>
    </row>
    <row r="1340" spans="1:4" x14ac:dyDescent="0.2">
      <c r="A1340" s="5">
        <v>1279</v>
      </c>
      <c r="B1340" s="138">
        <f>'Expenditures 15-22'!C210</f>
        <v>123920</v>
      </c>
      <c r="C1340" s="2" t="s">
        <v>573</v>
      </c>
      <c r="D1340" s="2" t="str">
        <f t="shared" si="19"/>
        <v>Error?</v>
      </c>
    </row>
    <row r="1341" spans="1:4" x14ac:dyDescent="0.2">
      <c r="A1341" s="5">
        <v>1280</v>
      </c>
      <c r="B1341" s="138">
        <f>'Expenditures 15-22'!D182</f>
        <v>36951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36951</v>
      </c>
      <c r="C1345" s="2" t="s">
        <v>573</v>
      </c>
      <c r="D1345" s="2" t="str">
        <f t="shared" si="20"/>
        <v>Error?</v>
      </c>
    </row>
    <row r="1346" spans="1:4" x14ac:dyDescent="0.2">
      <c r="A1346" s="5">
        <v>1285</v>
      </c>
      <c r="B1346" s="138">
        <f>'Expenditures 15-22'!D210</f>
        <v>36951</v>
      </c>
      <c r="C1346" s="2" t="s">
        <v>573</v>
      </c>
      <c r="D1346" s="2" t="str">
        <f t="shared" si="20"/>
        <v>Error?</v>
      </c>
    </row>
    <row r="1347" spans="1:4" x14ac:dyDescent="0.2">
      <c r="A1347" s="5">
        <v>1286</v>
      </c>
      <c r="B1347" s="138">
        <f>'Expenditures 15-22'!E182</f>
        <v>19877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19877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19877</v>
      </c>
      <c r="C1353" s="2" t="s">
        <v>573</v>
      </c>
      <c r="D1353" s="2" t="str">
        <f t="shared" si="20"/>
        <v>Error?</v>
      </c>
    </row>
    <row r="1354" spans="1:4" x14ac:dyDescent="0.2">
      <c r="A1354" s="5">
        <v>1293</v>
      </c>
      <c r="B1354" s="138">
        <f>'Expenditures 15-22'!F182</f>
        <v>45010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45010</v>
      </c>
      <c r="C1358" s="2" t="s">
        <v>573</v>
      </c>
      <c r="D1358" s="2" t="str">
        <f t="shared" si="20"/>
        <v>Error?</v>
      </c>
    </row>
    <row r="1359" spans="1:4" x14ac:dyDescent="0.2">
      <c r="A1359" s="5">
        <v>1298</v>
      </c>
      <c r="B1359" s="138">
        <f>'Expenditures 15-22'!F210</f>
        <v>45010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41757</v>
      </c>
      <c r="C1375" s="2" t="s">
        <v>573</v>
      </c>
      <c r="D1375" s="2" t="str">
        <f t="shared" si="20"/>
        <v>Error?</v>
      </c>
    </row>
    <row r="1376" spans="1:4" x14ac:dyDescent="0.2">
      <c r="A1376" s="5">
        <v>1315</v>
      </c>
      <c r="B1376" s="138">
        <f>'Expenditures 15-22'!H210</f>
        <v>41757</v>
      </c>
      <c r="C1376" s="2" t="s">
        <v>573</v>
      </c>
      <c r="D1376" s="2" t="str">
        <f t="shared" si="20"/>
        <v>Error?</v>
      </c>
    </row>
    <row r="1377" spans="1:4" x14ac:dyDescent="0.2">
      <c r="A1377" s="5">
        <v>1316</v>
      </c>
      <c r="B1377" s="138">
        <f>'Expenditures 15-22'!K182</f>
        <v>225758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225758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41757</v>
      </c>
      <c r="C1387" s="2" t="s">
        <v>573</v>
      </c>
      <c r="D1387" s="2" t="str">
        <f t="shared" si="20"/>
        <v>Error?</v>
      </c>
    </row>
    <row r="1388" spans="1:4" x14ac:dyDescent="0.2">
      <c r="A1388" s="5">
        <v>1327</v>
      </c>
      <c r="B1388" s="138">
        <f>'Expenditures 15-22'!K210</f>
        <v>267515</v>
      </c>
      <c r="C1388" s="2" t="s">
        <v>573</v>
      </c>
      <c r="D1388" s="2" t="str">
        <f t="shared" si="20"/>
        <v>Error?</v>
      </c>
    </row>
    <row r="1389" spans="1:4" x14ac:dyDescent="0.2">
      <c r="A1389" s="5">
        <v>1328</v>
      </c>
      <c r="B1389" s="138">
        <f>'Expenditures 15-22'!K211</f>
        <v>852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120179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148</v>
      </c>
      <c r="D1412" s="2" t="str">
        <f t="shared" si="21"/>
        <v>Error?</v>
      </c>
    </row>
    <row r="1413" spans="1:4" x14ac:dyDescent="0.2">
      <c r="A1413" s="5">
        <v>1352</v>
      </c>
      <c r="B1413" s="138">
        <f>'Expenditures 15-22'!D234</f>
        <v>3630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1423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5201</v>
      </c>
      <c r="C1417" s="2" t="s">
        <v>573</v>
      </c>
      <c r="D1417" s="2" t="str">
        <f t="shared" si="21"/>
        <v>Error?</v>
      </c>
    </row>
    <row r="1418" spans="1:4" x14ac:dyDescent="0.2">
      <c r="A1418" s="5">
        <v>1357</v>
      </c>
      <c r="B1418" s="138">
        <f>'Expenditures 15-22'!D240</f>
        <v>258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258</v>
      </c>
      <c r="C1421" s="2" t="s">
        <v>573</v>
      </c>
      <c r="D1421" s="2" t="str">
        <f t="shared" si="21"/>
        <v>Error?</v>
      </c>
    </row>
    <row r="1422" spans="1:4" x14ac:dyDescent="0.2">
      <c r="A1422" s="5">
        <v>1361</v>
      </c>
      <c r="B1422" s="138">
        <f>'Expenditures 15-22'!D245</f>
        <v>2550</v>
      </c>
      <c r="D1422" s="2" t="str">
        <f t="shared" si="21"/>
        <v>Error?</v>
      </c>
    </row>
    <row r="1423" spans="1:4" x14ac:dyDescent="0.2">
      <c r="A1423" s="5">
        <v>1362</v>
      </c>
      <c r="B1423" s="138">
        <f>'Expenditures 15-22'!D246</f>
        <v>1214</v>
      </c>
      <c r="D1423" s="2" t="str">
        <f t="shared" si="21"/>
        <v>Error?</v>
      </c>
    </row>
    <row r="1424" spans="1:4" x14ac:dyDescent="0.2">
      <c r="A1424" s="5">
        <v>1363</v>
      </c>
      <c r="B1424" s="138">
        <f>'Expenditures 15-22'!D257</f>
        <v>3764</v>
      </c>
      <c r="C1424" s="2" t="s">
        <v>573</v>
      </c>
      <c r="D1424" s="2" t="str">
        <f t="shared" si="21"/>
        <v>Error?</v>
      </c>
    </row>
    <row r="1425" spans="1:4" x14ac:dyDescent="0.2">
      <c r="A1425" s="5">
        <v>1364</v>
      </c>
      <c r="B1425" s="138">
        <f>'Expenditures 15-22'!D259</f>
        <v>20179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20179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12667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44525</v>
      </c>
      <c r="D1431" s="2" t="str">
        <f t="shared" si="21"/>
        <v>Error?</v>
      </c>
    </row>
    <row r="1432" spans="1:4" x14ac:dyDescent="0.2">
      <c r="A1432" s="5">
        <v>1371</v>
      </c>
      <c r="B1432" s="138">
        <f>'Expenditures 15-22'!D267</f>
        <v>24904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82096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111498</v>
      </c>
      <c r="C1446" s="2" t="s">
        <v>573</v>
      </c>
      <c r="D1446" s="2" t="str">
        <f t="shared" si="21"/>
        <v>Error?</v>
      </c>
    </row>
    <row r="1447" spans="1:4" x14ac:dyDescent="0.2">
      <c r="A1447" s="5">
        <v>1386</v>
      </c>
      <c r="B1447" s="138">
        <f>'Expenditures 15-22'!D280</f>
        <v>332</v>
      </c>
      <c r="D1447" s="2" t="str">
        <f t="shared" si="21"/>
        <v>Error?</v>
      </c>
    </row>
    <row r="1448" spans="1:4" x14ac:dyDescent="0.2">
      <c r="A1448" s="5">
        <v>1387</v>
      </c>
      <c r="B1448" s="138">
        <f>'Expenditures 15-22'!D295</f>
        <v>232009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1422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120179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148</v>
      </c>
      <c r="C1476" s="2" t="s">
        <v>573</v>
      </c>
      <c r="D1476" s="2" t="str">
        <f t="shared" si="22"/>
        <v>Error?</v>
      </c>
    </row>
    <row r="1477" spans="1:4" x14ac:dyDescent="0.2">
      <c r="A1477" s="5">
        <v>1416</v>
      </c>
      <c r="B1477" s="138">
        <f>'Expenditures 15-22'!K234</f>
        <v>3630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1423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5201</v>
      </c>
      <c r="C1481" s="2" t="s">
        <v>573</v>
      </c>
      <c r="D1481" s="2" t="str">
        <f t="shared" si="22"/>
        <v>Error?</v>
      </c>
    </row>
    <row r="1482" spans="1:4" x14ac:dyDescent="0.2">
      <c r="A1482" s="5">
        <v>1421</v>
      </c>
      <c r="B1482" s="138">
        <f>'Expenditures 15-22'!K240</f>
        <v>258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258</v>
      </c>
      <c r="C1485" s="2" t="s">
        <v>573</v>
      </c>
      <c r="D1485" s="2" t="str">
        <f t="shared" si="22"/>
        <v>Error?</v>
      </c>
    </row>
    <row r="1486" spans="1:4" x14ac:dyDescent="0.2">
      <c r="A1486" s="5">
        <v>1425</v>
      </c>
      <c r="B1486" s="138">
        <f>'Expenditures 15-22'!K245</f>
        <v>2550</v>
      </c>
      <c r="C1486" s="2" t="s">
        <v>573</v>
      </c>
      <c r="D1486" s="2" t="str">
        <f t="shared" si="22"/>
        <v>Error?</v>
      </c>
    </row>
    <row r="1487" spans="1:4" x14ac:dyDescent="0.2">
      <c r="A1487" s="5">
        <v>1426</v>
      </c>
      <c r="B1487" s="138">
        <f>'Expenditures 15-22'!K246</f>
        <v>1214</v>
      </c>
      <c r="C1487" s="2" t="s">
        <v>573</v>
      </c>
      <c r="D1487" s="2" t="str">
        <f t="shared" si="22"/>
        <v>Error?</v>
      </c>
    </row>
    <row r="1488" spans="1:4" x14ac:dyDescent="0.2">
      <c r="A1488" s="5">
        <v>1427</v>
      </c>
      <c r="B1488" s="138">
        <f>'Expenditures 15-22'!K257</f>
        <v>3764</v>
      </c>
      <c r="C1488" s="2" t="s">
        <v>573</v>
      </c>
      <c r="D1488" s="2" t="str">
        <f t="shared" si="22"/>
        <v>Error?</v>
      </c>
    </row>
    <row r="1489" spans="1:4" x14ac:dyDescent="0.2">
      <c r="A1489" s="5">
        <v>1428</v>
      </c>
      <c r="B1489" s="138">
        <f>'Expenditures 15-22'!K259</f>
        <v>20179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20179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12667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44525</v>
      </c>
      <c r="C1495" s="2" t="s">
        <v>573</v>
      </c>
      <c r="D1495" s="2" t="str">
        <f t="shared" si="22"/>
        <v>Error?</v>
      </c>
    </row>
    <row r="1496" spans="1:4" x14ac:dyDescent="0.2">
      <c r="A1496" s="5">
        <v>1435</v>
      </c>
      <c r="B1496" s="138">
        <f>'Expenditures 15-22'!K267</f>
        <v>24904</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82096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111498</v>
      </c>
      <c r="C1510" s="2" t="s">
        <v>573</v>
      </c>
      <c r="D1510" s="2" t="str">
        <f t="shared" si="22"/>
        <v>Error?</v>
      </c>
    </row>
    <row r="1511" spans="1:4" x14ac:dyDescent="0.2">
      <c r="A1511" s="5">
        <v>1450</v>
      </c>
      <c r="B1511" s="138">
        <f>'Expenditures 15-22'!K280</f>
        <v>332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232009</v>
      </c>
      <c r="C1517" s="2" t="s">
        <v>573</v>
      </c>
      <c r="D1517" s="2" t="str">
        <f t="shared" si="22"/>
        <v>Error?</v>
      </c>
    </row>
    <row r="1518" spans="1:4" x14ac:dyDescent="0.2">
      <c r="A1518" s="5">
        <v>1457</v>
      </c>
      <c r="B1518" s="138">
        <f>'Expenditures 15-22'!K296</f>
        <v>44643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3683109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3579826</v>
      </c>
      <c r="C1630" s="2" t="s">
        <v>573</v>
      </c>
      <c r="D1630" s="2" t="str">
        <f t="shared" si="24"/>
        <v>Error?</v>
      </c>
    </row>
    <row r="1631" spans="1:4" x14ac:dyDescent="0.2">
      <c r="A1631" s="5">
        <v>1570</v>
      </c>
      <c r="B1631" s="138">
        <f>'Acct Summary 7-8'!D79</f>
        <v>608015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544575</v>
      </c>
      <c r="C1644" s="2" t="s">
        <v>573</v>
      </c>
      <c r="D1644" s="2" t="str">
        <f t="shared" si="24"/>
        <v>Error?</v>
      </c>
    </row>
    <row r="1645" spans="1:4" x14ac:dyDescent="0.2">
      <c r="A1645" s="5">
        <v>1584</v>
      </c>
      <c r="B1645" s="138">
        <f>'Acct Summary 7-8'!E79</f>
        <v>39998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41243</v>
      </c>
      <c r="C1658" s="2" t="s">
        <v>573</v>
      </c>
      <c r="D1658" s="2" t="str">
        <f t="shared" si="24"/>
        <v>Error?</v>
      </c>
    </row>
    <row r="1659" spans="1:4" x14ac:dyDescent="0.2">
      <c r="A1659" s="5">
        <v>1598</v>
      </c>
      <c r="B1659" s="138">
        <f>'Acct Summary 7-8'!F79</f>
        <v>157755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158607</v>
      </c>
      <c r="C1672" s="2" t="s">
        <v>573</v>
      </c>
      <c r="D1672" s="2" t="str">
        <f t="shared" si="25"/>
        <v>Error?</v>
      </c>
    </row>
    <row r="1673" spans="1:4" x14ac:dyDescent="0.2">
      <c r="A1673" s="5">
        <v>1612</v>
      </c>
      <c r="B1673" s="138">
        <f>'Acct Summary 7-8'!G79</f>
        <v>48863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93506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528243</v>
      </c>
      <c r="C1744" s="2" t="s">
        <v>573</v>
      </c>
      <c r="D1744" s="2" t="str">
        <f t="shared" si="26"/>
        <v>Error?</v>
      </c>
    </row>
    <row r="1745" spans="1:5" x14ac:dyDescent="0.2">
      <c r="A1745" s="5">
        <v>1684</v>
      </c>
      <c r="B1745" s="138">
        <f>'Tax Sched 23'!B5</f>
        <v>143544</v>
      </c>
      <c r="C1745" s="2" t="s">
        <v>573</v>
      </c>
      <c r="D1745" s="2" t="str">
        <f t="shared" si="26"/>
        <v>Error?</v>
      </c>
    </row>
    <row r="1746" spans="1:5" x14ac:dyDescent="0.2">
      <c r="A1746" s="5">
        <v>1685</v>
      </c>
      <c r="B1746" s="138">
        <f>'Tax Sched 23'!B6</f>
        <v>290078</v>
      </c>
      <c r="C1746" s="2" t="s">
        <v>573</v>
      </c>
      <c r="D1746" s="2" t="str">
        <f t="shared" si="26"/>
        <v>Error?</v>
      </c>
    </row>
    <row r="1747" spans="1:5" x14ac:dyDescent="0.2">
      <c r="A1747" s="5">
        <v>1686</v>
      </c>
      <c r="B1747" s="138">
        <f>'Tax Sched 23'!B7</f>
        <v>68901</v>
      </c>
      <c r="C1747" s="2" t="s">
        <v>573</v>
      </c>
      <c r="D1747" s="2" t="str">
        <f t="shared" si="26"/>
        <v>Error?</v>
      </c>
    </row>
    <row r="1748" spans="1:5" x14ac:dyDescent="0.2">
      <c r="A1748" s="5">
        <v>1687</v>
      </c>
      <c r="B1748" s="138">
        <f>'Tax Sched 23'!B8</f>
        <v>133632</v>
      </c>
      <c r="C1748" s="2" t="s">
        <v>573</v>
      </c>
      <c r="D1748" s="2" t="str">
        <f t="shared" si="26"/>
        <v>Error?</v>
      </c>
    </row>
    <row r="1749" spans="1:5" x14ac:dyDescent="0.2">
      <c r="A1749" s="5">
        <v>1688</v>
      </c>
      <c r="B1749" s="138">
        <f>'Tax Sched 23'!B10</f>
        <v>28709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278070</v>
      </c>
      <c r="C1752" s="2" t="s">
        <v>573</v>
      </c>
      <c r="D1752" s="2" t="str">
        <f t="shared" si="26"/>
        <v>Error?</v>
      </c>
    </row>
    <row r="1753" spans="1:5" x14ac:dyDescent="0.2">
      <c r="A1753" s="5">
        <v>1692</v>
      </c>
      <c r="B1753" s="138">
        <f>'Tax Sched 23'!B12</f>
        <v>28709</v>
      </c>
      <c r="C1753" s="2" t="s">
        <v>573</v>
      </c>
      <c r="D1753" s="2" t="str">
        <f t="shared" si="26"/>
        <v>Error?</v>
      </c>
    </row>
    <row r="1754" spans="1:5" x14ac:dyDescent="0.2">
      <c r="A1754" s="5">
        <v>1693</v>
      </c>
      <c r="B1754" s="138">
        <f>'Tax Sched 23'!B14</f>
        <v>11484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1678600</v>
      </c>
      <c r="C1759" s="2" t="s">
        <v>573</v>
      </c>
      <c r="D1759" s="2" t="str">
        <f t="shared" si="26"/>
        <v>Error?</v>
      </c>
    </row>
    <row r="1760" spans="1:5" x14ac:dyDescent="0.2">
      <c r="A1760" s="5">
        <v>1699</v>
      </c>
      <c r="B1760" s="138">
        <f>'Tax Sched 23'!D4</f>
        <v>528243</v>
      </c>
      <c r="C1760" s="2" t="s">
        <v>573</v>
      </c>
      <c r="D1760" s="2" t="str">
        <f t="shared" si="26"/>
        <v>Error?</v>
      </c>
    </row>
    <row r="1761" spans="1:5" x14ac:dyDescent="0.2">
      <c r="A1761" s="5">
        <v>1700</v>
      </c>
      <c r="B1761" s="138">
        <f>'Tax Sched 23'!D5</f>
        <v>143544</v>
      </c>
      <c r="C1761" s="2" t="s">
        <v>573</v>
      </c>
      <c r="D1761" s="2" t="str">
        <f t="shared" si="26"/>
        <v>Error?</v>
      </c>
    </row>
    <row r="1762" spans="1:5" s="8" customFormat="1" x14ac:dyDescent="0.2">
      <c r="A1762" s="5">
        <v>1701</v>
      </c>
      <c r="B1762" s="138">
        <f>'Tax Sched 23'!D6</f>
        <v>290078</v>
      </c>
      <c r="C1762" s="2" t="s">
        <v>573</v>
      </c>
      <c r="D1762" s="2" t="str">
        <f t="shared" si="26"/>
        <v>Error?</v>
      </c>
      <c r="E1762" s="9"/>
    </row>
    <row r="1763" spans="1:5" x14ac:dyDescent="0.2">
      <c r="A1763" s="5">
        <v>1702</v>
      </c>
      <c r="B1763" s="138">
        <f>'Tax Sched 23'!D7</f>
        <v>68901</v>
      </c>
      <c r="C1763" s="2" t="s">
        <v>573</v>
      </c>
      <c r="D1763" s="2" t="str">
        <f t="shared" si="26"/>
        <v>Error?</v>
      </c>
    </row>
    <row r="1764" spans="1:5" x14ac:dyDescent="0.2">
      <c r="A1764" s="5">
        <v>1703</v>
      </c>
      <c r="B1764" s="138">
        <f>'Tax Sched 23'!D8</f>
        <v>133632</v>
      </c>
      <c r="C1764" s="2" t="s">
        <v>573</v>
      </c>
      <c r="D1764" s="2" t="str">
        <f t="shared" si="26"/>
        <v>Error?</v>
      </c>
    </row>
    <row r="1765" spans="1:5" x14ac:dyDescent="0.2">
      <c r="A1765" s="5">
        <v>1704</v>
      </c>
      <c r="B1765" s="138">
        <f>'Tax Sched 23'!D10</f>
        <v>28709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278070</v>
      </c>
      <c r="C1768" s="2" t="s">
        <v>573</v>
      </c>
      <c r="D1768" s="2" t="str">
        <f t="shared" si="26"/>
        <v>Error?</v>
      </c>
    </row>
    <row r="1769" spans="1:5" x14ac:dyDescent="0.2">
      <c r="A1769" s="5">
        <v>1708</v>
      </c>
      <c r="B1769" s="138">
        <f>'Tax Sched 23'!D12</f>
        <v>28709</v>
      </c>
      <c r="C1769" s="2" t="s">
        <v>573</v>
      </c>
      <c r="D1769" s="2" t="str">
        <f t="shared" si="26"/>
        <v>Error?</v>
      </c>
    </row>
    <row r="1770" spans="1:5" x14ac:dyDescent="0.2">
      <c r="A1770" s="5">
        <v>1709</v>
      </c>
      <c r="B1770" s="138">
        <f>'Tax Sched 23'!D14</f>
        <v>11484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1678600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546074</v>
      </c>
      <c r="C1792" s="2" t="s">
        <v>573</v>
      </c>
      <c r="D1792" s="2" t="str">
        <f t="shared" si="27"/>
        <v>Error?</v>
      </c>
    </row>
    <row r="1793" spans="1:4" x14ac:dyDescent="0.2">
      <c r="A1793" s="5">
        <v>1732</v>
      </c>
      <c r="B1793" s="138">
        <f>'Tax Sched 23'!F5</f>
        <v>148390</v>
      </c>
      <c r="C1793" s="2" t="s">
        <v>573</v>
      </c>
      <c r="D1793" s="2" t="str">
        <f t="shared" si="27"/>
        <v>Error?</v>
      </c>
    </row>
    <row r="1794" spans="1:4" x14ac:dyDescent="0.2">
      <c r="A1794" s="5">
        <v>1733</v>
      </c>
      <c r="B1794" s="138">
        <f>'Tax Sched 23'!F6</f>
        <v>306978</v>
      </c>
      <c r="C1794" s="2" t="s">
        <v>573</v>
      </c>
      <c r="D1794" s="2" t="str">
        <f t="shared" si="27"/>
        <v>Error?</v>
      </c>
    </row>
    <row r="1795" spans="1:4" x14ac:dyDescent="0.2">
      <c r="A1795" s="5">
        <v>1734</v>
      </c>
      <c r="B1795" s="138">
        <f>'Tax Sched 23'!F7</f>
        <v>71227</v>
      </c>
      <c r="C1795" s="2" t="s">
        <v>573</v>
      </c>
      <c r="D1795" s="2" t="str">
        <f t="shared" si="27"/>
        <v>Error?</v>
      </c>
    </row>
    <row r="1796" spans="1:4" x14ac:dyDescent="0.2">
      <c r="A1796" s="5">
        <v>1735</v>
      </c>
      <c r="B1796" s="138">
        <f>'Tax Sched 23'!F8</f>
        <v>155002</v>
      </c>
      <c r="C1796" s="2" t="s">
        <v>573</v>
      </c>
      <c r="D1796" s="2" t="str">
        <f t="shared" si="27"/>
        <v>Error?</v>
      </c>
    </row>
    <row r="1797" spans="1:4" x14ac:dyDescent="0.2">
      <c r="A1797" s="5">
        <v>1736</v>
      </c>
      <c r="B1797" s="138">
        <f>'Tax Sched 23'!F10</f>
        <v>29678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225000</v>
      </c>
      <c r="C1800" s="2" t="s">
        <v>573</v>
      </c>
      <c r="D1800" s="2" t="str">
        <f t="shared" si="27"/>
        <v>Error?</v>
      </c>
    </row>
    <row r="1801" spans="1:4" x14ac:dyDescent="0.2">
      <c r="A1801" s="5">
        <v>1740</v>
      </c>
      <c r="B1801" s="138">
        <f>'Tax Sched 23'!F12</f>
        <v>29678</v>
      </c>
      <c r="C1801" s="2" t="s">
        <v>573</v>
      </c>
      <c r="D1801" s="2" t="str">
        <f t="shared" si="27"/>
        <v>Error?</v>
      </c>
    </row>
    <row r="1802" spans="1:4" x14ac:dyDescent="0.2">
      <c r="A1802" s="5">
        <v>1741</v>
      </c>
      <c r="B1802" s="138">
        <f>'Tax Sched 23'!F14</f>
        <v>11871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1708578</v>
      </c>
      <c r="C1807" s="2" t="s">
        <v>573</v>
      </c>
      <c r="D1807" s="2" t="str">
        <f t="shared" si="27"/>
        <v>Error?</v>
      </c>
    </row>
    <row r="1808" spans="1:4" x14ac:dyDescent="0.2">
      <c r="A1808" s="5">
        <v>1747</v>
      </c>
      <c r="B1808" s="138">
        <f>'Tax Sched 23'!E4</f>
        <v>546074</v>
      </c>
      <c r="D1808" s="2" t="str">
        <f t="shared" si="27"/>
        <v>Error?</v>
      </c>
    </row>
    <row r="1809" spans="1:4" x14ac:dyDescent="0.2">
      <c r="A1809" s="5">
        <v>1748</v>
      </c>
      <c r="B1809" s="138">
        <f>'Tax Sched 23'!E5</f>
        <v>148390</v>
      </c>
      <c r="D1809" s="2" t="str">
        <f t="shared" si="27"/>
        <v>Error?</v>
      </c>
    </row>
    <row r="1810" spans="1:4" x14ac:dyDescent="0.2">
      <c r="A1810" s="5">
        <v>1749</v>
      </c>
      <c r="B1810" s="138">
        <f>'Tax Sched 23'!E6</f>
        <v>306978</v>
      </c>
      <c r="D1810" s="2" t="str">
        <f t="shared" si="27"/>
        <v>Error?</v>
      </c>
    </row>
    <row r="1811" spans="1:4" x14ac:dyDescent="0.2">
      <c r="A1811" s="5">
        <v>1750</v>
      </c>
      <c r="B1811" s="138">
        <f>'Tax Sched 23'!E7</f>
        <v>71227</v>
      </c>
      <c r="D1811" s="2" t="str">
        <f t="shared" si="27"/>
        <v>Error?</v>
      </c>
    </row>
    <row r="1812" spans="1:4" x14ac:dyDescent="0.2">
      <c r="A1812" s="5">
        <v>1751</v>
      </c>
      <c r="B1812" s="138">
        <f>'Tax Sched 23'!E8</f>
        <v>155002</v>
      </c>
      <c r="D1812" s="2" t="str">
        <f t="shared" si="27"/>
        <v>Error?</v>
      </c>
    </row>
    <row r="1813" spans="1:4" x14ac:dyDescent="0.2">
      <c r="A1813" s="5">
        <v>1752</v>
      </c>
      <c r="B1813" s="138">
        <f>'Tax Sched 23'!E10</f>
        <v>29678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225000</v>
      </c>
      <c r="D1816" s="2" t="str">
        <f t="shared" si="27"/>
        <v>Error?</v>
      </c>
    </row>
    <row r="1817" spans="1:4" x14ac:dyDescent="0.2">
      <c r="A1817" s="5">
        <v>1756</v>
      </c>
      <c r="B1817" s="138">
        <f>'Tax Sched 23'!E12</f>
        <v>29678</v>
      </c>
      <c r="D1817" s="2" t="str">
        <f t="shared" si="27"/>
        <v>Error?</v>
      </c>
    </row>
    <row r="1818" spans="1:4" x14ac:dyDescent="0.2">
      <c r="A1818" s="5">
        <v>1757</v>
      </c>
      <c r="B1818" s="138">
        <f>'Tax Sched 23'!E14</f>
        <v>11871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1708578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2754606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11544</v>
      </c>
      <c r="D1972" s="2" t="str">
        <f t="shared" si="29"/>
        <v>Error?</v>
      </c>
    </row>
    <row r="1973" spans="1:5" x14ac:dyDescent="0.2">
      <c r="A1973" s="5">
        <v>1912</v>
      </c>
      <c r="B1973" s="138">
        <f>'Rest Tax Levies-Tort Im 25'!H6</f>
        <v>13</v>
      </c>
      <c r="D1973" s="2" t="str">
        <f t="shared" si="29"/>
        <v>Error?</v>
      </c>
    </row>
    <row r="1974" spans="1:5" x14ac:dyDescent="0.2">
      <c r="A1974" s="5">
        <v>1913</v>
      </c>
      <c r="B1974" s="138">
        <f>'Rest Tax Levies-Tort Im 25'!H10</f>
        <v>25236</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36793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36793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157600</v>
      </c>
      <c r="D2008" s="2" t="str">
        <f t="shared" si="30"/>
        <v>Error?</v>
      </c>
    </row>
    <row r="2009" spans="1:4" x14ac:dyDescent="0.2">
      <c r="A2009" s="5">
        <v>1948</v>
      </c>
      <c r="B2009" s="138">
        <f>'Cap Outlay Deprec 26'!C8</f>
        <v>11871844</v>
      </c>
      <c r="D2009" s="2" t="str">
        <f t="shared" si="30"/>
        <v>Error?</v>
      </c>
    </row>
    <row r="2010" spans="1:4" x14ac:dyDescent="0.2">
      <c r="A2010" s="5">
        <v>1949</v>
      </c>
      <c r="B2010" s="138">
        <f>'Cap Outlay Deprec 26'!C10</f>
        <v>105345</v>
      </c>
      <c r="D2010" s="2" t="str">
        <f t="shared" si="30"/>
        <v>Error?</v>
      </c>
    </row>
    <row r="2011" spans="1:4" x14ac:dyDescent="0.2">
      <c r="A2011" s="5">
        <v>1950</v>
      </c>
      <c r="B2011" s="138">
        <f>'Cap Outlay Deprec 26'!C12</f>
        <v>906902</v>
      </c>
      <c r="D2011" s="2" t="str">
        <f t="shared" si="30"/>
        <v>Error?</v>
      </c>
    </row>
    <row r="2012" spans="1:4" x14ac:dyDescent="0.2">
      <c r="A2012" s="5">
        <v>1951</v>
      </c>
      <c r="B2012" s="138">
        <f>'Cap Outlay Deprec 26'!C13</f>
        <v>787254</v>
      </c>
      <c r="D2012" s="2" t="str">
        <f t="shared" si="30"/>
        <v>Error?</v>
      </c>
    </row>
    <row r="2013" spans="1:4" x14ac:dyDescent="0.2">
      <c r="A2013" s="5">
        <v>1952</v>
      </c>
      <c r="B2013" s="138">
        <f>'Cap Outlay Deprec 26'!C16</f>
        <v>13828945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9939</v>
      </c>
      <c r="D2016" s="2" t="str">
        <f t="shared" si="30"/>
        <v>Error?</v>
      </c>
    </row>
    <row r="2017" spans="1:4" x14ac:dyDescent="0.2">
      <c r="A2017" s="5">
        <v>1956</v>
      </c>
      <c r="B2017" s="138">
        <f>'Cap Outlay Deprec 26'!D12</f>
        <v>96918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106857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42215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42215</v>
      </c>
      <c r="C2025" s="2" t="s">
        <v>573</v>
      </c>
      <c r="D2025" s="2" t="str">
        <f t="shared" si="30"/>
        <v>Error?</v>
      </c>
    </row>
    <row r="2026" spans="1:4" x14ac:dyDescent="0.2">
      <c r="A2026" s="5">
        <v>1965</v>
      </c>
      <c r="B2026" s="138">
        <f>'Cap Outlay Deprec 26'!F5</f>
        <v>157600</v>
      </c>
      <c r="C2026" s="2" t="s">
        <v>573</v>
      </c>
      <c r="D2026" s="2" t="str">
        <f t="shared" si="30"/>
        <v>Error?</v>
      </c>
    </row>
    <row r="2027" spans="1:4" x14ac:dyDescent="0.2">
      <c r="A2027" s="5">
        <v>1966</v>
      </c>
      <c r="B2027" s="138">
        <f>'Cap Outlay Deprec 26'!F8</f>
        <v>11871844</v>
      </c>
      <c r="C2027" s="2" t="s">
        <v>573</v>
      </c>
      <c r="D2027" s="2" t="str">
        <f t="shared" si="30"/>
        <v>Error?</v>
      </c>
    </row>
    <row r="2028" spans="1:4" x14ac:dyDescent="0.2">
      <c r="A2028" s="5">
        <v>1967</v>
      </c>
      <c r="B2028" s="138">
        <f>'Cap Outlay Deprec 26'!F10</f>
        <v>115284</v>
      </c>
      <c r="C2028" s="2" t="s">
        <v>573</v>
      </c>
      <c r="D2028" s="2" t="str">
        <f t="shared" si="30"/>
        <v>Error?</v>
      </c>
    </row>
    <row r="2029" spans="1:4" x14ac:dyDescent="0.2">
      <c r="A2029" s="5">
        <v>1968</v>
      </c>
      <c r="B2029" s="138">
        <f>'Cap Outlay Deprec 26'!F12</f>
        <v>961605</v>
      </c>
      <c r="C2029" s="2" t="s">
        <v>573</v>
      </c>
      <c r="D2029" s="2" t="str">
        <f t="shared" si="30"/>
        <v>Error?</v>
      </c>
    </row>
    <row r="2030" spans="1:4" x14ac:dyDescent="0.2">
      <c r="A2030" s="5">
        <v>1969</v>
      </c>
      <c r="B2030" s="138">
        <f>'Cap Outlay Deprec 26'!F13</f>
        <v>787254</v>
      </c>
      <c r="C2030" s="2" t="s">
        <v>573</v>
      </c>
      <c r="D2030" s="2" t="str">
        <f t="shared" si="30"/>
        <v>Error?</v>
      </c>
    </row>
    <row r="2031" spans="1:4" x14ac:dyDescent="0.2">
      <c r="A2031" s="5">
        <v>1970</v>
      </c>
      <c r="B2031" s="138">
        <f>'Cap Outlay Deprec 26'!F16</f>
        <v>13893587</v>
      </c>
      <c r="C2031" s="2" t="s">
        <v>573</v>
      </c>
      <c r="D2031" s="2" t="str">
        <f t="shared" si="30"/>
        <v>Error?</v>
      </c>
    </row>
    <row r="2032" spans="1:4" x14ac:dyDescent="0.2">
      <c r="A2032" s="10">
        <v>1971</v>
      </c>
      <c r="D2032" s="2" t="str">
        <f t="shared" si="30"/>
        <v>OK</v>
      </c>
    </row>
    <row r="2033" spans="1:4" x14ac:dyDescent="0.2">
      <c r="A2033" s="5">
        <v>1972</v>
      </c>
      <c r="B2033" s="138">
        <f>'Cap Outlay Deprec 26'!H8</f>
        <v>2980773</v>
      </c>
      <c r="D2033" s="2" t="str">
        <f t="shared" si="30"/>
        <v>Error?</v>
      </c>
    </row>
    <row r="2034" spans="1:4" x14ac:dyDescent="0.2">
      <c r="A2034" s="5">
        <v>1973</v>
      </c>
      <c r="B2034" s="138">
        <f>'Cap Outlay Deprec 26'!H10</f>
        <v>99951</v>
      </c>
      <c r="D2034" s="2" t="str">
        <f t="shared" si="30"/>
        <v>Error?</v>
      </c>
    </row>
    <row r="2035" spans="1:4" x14ac:dyDescent="0.2">
      <c r="A2035" s="5">
        <v>1974</v>
      </c>
      <c r="B2035" s="138">
        <f>'Cap Outlay Deprec 26'!H12</f>
        <v>512946</v>
      </c>
      <c r="D2035" s="2" t="str">
        <f t="shared" si="30"/>
        <v>Error?</v>
      </c>
    </row>
    <row r="2036" spans="1:4" x14ac:dyDescent="0.2">
      <c r="A2036" s="5">
        <v>1975</v>
      </c>
      <c r="B2036" s="138">
        <f>'Cap Outlay Deprec 26'!H13</f>
        <v>570414</v>
      </c>
      <c r="D2036" s="2" t="str">
        <f t="shared" si="30"/>
        <v>Error?</v>
      </c>
    </row>
    <row r="2037" spans="1:4" x14ac:dyDescent="0.2">
      <c r="A2037" s="5">
        <v>1976</v>
      </c>
      <c r="B2037" s="138">
        <f>'Cap Outlay Deprec 26'!H16</f>
        <v>4164084</v>
      </c>
      <c r="C2037" s="2" t="s">
        <v>573</v>
      </c>
      <c r="D2037" s="2" t="str">
        <f t="shared" si="30"/>
        <v>Error?</v>
      </c>
    </row>
    <row r="2038" spans="1:4" x14ac:dyDescent="0.2">
      <c r="A2038" s="10">
        <v>1977</v>
      </c>
      <c r="D2038" s="2" t="str">
        <f t="shared" si="30"/>
        <v>OK</v>
      </c>
    </row>
    <row r="2039" spans="1:4" x14ac:dyDescent="0.2">
      <c r="A2039" s="5">
        <v>1978</v>
      </c>
      <c r="B2039" s="138">
        <f>'Cap Outlay Deprec 26'!I8</f>
        <v>221071</v>
      </c>
      <c r="D2039" s="2" t="str">
        <f t="shared" si="30"/>
        <v>Error?</v>
      </c>
    </row>
    <row r="2040" spans="1:4" x14ac:dyDescent="0.2">
      <c r="A2040" s="5">
        <v>1979</v>
      </c>
      <c r="B2040" s="138">
        <f>'Cap Outlay Deprec 26'!I10</f>
        <v>3810</v>
      </c>
      <c r="D2040" s="2" t="str">
        <f t="shared" si="30"/>
        <v>Error?</v>
      </c>
    </row>
    <row r="2041" spans="1:4" x14ac:dyDescent="0.2">
      <c r="A2041" s="5">
        <v>1980</v>
      </c>
      <c r="B2041" s="138">
        <f>'Cap Outlay Deprec 26'!I12</f>
        <v>89776</v>
      </c>
      <c r="D2041" s="2" t="str">
        <f t="shared" si="30"/>
        <v>Error?</v>
      </c>
    </row>
    <row r="2042" spans="1:4" x14ac:dyDescent="0.2">
      <c r="A2042" s="5">
        <v>1981</v>
      </c>
      <c r="B2042" s="138">
        <f>'Cap Outlay Deprec 26'!I13</f>
        <v>40849</v>
      </c>
      <c r="D2042" s="2" t="str">
        <f t="shared" si="30"/>
        <v>Error?</v>
      </c>
    </row>
    <row r="2043" spans="1:4" x14ac:dyDescent="0.2">
      <c r="A2043" s="5">
        <v>1982</v>
      </c>
      <c r="B2043" s="138">
        <f>'Cap Outlay Deprec 26'!I16</f>
        <v>355506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42235</v>
      </c>
      <c r="D2047" s="2" t="str">
        <f t="shared" ref="D2047:D2110" si="31">IF(ISBLANK(B2047),"OK",IF(A2047-B2047=0,"OK","Error?"))</f>
        <v>Error?</v>
      </c>
    </row>
    <row r="2048" spans="1:4" x14ac:dyDescent="0.2">
      <c r="A2048" s="5">
        <v>1987</v>
      </c>
      <c r="B2048" s="138">
        <f>'Cap Outlay Deprec 26'!J13</f>
        <v>16732</v>
      </c>
      <c r="D2048" s="2" t="str">
        <f t="shared" si="31"/>
        <v>Error?</v>
      </c>
    </row>
    <row r="2049" spans="1:4" x14ac:dyDescent="0.2">
      <c r="A2049" s="5">
        <v>1988</v>
      </c>
      <c r="B2049" s="138">
        <f>'Cap Outlay Deprec 26'!J16</f>
        <v>58967</v>
      </c>
      <c r="C2049" s="2" t="s">
        <v>573</v>
      </c>
      <c r="D2049" s="2" t="str">
        <f t="shared" si="31"/>
        <v>Error?</v>
      </c>
    </row>
    <row r="2050" spans="1:4" x14ac:dyDescent="0.2">
      <c r="A2050" s="10">
        <v>1989</v>
      </c>
      <c r="D2050" s="2" t="str">
        <f t="shared" si="31"/>
        <v>OK</v>
      </c>
    </row>
    <row r="2051" spans="1:4" x14ac:dyDescent="0.2">
      <c r="A2051" s="5">
        <v>1990</v>
      </c>
      <c r="B2051" s="138">
        <f>'Cap Outlay Deprec 26'!K8</f>
        <v>3201844</v>
      </c>
      <c r="C2051" s="2" t="s">
        <v>573</v>
      </c>
      <c r="D2051" s="2" t="str">
        <f t="shared" si="31"/>
        <v>Error?</v>
      </c>
    </row>
    <row r="2052" spans="1:4" x14ac:dyDescent="0.2">
      <c r="A2052" s="5">
        <v>1991</v>
      </c>
      <c r="B2052" s="138">
        <f>'Cap Outlay Deprec 26'!K10</f>
        <v>103761</v>
      </c>
      <c r="C2052" s="2" t="s">
        <v>573</v>
      </c>
      <c r="D2052" s="2" t="str">
        <f t="shared" si="31"/>
        <v>Error?</v>
      </c>
    </row>
    <row r="2053" spans="1:4" x14ac:dyDescent="0.2">
      <c r="A2053" s="5">
        <v>1992</v>
      </c>
      <c r="B2053" s="138">
        <f>'Cap Outlay Deprec 26'!K12</f>
        <v>560487</v>
      </c>
      <c r="C2053" s="2" t="s">
        <v>573</v>
      </c>
      <c r="D2053" s="2" t="str">
        <f t="shared" si="31"/>
        <v>Error?</v>
      </c>
    </row>
    <row r="2054" spans="1:4" x14ac:dyDescent="0.2">
      <c r="A2054" s="5">
        <v>1993</v>
      </c>
      <c r="B2054" s="138">
        <f>'Cap Outlay Deprec 26'!K13</f>
        <v>594531</v>
      </c>
      <c r="C2054" s="2" t="s">
        <v>573</v>
      </c>
      <c r="D2054" s="2" t="str">
        <f t="shared" si="31"/>
        <v>Error?</v>
      </c>
    </row>
    <row r="2055" spans="1:4" x14ac:dyDescent="0.2">
      <c r="A2055" s="5">
        <v>1994</v>
      </c>
      <c r="B2055" s="138">
        <f>'Cap Outlay Deprec 26'!K16</f>
        <v>4460623</v>
      </c>
      <c r="C2055" s="2" t="s">
        <v>573</v>
      </c>
      <c r="D2055" s="2" t="str">
        <f t="shared" si="31"/>
        <v>Error?</v>
      </c>
    </row>
    <row r="2056" spans="1:4" x14ac:dyDescent="0.2">
      <c r="A2056" s="5">
        <v>1995</v>
      </c>
      <c r="B2056" s="138">
        <f>'Cap Outlay Deprec 26'!L5</f>
        <v>157600</v>
      </c>
      <c r="C2056" s="2" t="s">
        <v>573</v>
      </c>
      <c r="D2056" s="2" t="str">
        <f t="shared" si="31"/>
        <v>Error?</v>
      </c>
    </row>
    <row r="2057" spans="1:4" x14ac:dyDescent="0.2">
      <c r="A2057" s="5">
        <v>1996</v>
      </c>
      <c r="B2057" s="138">
        <f>'Cap Outlay Deprec 26'!L8</f>
        <v>8670000</v>
      </c>
      <c r="C2057" s="2" t="s">
        <v>573</v>
      </c>
      <c r="D2057" s="2" t="str">
        <f t="shared" si="31"/>
        <v>Error?</v>
      </c>
    </row>
    <row r="2058" spans="1:4" x14ac:dyDescent="0.2">
      <c r="A2058" s="5">
        <v>1997</v>
      </c>
      <c r="B2058" s="138">
        <f>'Cap Outlay Deprec 26'!L10</f>
        <v>11523</v>
      </c>
      <c r="C2058" s="2" t="s">
        <v>573</v>
      </c>
      <c r="D2058" s="2" t="str">
        <f t="shared" si="31"/>
        <v>Error?</v>
      </c>
    </row>
    <row r="2059" spans="1:4" x14ac:dyDescent="0.2">
      <c r="A2059" s="5">
        <v>1998</v>
      </c>
      <c r="B2059" s="138">
        <f>'Cap Outlay Deprec 26'!L12</f>
        <v>401118</v>
      </c>
      <c r="C2059" s="2" t="s">
        <v>573</v>
      </c>
      <c r="D2059" s="2" t="str">
        <f t="shared" si="31"/>
        <v>Error?</v>
      </c>
    </row>
    <row r="2060" spans="1:4" x14ac:dyDescent="0.2">
      <c r="A2060" s="5">
        <v>1999</v>
      </c>
      <c r="B2060" s="138">
        <f>'Cap Outlay Deprec 26'!L13</f>
        <v>192723</v>
      </c>
      <c r="C2060" s="2" t="s">
        <v>573</v>
      </c>
      <c r="D2060" s="2" t="str">
        <f t="shared" si="31"/>
        <v>Error?</v>
      </c>
    </row>
    <row r="2061" spans="1:4" x14ac:dyDescent="0.2">
      <c r="A2061" s="5">
        <v>2000</v>
      </c>
      <c r="B2061" s="138">
        <f>'Cap Outlay Deprec 26'!L16</f>
        <v>9432964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105554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105554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35392</v>
      </c>
      <c r="D2435" s="2" t="str">
        <f t="shared" si="37"/>
        <v>Error?</v>
      </c>
    </row>
    <row r="2436" spans="1:4" x14ac:dyDescent="0.2">
      <c r="A2436" s="10">
        <v>2375</v>
      </c>
      <c r="D2436" s="2" t="str">
        <f t="shared" si="37"/>
        <v>OK</v>
      </c>
    </row>
    <row r="2437" spans="1:4" x14ac:dyDescent="0.2">
      <c r="A2437" s="5">
        <v>2376</v>
      </c>
      <c r="B2437" s="138">
        <f>'Assets-Liab 5-6'!D38</f>
        <v>12985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66568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789800</v>
      </c>
      <c r="C2551" s="2" t="s">
        <v>573</v>
      </c>
      <c r="D2551" s="2" t="str">
        <f t="shared" si="38"/>
        <v>Error?</v>
      </c>
    </row>
    <row r="2552" spans="1:4" x14ac:dyDescent="0.2">
      <c r="A2552" s="10">
        <v>2491</v>
      </c>
      <c r="D2552" s="2" t="str">
        <f t="shared" si="38"/>
        <v>OK</v>
      </c>
    </row>
    <row r="2553" spans="1:4" x14ac:dyDescent="0.2">
      <c r="A2553" s="5">
        <v>2492</v>
      </c>
      <c r="B2553" s="138">
        <f>'Acct Summary 7-8'!C6</f>
        <v>3764073</v>
      </c>
      <c r="C2553" s="2" t="s">
        <v>573</v>
      </c>
      <c r="D2553" s="2" t="str">
        <f t="shared" si="38"/>
        <v>Error?</v>
      </c>
    </row>
    <row r="2554" spans="1:4" x14ac:dyDescent="0.2">
      <c r="A2554" s="5">
        <v>2493</v>
      </c>
      <c r="B2554" s="138">
        <f>'Acct Summary 7-8'!C7</f>
        <v>643450</v>
      </c>
      <c r="C2554" s="2" t="s">
        <v>573</v>
      </c>
      <c r="D2554" s="2" t="str">
        <f t="shared" si="38"/>
        <v>Error?</v>
      </c>
    </row>
    <row r="2555" spans="1:4" x14ac:dyDescent="0.2">
      <c r="A2555" s="5">
        <v>2494</v>
      </c>
      <c r="B2555" s="138">
        <f>'Acct Summary 7-8'!C8</f>
        <v>5197323</v>
      </c>
      <c r="C2555" s="2" t="s">
        <v>573</v>
      </c>
      <c r="D2555" s="2" t="str">
        <f t="shared" si="38"/>
        <v>Error?</v>
      </c>
    </row>
    <row r="2556" spans="1:4" x14ac:dyDescent="0.2">
      <c r="A2556" s="5">
        <v>2495</v>
      </c>
      <c r="B2556" s="138">
        <f>'Acct Summary 7-8'!C12</f>
        <v>3635417</v>
      </c>
      <c r="C2556" s="2" t="s">
        <v>573</v>
      </c>
      <c r="D2556" s="2" t="str">
        <f t="shared" si="38"/>
        <v>Error?</v>
      </c>
    </row>
    <row r="2557" spans="1:4" x14ac:dyDescent="0.2">
      <c r="A2557" s="5">
        <v>2496</v>
      </c>
      <c r="B2557" s="138">
        <f>'Acct Summary 7-8'!C13</f>
        <v>1501675</v>
      </c>
      <c r="C2557" s="2" t="s">
        <v>573</v>
      </c>
      <c r="D2557" s="2" t="str">
        <f t="shared" si="38"/>
        <v>Error?</v>
      </c>
    </row>
    <row r="2558" spans="1:4" x14ac:dyDescent="0.2">
      <c r="A2558" s="5">
        <v>2497</v>
      </c>
      <c r="B2558" s="138">
        <f>'Acct Summary 7-8'!C14</f>
        <v>30073</v>
      </c>
      <c r="C2558" s="2" t="s">
        <v>573</v>
      </c>
      <c r="D2558" s="2" t="str">
        <f t="shared" si="38"/>
        <v>Error?</v>
      </c>
    </row>
    <row r="2559" spans="1:4" x14ac:dyDescent="0.2">
      <c r="A2559" s="5">
        <v>2498</v>
      </c>
      <c r="B2559" s="138">
        <f>'Acct Summary 7-8'!C15</f>
        <v>105554</v>
      </c>
      <c r="C2559" s="2" t="s">
        <v>573</v>
      </c>
      <c r="D2559" s="2" t="str">
        <f t="shared" ref="D2559:D2622" si="39">IF(ISBLANK(B2559),"OK",IF(A2559-B2559=0,"OK","Error?"))</f>
        <v>Error?</v>
      </c>
    </row>
    <row r="2560" spans="1:4" x14ac:dyDescent="0.2">
      <c r="A2560" s="5">
        <v>2499</v>
      </c>
      <c r="B2560" s="138">
        <f>'Acct Summary 7-8'!C16</f>
        <v>27887</v>
      </c>
      <c r="C2560" s="2" t="s">
        <v>573</v>
      </c>
      <c r="D2560" s="2" t="str">
        <f t="shared" si="39"/>
        <v>Error?</v>
      </c>
    </row>
    <row r="2561" spans="1:4" x14ac:dyDescent="0.2">
      <c r="A2561" s="5">
        <v>2500</v>
      </c>
      <c r="B2561" s="138">
        <f>'Acct Summary 7-8'!C17</f>
        <v>5300606</v>
      </c>
      <c r="C2561" s="2" t="s">
        <v>573</v>
      </c>
      <c r="D2561" s="2" t="str">
        <f t="shared" si="39"/>
        <v>Error?</v>
      </c>
    </row>
    <row r="2562" spans="1:4" x14ac:dyDescent="0.2">
      <c r="A2562" s="5">
        <v>2501</v>
      </c>
      <c r="B2562" s="138">
        <f>'Acct Summary 7-8'!C20</f>
        <v>-103283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148256</v>
      </c>
      <c r="C2564" s="2" t="s">
        <v>573</v>
      </c>
      <c r="D2564" s="2" t="str">
        <f t="shared" si="39"/>
        <v>Error?</v>
      </c>
    </row>
    <row r="2565" spans="1:4" x14ac:dyDescent="0.2">
      <c r="A2565" s="10">
        <v>2504</v>
      </c>
      <c r="D2565" s="2" t="str">
        <f t="shared" si="39"/>
        <v>OK</v>
      </c>
    </row>
    <row r="2566" spans="1:4" x14ac:dyDescent="0.2">
      <c r="A2566" s="5">
        <v>2505</v>
      </c>
      <c r="B2566" s="138">
        <f>'Acct Summary 7-8'!D6</f>
        <v>60000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208256</v>
      </c>
      <c r="C2568" s="2" t="s">
        <v>573</v>
      </c>
      <c r="D2568" s="2" t="str">
        <f t="shared" si="39"/>
        <v>Error?</v>
      </c>
    </row>
    <row r="2569" spans="1:4" x14ac:dyDescent="0.2">
      <c r="A2569" s="5">
        <v>2508</v>
      </c>
      <c r="B2569" s="138">
        <f>'Acct Summary 7-8'!D13</f>
        <v>271696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271696</v>
      </c>
      <c r="C2573" s="2" t="s">
        <v>573</v>
      </c>
      <c r="D2573" s="2" t="str">
        <f t="shared" si="39"/>
        <v>Error?</v>
      </c>
    </row>
    <row r="2574" spans="1:4" x14ac:dyDescent="0.2">
      <c r="A2574" s="5">
        <v>2513</v>
      </c>
      <c r="B2574" s="138">
        <f>'Acct Summary 7-8'!D20</f>
        <v>-63440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72870</v>
      </c>
      <c r="C2591" s="2" t="s">
        <v>573</v>
      </c>
      <c r="D2591" s="2" t="str">
        <f t="shared" si="39"/>
        <v>Error?</v>
      </c>
    </row>
    <row r="2592" spans="1:4" x14ac:dyDescent="0.2">
      <c r="A2592" s="10">
        <v>2531</v>
      </c>
      <c r="D2592" s="2" t="str">
        <f t="shared" si="39"/>
        <v>OK</v>
      </c>
    </row>
    <row r="2593" spans="1:4" x14ac:dyDescent="0.2">
      <c r="A2593" s="5">
        <v>2532</v>
      </c>
      <c r="B2593" s="138">
        <f>'Acct Summary 7-8'!F6</f>
        <v>195497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268367</v>
      </c>
      <c r="C2595" s="2" t="s">
        <v>573</v>
      </c>
      <c r="D2595" s="2" t="str">
        <f t="shared" si="39"/>
        <v>Error?</v>
      </c>
    </row>
    <row r="2596" spans="1:4" x14ac:dyDescent="0.2">
      <c r="A2596" s="5">
        <v>2535</v>
      </c>
      <c r="B2596" s="138">
        <f>'Acct Summary 7-8'!F13</f>
        <v>225758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41757</v>
      </c>
      <c r="C2599" s="2" t="s">
        <v>573</v>
      </c>
      <c r="D2599" s="2" t="str">
        <f t="shared" si="39"/>
        <v>Error?</v>
      </c>
    </row>
    <row r="2600" spans="1:4" x14ac:dyDescent="0.2">
      <c r="A2600" s="5">
        <v>2539</v>
      </c>
      <c r="B2600" s="138">
        <f>'Acct Summary 7-8'!F17</f>
        <v>267515</v>
      </c>
      <c r="C2600" s="2" t="s">
        <v>573</v>
      </c>
      <c r="D2600" s="2" t="str">
        <f t="shared" si="39"/>
        <v>Error?</v>
      </c>
    </row>
    <row r="2601" spans="1:4" x14ac:dyDescent="0.2">
      <c r="A2601" s="5">
        <v>2540</v>
      </c>
      <c r="B2601" s="138">
        <f>'Acct Summary 7-8'!F20</f>
        <v>852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276652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276652</v>
      </c>
      <c r="C2606" s="2" t="s">
        <v>573</v>
      </c>
      <c r="D2606" s="2" t="str">
        <f t="shared" si="39"/>
        <v>Error?</v>
      </c>
    </row>
    <row r="2607" spans="1:4" x14ac:dyDescent="0.2">
      <c r="A2607" s="5">
        <v>2546</v>
      </c>
      <c r="B2607" s="138">
        <f>'Acct Summary 7-8'!G12</f>
        <v>120179</v>
      </c>
      <c r="C2607" s="2" t="s">
        <v>573</v>
      </c>
      <c r="D2607" s="2" t="str">
        <f t="shared" si="39"/>
        <v>Error?</v>
      </c>
    </row>
    <row r="2608" spans="1:4" x14ac:dyDescent="0.2">
      <c r="A2608" s="5">
        <v>2547</v>
      </c>
      <c r="B2608" s="138">
        <f>'Acct Summary 7-8'!G13</f>
        <v>111498</v>
      </c>
      <c r="C2608" s="2" t="s">
        <v>573</v>
      </c>
      <c r="D2608" s="2" t="str">
        <f t="shared" si="39"/>
        <v>Error?</v>
      </c>
    </row>
    <row r="2609" spans="1:4" x14ac:dyDescent="0.2">
      <c r="A2609" s="5">
        <v>2548</v>
      </c>
      <c r="B2609" s="138">
        <f>'Acct Summary 7-8'!G14</f>
        <v>332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232009</v>
      </c>
      <c r="C2612" s="2" t="s">
        <v>573</v>
      </c>
      <c r="D2612" s="2" t="str">
        <f t="shared" si="39"/>
        <v>Error?</v>
      </c>
    </row>
    <row r="2613" spans="1:4" x14ac:dyDescent="0.2">
      <c r="A2613" s="5">
        <v>2552</v>
      </c>
      <c r="B2613" s="138">
        <f>'Acct Summary 7-8'!G20</f>
        <v>44643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292021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336608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335363</v>
      </c>
      <c r="C2634" s="2" t="s">
        <v>573</v>
      </c>
      <c r="D2634" s="2" t="str">
        <f t="shared" si="40"/>
        <v>Error?</v>
      </c>
    </row>
    <row r="2635" spans="1:4" x14ac:dyDescent="0.2">
      <c r="A2635" s="5">
        <v>2574</v>
      </c>
      <c r="B2635" s="138">
        <f>'Acct Summary 7-8'!E17</f>
        <v>335363</v>
      </c>
      <c r="C2635" s="2" t="s">
        <v>573</v>
      </c>
      <c r="D2635" s="2" t="str">
        <f t="shared" si="40"/>
        <v>Error?</v>
      </c>
    </row>
    <row r="2636" spans="1:4" x14ac:dyDescent="0.2">
      <c r="A2636" s="5">
        <v>2575</v>
      </c>
      <c r="B2636" s="138">
        <f>'Acct Summary 7-8'!E20</f>
        <v>1245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167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268194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268194</v>
      </c>
      <c r="D2912" s="2" t="str">
        <f t="shared" si="44"/>
        <v>Error?</v>
      </c>
    </row>
    <row r="2913" spans="1:4" x14ac:dyDescent="0.2">
      <c r="A2913" s="5">
        <v>2852</v>
      </c>
      <c r="B2913" s="138">
        <f>'Assets-Liab 5-6'!I41</f>
        <v>268194</v>
      </c>
      <c r="C2913" s="2" t="s">
        <v>573</v>
      </c>
      <c r="D2913" s="2" t="str">
        <f t="shared" si="44"/>
        <v>Error?</v>
      </c>
    </row>
    <row r="2914" spans="1:4" x14ac:dyDescent="0.2">
      <c r="A2914" s="5">
        <v>2853</v>
      </c>
      <c r="B2914" s="138">
        <f>'Assets-Liab 5-6'!L33</f>
        <v>10255</v>
      </c>
      <c r="D2914" s="2" t="str">
        <f t="shared" si="44"/>
        <v>Error?</v>
      </c>
    </row>
    <row r="2915" spans="1:4" x14ac:dyDescent="0.2">
      <c r="A2915" s="10">
        <v>2854</v>
      </c>
      <c r="D2915" s="2" t="str">
        <f t="shared" si="44"/>
        <v>OK</v>
      </c>
    </row>
    <row r="2916" spans="1:4" x14ac:dyDescent="0.2">
      <c r="A2916" s="5">
        <v>2855</v>
      </c>
      <c r="B2916" s="138">
        <f>'Assets-Liab 5-6'!L34</f>
        <v>10255</v>
      </c>
      <c r="C2916" s="2" t="s">
        <v>573</v>
      </c>
      <c r="D2916" s="2" t="str">
        <f t="shared" si="44"/>
        <v>Error?</v>
      </c>
    </row>
    <row r="2917" spans="1:4" x14ac:dyDescent="0.2">
      <c r="A2917" s="5">
        <v>2856</v>
      </c>
      <c r="B2917" s="138">
        <f>'Assets-Liab 5-6'!L41</f>
        <v>10255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105554</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105554</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135002</v>
      </c>
      <c r="D3055" s="2" t="str">
        <f t="shared" si="46"/>
        <v>Error?</v>
      </c>
    </row>
    <row r="3056" spans="1:4" x14ac:dyDescent="0.2">
      <c r="A3056" s="5">
        <v>2995</v>
      </c>
      <c r="B3056" s="138">
        <f>'Expenditures 15-22'!D10</f>
        <v>40285</v>
      </c>
      <c r="D3056" s="2" t="str">
        <f t="shared" si="46"/>
        <v>Error?</v>
      </c>
    </row>
    <row r="3057" spans="1:4" x14ac:dyDescent="0.2">
      <c r="A3057" s="5">
        <v>2996</v>
      </c>
      <c r="B3057" s="138">
        <f>'Expenditures 15-22'!E10</f>
        <v>14301</v>
      </c>
      <c r="D3057" s="2" t="str">
        <f t="shared" si="46"/>
        <v>Error?</v>
      </c>
    </row>
    <row r="3058" spans="1:4" x14ac:dyDescent="0.2">
      <c r="A3058" s="5">
        <v>2997</v>
      </c>
      <c r="B3058" s="138">
        <f>'Expenditures 15-22'!F10</f>
        <v>68813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258401</v>
      </c>
      <c r="C3062" s="2" t="s">
        <v>573</v>
      </c>
      <c r="D3062" s="2" t="str">
        <f t="shared" si="46"/>
        <v>Error?</v>
      </c>
    </row>
    <row r="3063" spans="1:4" x14ac:dyDescent="0.2">
      <c r="A3063" s="10">
        <v>3002</v>
      </c>
      <c r="D3063" s="2" t="str">
        <f t="shared" si="46"/>
        <v>OK</v>
      </c>
    </row>
    <row r="3064" spans="1:4" x14ac:dyDescent="0.2">
      <c r="A3064" s="5">
        <v>3003</v>
      </c>
      <c r="B3064" s="138">
        <f>'Expenditures 15-22'!D219</f>
        <v>12938</v>
      </c>
      <c r="D3064" s="2" t="str">
        <f t="shared" si="46"/>
        <v>Error?</v>
      </c>
    </row>
    <row r="3065" spans="1:4" x14ac:dyDescent="0.2">
      <c r="A3065" s="5">
        <v>3004</v>
      </c>
      <c r="B3065" s="138">
        <f>'Expenditures 15-22'!K219</f>
        <v>12938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29657</v>
      </c>
      <c r="C3225" s="2" t="s">
        <v>573</v>
      </c>
      <c r="D3225" s="2" t="str">
        <f t="shared" si="49"/>
        <v>Error?</v>
      </c>
    </row>
    <row r="3226" spans="1:4" x14ac:dyDescent="0.2">
      <c r="A3226" s="5">
        <v>3165</v>
      </c>
      <c r="B3226" s="138">
        <f>'Acct Summary 7-8'!I8</f>
        <v>29657</v>
      </c>
      <c r="C3226" s="2" t="s">
        <v>573</v>
      </c>
      <c r="D3226" s="2" t="str">
        <f t="shared" si="49"/>
        <v>Error?</v>
      </c>
    </row>
    <row r="3227" spans="1:4" x14ac:dyDescent="0.2">
      <c r="A3227" s="5">
        <v>3166</v>
      </c>
      <c r="B3227" s="138">
        <f>'Acct Summary 7-8'!I20</f>
        <v>29657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-103283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-63440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44643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29657</v>
      </c>
      <c r="C3320" s="2" t="s">
        <v>573</v>
      </c>
      <c r="D3320" s="2" t="str">
        <f t="shared" si="50"/>
        <v>Error?</v>
      </c>
    </row>
    <row r="3321" spans="1:4" x14ac:dyDescent="0.2">
      <c r="A3321" s="5">
        <v>3260</v>
      </c>
      <c r="B3321" s="138">
        <f>'Acct Summary 7-8'!I79</f>
        <v>238537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268194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565517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125624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2122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4323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70417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769061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49284</v>
      </c>
      <c r="D3387" s="2" t="str">
        <f t="shared" si="51"/>
        <v>Error?</v>
      </c>
    </row>
    <row r="3388" spans="1:4" x14ac:dyDescent="0.2">
      <c r="A3388" s="5">
        <v>3327</v>
      </c>
      <c r="B3388" s="138">
        <f>'Expenditures 15-22'!D217</f>
        <v>56454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49284</v>
      </c>
      <c r="C3390" s="2" t="s">
        <v>573</v>
      </c>
      <c r="D3390" s="2" t="str">
        <f t="shared" si="51"/>
        <v>Error?</v>
      </c>
    </row>
    <row r="3391" spans="1:4" x14ac:dyDescent="0.2">
      <c r="A3391" s="5">
        <v>3330</v>
      </c>
      <c r="B3391" s="138">
        <f>'Expenditures 15-22'!K217</f>
        <v>56454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3505299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544575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41243</v>
      </c>
      <c r="D3417" s="2" t="str">
        <f t="shared" si="52"/>
        <v>Error?</v>
      </c>
    </row>
    <row r="3418" spans="1:4" x14ac:dyDescent="0.2">
      <c r="A3418" s="10">
        <v>3357</v>
      </c>
      <c r="D3418" s="2" t="str">
        <f t="shared" si="52"/>
        <v>OK</v>
      </c>
    </row>
    <row r="3419" spans="1:4" x14ac:dyDescent="0.2">
      <c r="A3419" s="5">
        <v>3358</v>
      </c>
      <c r="B3419" s="138">
        <f>'Assets-Liab 5-6'!F4</f>
        <v>158607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93506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268194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138521</v>
      </c>
      <c r="C3446" s="2" t="s">
        <v>573</v>
      </c>
      <c r="D3446" s="2" t="str">
        <f t="shared" si="52"/>
        <v>Error?</v>
      </c>
    </row>
    <row r="3447" spans="1:4" x14ac:dyDescent="0.2">
      <c r="A3447" s="5">
        <v>3386</v>
      </c>
      <c r="B3447" s="138">
        <f>'Tax Sched 23'!D16</f>
        <v>138521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155002</v>
      </c>
      <c r="C3449" s="2" t="s">
        <v>573</v>
      </c>
      <c r="D3449" s="2" t="str">
        <f t="shared" si="52"/>
        <v>Error?</v>
      </c>
    </row>
    <row r="3450" spans="1:4" x14ac:dyDescent="0.2">
      <c r="A3450" s="5">
        <v>3389</v>
      </c>
      <c r="B3450" s="138">
        <f>'Tax Sched 23'!E16</f>
        <v>155002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265769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265769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265769</v>
      </c>
      <c r="D3567" s="2" t="str">
        <f t="shared" si="54"/>
        <v>Error?</v>
      </c>
    </row>
    <row r="3568" spans="1:4" x14ac:dyDescent="0.2">
      <c r="A3568" s="5">
        <v>3507</v>
      </c>
      <c r="B3568" s="138">
        <f>'Assets-Liab 5-6'!K41</f>
        <v>265769</v>
      </c>
      <c r="C3568" s="2" t="s">
        <v>573</v>
      </c>
      <c r="D3568" s="2" t="str">
        <f t="shared" si="54"/>
        <v>Error?</v>
      </c>
    </row>
    <row r="3569" spans="1:4" x14ac:dyDescent="0.2">
      <c r="A3569" s="5">
        <v>3508</v>
      </c>
      <c r="B3569" s="138">
        <f>'Acct Summary 7-8'!K4</f>
        <v>29734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29734</v>
      </c>
      <c r="C3571" s="2" t="s">
        <v>573</v>
      </c>
      <c r="D3571" s="2" t="str">
        <f t="shared" si="54"/>
        <v>Error?</v>
      </c>
    </row>
    <row r="3572" spans="1:4" x14ac:dyDescent="0.2">
      <c r="A3572" s="5">
        <v>3511</v>
      </c>
      <c r="B3572" s="138">
        <f>'Acct Summary 7-8'!K13</f>
        <v>18356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18356</v>
      </c>
      <c r="C3575" s="2" t="s">
        <v>573</v>
      </c>
      <c r="D3575" s="2" t="str">
        <f t="shared" si="54"/>
        <v>Error?</v>
      </c>
    </row>
    <row r="3576" spans="1:4" x14ac:dyDescent="0.2">
      <c r="A3576" s="5">
        <v>3515</v>
      </c>
      <c r="B3576" s="138">
        <f>'Acct Summary 7-8'!K20</f>
        <v>11378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11378</v>
      </c>
      <c r="C3588" s="2" t="s">
        <v>573</v>
      </c>
      <c r="D3588" s="2" t="str">
        <f t="shared" si="55"/>
        <v>Error?</v>
      </c>
    </row>
    <row r="3589" spans="1:4" x14ac:dyDescent="0.2">
      <c r="A3589" s="5">
        <v>3528</v>
      </c>
      <c r="B3589" s="138">
        <f>'Acct Summary 7-8'!K79</f>
        <v>254391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265769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940</v>
      </c>
      <c r="D3632" s="2" t="str">
        <f t="shared" si="55"/>
        <v>Error?</v>
      </c>
    </row>
    <row r="3633" spans="1:4" x14ac:dyDescent="0.2">
      <c r="A3633" s="5">
        <v>3572</v>
      </c>
      <c r="B3633" s="138">
        <f>'Expenditures 15-22'!E350</f>
        <v>940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940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2964</v>
      </c>
      <c r="D3639" s="2" t="str">
        <f t="shared" si="55"/>
        <v>Error?</v>
      </c>
    </row>
    <row r="3640" spans="1:4" x14ac:dyDescent="0.2">
      <c r="A3640" s="5">
        <v>3579</v>
      </c>
      <c r="B3640" s="138">
        <f>'Expenditures 15-22'!F350</f>
        <v>2964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2964</v>
      </c>
      <c r="C3642" s="2" t="s">
        <v>573</v>
      </c>
      <c r="D3642" s="2" t="str">
        <f t="shared" si="55"/>
        <v>Error?</v>
      </c>
    </row>
    <row r="3643" spans="1:4" x14ac:dyDescent="0.2">
      <c r="A3643" s="5">
        <v>3582</v>
      </c>
      <c r="B3643" s="138">
        <f>'Expenditures 15-22'!F367</f>
        <v>2964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14452</v>
      </c>
      <c r="D3646" s="2" t="str">
        <f t="shared" si="55"/>
        <v>Error?</v>
      </c>
    </row>
    <row r="3647" spans="1:4" x14ac:dyDescent="0.2">
      <c r="A3647" s="5">
        <v>3586</v>
      </c>
      <c r="B3647" s="138">
        <f>'Expenditures 15-22'!G350</f>
        <v>14452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14452</v>
      </c>
      <c r="C3649" s="2" t="s">
        <v>573</v>
      </c>
      <c r="D3649" s="2" t="str">
        <f t="shared" si="56"/>
        <v>Error?</v>
      </c>
    </row>
    <row r="3650" spans="1:4" x14ac:dyDescent="0.2">
      <c r="A3650" s="5">
        <v>3589</v>
      </c>
      <c r="B3650" s="138">
        <f>'Expenditures 15-22'!G367</f>
        <v>14452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18356</v>
      </c>
      <c r="C3669" s="2" t="s">
        <v>573</v>
      </c>
      <c r="D3669" s="2" t="str">
        <f t="shared" si="56"/>
        <v>Error?</v>
      </c>
    </row>
    <row r="3670" spans="1:4" x14ac:dyDescent="0.2">
      <c r="A3670" s="5">
        <v>3609</v>
      </c>
      <c r="B3670" s="138">
        <f>'Expenditures 15-22'!K350</f>
        <v>18356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18356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18356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11378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28709</v>
      </c>
      <c r="C3725" s="2" t="s">
        <v>573</v>
      </c>
      <c r="D3725" s="2" t="str">
        <f t="shared" si="57"/>
        <v>Error?</v>
      </c>
    </row>
    <row r="3726" spans="1:4" x14ac:dyDescent="0.2">
      <c r="A3726" s="5">
        <v>3665</v>
      </c>
      <c r="B3726" s="138">
        <f>'Tax Sched 23'!D13</f>
        <v>28709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29678</v>
      </c>
      <c r="C3728" s="2" t="s">
        <v>573</v>
      </c>
      <c r="D3728" s="2" t="str">
        <f t="shared" si="57"/>
        <v>Error?</v>
      </c>
    </row>
    <row r="3729" spans="1:4" x14ac:dyDescent="0.2">
      <c r="A3729" s="5">
        <v>3668</v>
      </c>
      <c r="B3729" s="138">
        <f>'Tax Sched 23'!E13</f>
        <v>29678</v>
      </c>
      <c r="D3729" s="2" t="str">
        <f t="shared" si="57"/>
        <v>Error?</v>
      </c>
    </row>
    <row r="3730" spans="1:4" x14ac:dyDescent="0.2">
      <c r="A3730" s="5">
        <v>3669</v>
      </c>
      <c r="B3730" s="138">
        <f>'ICR Computation 30'!E10</f>
        <v>2943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339990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5537313</v>
      </c>
      <c r="C4122" s="2" t="s">
        <v>573</v>
      </c>
      <c r="D4122" s="2" t="str">
        <f t="shared" si="63"/>
        <v>Error?</v>
      </c>
    </row>
    <row r="4123" spans="1:4" x14ac:dyDescent="0.2">
      <c r="A4123" s="5">
        <v>4062</v>
      </c>
      <c r="B4123" s="138">
        <f>'Acct Summary 7-8'!D10</f>
        <v>208256</v>
      </c>
      <c r="C4123" s="2" t="s">
        <v>573</v>
      </c>
      <c r="D4123" s="2" t="str">
        <f t="shared" si="63"/>
        <v>Error?</v>
      </c>
    </row>
    <row r="4124" spans="1:4" x14ac:dyDescent="0.2">
      <c r="A4124" s="5">
        <v>4063</v>
      </c>
      <c r="B4124" s="138">
        <f>'Acct Summary 7-8'!E10</f>
        <v>336608</v>
      </c>
      <c r="C4124" s="2" t="s">
        <v>573</v>
      </c>
      <c r="D4124" s="2" t="str">
        <f t="shared" si="63"/>
        <v>Error?</v>
      </c>
    </row>
    <row r="4125" spans="1:4" x14ac:dyDescent="0.2">
      <c r="A4125" s="5">
        <v>4064</v>
      </c>
      <c r="B4125" s="138">
        <f>'Acct Summary 7-8'!F10</f>
        <v>268367</v>
      </c>
      <c r="C4125" s="2" t="s">
        <v>573</v>
      </c>
      <c r="D4125" s="2" t="str">
        <f t="shared" si="63"/>
        <v>Error?</v>
      </c>
    </row>
    <row r="4126" spans="1:4" x14ac:dyDescent="0.2">
      <c r="A4126" s="5">
        <v>4065</v>
      </c>
      <c r="B4126" s="138">
        <f>'Acct Summary 7-8'!G10</f>
        <v>276652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29657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29734</v>
      </c>
      <c r="C4130" s="2" t="s">
        <v>573</v>
      </c>
      <c r="D4130" s="2" t="str">
        <f t="shared" si="63"/>
        <v>Error?</v>
      </c>
    </row>
    <row r="4131" spans="1:4" x14ac:dyDescent="0.2">
      <c r="A4131" s="5">
        <v>4070</v>
      </c>
      <c r="B4131" s="138">
        <f>'Acct Summary 7-8'!C18</f>
        <v>339990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5640596</v>
      </c>
      <c r="C4136" s="2" t="s">
        <v>573</v>
      </c>
      <c r="D4136" s="2" t="str">
        <f t="shared" si="63"/>
        <v>Error?</v>
      </c>
    </row>
    <row r="4137" spans="1:4" x14ac:dyDescent="0.2">
      <c r="A4137" s="5">
        <v>4076</v>
      </c>
      <c r="B4137" s="138">
        <f>'Acct Summary 7-8'!D19</f>
        <v>271696</v>
      </c>
      <c r="C4137" s="2" t="s">
        <v>573</v>
      </c>
      <c r="D4137" s="2" t="str">
        <f t="shared" si="63"/>
        <v>Error?</v>
      </c>
    </row>
    <row r="4138" spans="1:4" x14ac:dyDescent="0.2">
      <c r="A4138" s="5">
        <v>4077</v>
      </c>
      <c r="B4138" s="138">
        <f>'Acct Summary 7-8'!E19</f>
        <v>335363</v>
      </c>
      <c r="C4138" s="2" t="s">
        <v>573</v>
      </c>
      <c r="D4138" s="2" t="str">
        <f t="shared" si="63"/>
        <v>Error?</v>
      </c>
    </row>
    <row r="4139" spans="1:4" x14ac:dyDescent="0.2">
      <c r="A4139" s="5">
        <v>4078</v>
      </c>
      <c r="B4139" s="138">
        <f>'Acct Summary 7-8'!F19</f>
        <v>267515</v>
      </c>
      <c r="C4139" s="2" t="s">
        <v>573</v>
      </c>
      <c r="D4139" s="2" t="str">
        <f t="shared" si="63"/>
        <v>Error?</v>
      </c>
    </row>
    <row r="4140" spans="1:4" x14ac:dyDescent="0.2">
      <c r="A4140" s="5">
        <v>4079</v>
      </c>
      <c r="B4140" s="138">
        <f>'Acct Summary 7-8'!G19</f>
        <v>232009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18356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2502600</v>
      </c>
      <c r="C4171" s="2" t="s">
        <v>573</v>
      </c>
      <c r="D4171" s="2" t="str">
        <f t="shared" si="64"/>
        <v>Error?</v>
      </c>
    </row>
    <row r="4172" spans="1:4" x14ac:dyDescent="0.2">
      <c r="A4172" s="5">
        <v>4111</v>
      </c>
      <c r="B4172" s="138">
        <f>'Short-Term Long-Term Debt 24'!J49</f>
        <v>2461357</v>
      </c>
      <c r="C4172" s="2" t="s">
        <v>573</v>
      </c>
      <c r="D4172" s="2" t="str">
        <f t="shared" si="64"/>
        <v>Error?</v>
      </c>
    </row>
    <row r="4173" spans="1:4" x14ac:dyDescent="0.2">
      <c r="A4173" s="5">
        <v>4112</v>
      </c>
      <c r="B4173" s="138">
        <f>'Short-Term Long-Term Debt 24'!H49</f>
        <v>252006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39756</v>
      </c>
      <c r="D4210" s="2" t="str">
        <f t="shared" si="64"/>
        <v>Error?</v>
      </c>
    </row>
    <row r="4211" spans="1:4" x14ac:dyDescent="0.2">
      <c r="A4211" s="5">
        <v>4150</v>
      </c>
      <c r="B4211" s="138">
        <f>'Expenditures 15-22'!K206</f>
        <v>39756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623</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4551202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4166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72623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19887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19887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27200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44587</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44587</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59355923</v>
      </c>
      <c r="D4995" s="2" t="str">
        <f t="shared" si="77"/>
        <v>Error?</v>
      </c>
    </row>
    <row r="4996" spans="1:4" x14ac:dyDescent="0.2">
      <c r="A4996" s="12">
        <v>4935</v>
      </c>
      <c r="B4996" s="138">
        <f>'FP Info 3'!H31</f>
        <v>4095558.6870000004</v>
      </c>
      <c r="D4996" s="2" t="str">
        <f t="shared" si="77"/>
        <v>Error?</v>
      </c>
    </row>
    <row r="4997" spans="1:4" x14ac:dyDescent="0.2">
      <c r="A4997" s="12">
        <v>4936</v>
      </c>
      <c r="B4997" s="138">
        <f>'FP Info 3'!H37</f>
        <v>2502600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28709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528243</v>
      </c>
      <c r="D5061" s="2" t="str">
        <f t="shared" si="78"/>
        <v>Error?</v>
      </c>
    </row>
    <row r="5062" spans="1:4" x14ac:dyDescent="0.2">
      <c r="A5062" s="10">
        <v>5001</v>
      </c>
      <c r="D5062" s="2" t="str">
        <f t="shared" si="78"/>
        <v>OK</v>
      </c>
    </row>
    <row r="5063" spans="1:4" x14ac:dyDescent="0.2">
      <c r="A5063" s="5">
        <v>5002</v>
      </c>
      <c r="B5063" s="138">
        <f>'Revenues 9-14'!C7</f>
        <v>11484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568436</v>
      </c>
      <c r="C5066" s="2" t="s">
        <v>573</v>
      </c>
      <c r="D5066" s="2" t="str">
        <f t="shared" si="78"/>
        <v>Error?</v>
      </c>
    </row>
    <row r="5067" spans="1:4" x14ac:dyDescent="0.2">
      <c r="A5067" s="5">
        <v>5006</v>
      </c>
      <c r="B5067" s="138">
        <f>'Revenues 9-14'!C14</f>
        <v>2989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68055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71044</v>
      </c>
      <c r="C5071" s="2" t="s">
        <v>573</v>
      </c>
      <c r="D5071" s="2" t="str">
        <f t="shared" si="78"/>
        <v>Error?</v>
      </c>
    </row>
    <row r="5072" spans="1:4" x14ac:dyDescent="0.2">
      <c r="A5072" s="5">
        <v>5011</v>
      </c>
      <c r="B5072" s="138">
        <f>'Revenues 9-14'!C20</f>
        <v>8249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49967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58216</v>
      </c>
      <c r="C5087" s="2" t="s">
        <v>573</v>
      </c>
      <c r="D5087" s="2" t="str">
        <f t="shared" si="78"/>
        <v>Error?</v>
      </c>
    </row>
    <row r="5088" spans="1:4" x14ac:dyDescent="0.2">
      <c r="A5088" s="5">
        <v>5027</v>
      </c>
      <c r="B5088" s="138">
        <f>'Revenues 9-14'!C65</f>
        <v>3862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3862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5917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642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53990</v>
      </c>
      <c r="C5096" s="2" t="s">
        <v>573</v>
      </c>
      <c r="D5096" s="2" t="str">
        <f t="shared" si="78"/>
        <v>Error?</v>
      </c>
    </row>
    <row r="5097" spans="1:4" x14ac:dyDescent="0.2">
      <c r="A5097" s="5">
        <v>5036</v>
      </c>
      <c r="B5097" s="138">
        <f>'Revenues 9-14'!C77</f>
        <v>7657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9459</v>
      </c>
      <c r="C5102" s="2" t="s">
        <v>573</v>
      </c>
      <c r="D5102" s="2" t="str">
        <f t="shared" si="78"/>
        <v>Error?</v>
      </c>
    </row>
    <row r="5103" spans="1:4" x14ac:dyDescent="0.2">
      <c r="A5103" s="5">
        <v>5042</v>
      </c>
      <c r="B5103" s="138">
        <f>'Revenues 9-14'!C84</f>
        <v>9860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3540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13400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9928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405</v>
      </c>
      <c r="D5119" s="2" t="str">
        <f t="shared" ref="D5119:D5182" si="79">IF(ISBLANK(B5119),"OK",IF(A5119-B5119=0,"OK","Error?"))</f>
        <v>Error?</v>
      </c>
    </row>
    <row r="5120" spans="1:4" x14ac:dyDescent="0.2">
      <c r="A5120" s="5">
        <v>5059</v>
      </c>
      <c r="B5120" s="138">
        <f>'Revenues 9-14'!C108</f>
        <v>11393</v>
      </c>
      <c r="C5120" s="2" t="s">
        <v>573</v>
      </c>
      <c r="D5120" s="2" t="str">
        <f t="shared" si="79"/>
        <v>Error?</v>
      </c>
    </row>
    <row r="5121" spans="1:4" x14ac:dyDescent="0.2">
      <c r="A5121" s="5">
        <v>5060</v>
      </c>
      <c r="B5121" s="138">
        <f>'Revenues 9-14'!C109</f>
        <v>789800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3347819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3347819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25236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25236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623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3622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386023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416254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3764073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174855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57144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231999</v>
      </c>
      <c r="C5246" s="2" t="s">
        <v>573</v>
      </c>
      <c r="D5246" s="2" t="str">
        <f t="shared" si="80"/>
        <v>Error?</v>
      </c>
    </row>
    <row r="5247" spans="1:4" x14ac:dyDescent="0.2">
      <c r="A5247" s="5">
        <v>5186</v>
      </c>
      <c r="B5247" s="138">
        <f>'Revenues 9-14'!C200</f>
        <v>279156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279156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8419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8419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643450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643450</v>
      </c>
      <c r="C5326" s="2" t="s">
        <v>573</v>
      </c>
      <c r="D5326" s="2" t="str">
        <f t="shared" si="82"/>
        <v>Error?</v>
      </c>
    </row>
    <row r="5327" spans="1:5" x14ac:dyDescent="0.2">
      <c r="A5327" s="5">
        <v>5266</v>
      </c>
      <c r="B5327" s="138">
        <f>'Revenues 9-14'!C268</f>
        <v>5197323</v>
      </c>
      <c r="C5327" s="2" t="s">
        <v>573</v>
      </c>
      <c r="D5327" s="2" t="str">
        <f t="shared" si="82"/>
        <v>Error?</v>
      </c>
    </row>
    <row r="5328" spans="1:5" x14ac:dyDescent="0.2">
      <c r="A5328" s="5">
        <v>5267</v>
      </c>
      <c r="B5328" s="138">
        <f>'Revenues 9-14'!D5</f>
        <v>143544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143544</v>
      </c>
      <c r="C5334" s="2" t="s">
        <v>573</v>
      </c>
      <c r="D5334" s="2" t="str">
        <f t="shared" si="82"/>
        <v>Error?</v>
      </c>
    </row>
    <row r="5335" spans="1:4" x14ac:dyDescent="0.2">
      <c r="A5335" s="5">
        <v>5274</v>
      </c>
      <c r="B5335" s="138">
        <f>'Revenues 9-14'!D14</f>
        <v>755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755</v>
      </c>
      <c r="C5339" s="2" t="s">
        <v>573</v>
      </c>
      <c r="D5339" s="2" t="str">
        <f t="shared" si="82"/>
        <v>Error?</v>
      </c>
    </row>
    <row r="5340" spans="1:4" x14ac:dyDescent="0.2">
      <c r="A5340" s="5">
        <v>5279</v>
      </c>
      <c r="B5340" s="138">
        <f>'Revenues 9-14'!D65</f>
        <v>1987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870</v>
      </c>
      <c r="D5349" s="2" t="str">
        <f t="shared" si="82"/>
        <v>Error?</v>
      </c>
    </row>
    <row r="5350" spans="1:4" x14ac:dyDescent="0.2">
      <c r="A5350" s="5">
        <v>5289</v>
      </c>
      <c r="B5350" s="138">
        <f>'Revenues 9-14'!D96</f>
        <v>1080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v>
      </c>
      <c r="D5354" s="2" t="str">
        <f t="shared" si="82"/>
        <v>Error?</v>
      </c>
    </row>
    <row r="5355" spans="1:4" x14ac:dyDescent="0.2">
      <c r="A5355" s="5">
        <v>5294</v>
      </c>
      <c r="B5355" s="138">
        <f>'Revenues 9-14'!D108</f>
        <v>1970</v>
      </c>
      <c r="C5355" s="2" t="s">
        <v>573</v>
      </c>
      <c r="D5355" s="2" t="str">
        <f t="shared" si="82"/>
        <v>Error?</v>
      </c>
    </row>
    <row r="5356" spans="1:4" x14ac:dyDescent="0.2">
      <c r="A5356" s="5">
        <v>5295</v>
      </c>
      <c r="B5356" s="138">
        <f>'Revenues 9-14'!D109</f>
        <v>148256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60000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208256</v>
      </c>
      <c r="C5508" s="2" t="s">
        <v>573</v>
      </c>
      <c r="D5508" s="2" t="str">
        <f t="shared" si="85"/>
        <v>Error?</v>
      </c>
    </row>
    <row r="5509" spans="1:4" x14ac:dyDescent="0.2">
      <c r="A5509" s="5">
        <v>5448</v>
      </c>
      <c r="B5509" s="138">
        <f>'Revenues 9-14'!E5</f>
        <v>290078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290078</v>
      </c>
      <c r="C5513" s="2" t="s">
        <v>573</v>
      </c>
      <c r="D5513" s="2" t="str">
        <f t="shared" si="85"/>
        <v>Error?</v>
      </c>
    </row>
    <row r="5514" spans="1:4" x14ac:dyDescent="0.2">
      <c r="A5514" s="5">
        <v>5453</v>
      </c>
      <c r="B5514" s="138">
        <f>'Revenues 9-14'!E14</f>
        <v>1525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1525</v>
      </c>
      <c r="C5518" s="2" t="s">
        <v>573</v>
      </c>
      <c r="D5518" s="2" t="str">
        <f t="shared" si="85"/>
        <v>Error?</v>
      </c>
    </row>
    <row r="5519" spans="1:4" x14ac:dyDescent="0.2">
      <c r="A5519" s="5">
        <v>5458</v>
      </c>
      <c r="B5519" s="138">
        <f>'Revenues 9-14'!E65</f>
        <v>418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292021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336608</v>
      </c>
      <c r="C5552" s="2" t="s">
        <v>573</v>
      </c>
      <c r="D5552" s="2" t="str">
        <f t="shared" si="85"/>
        <v>Error?</v>
      </c>
    </row>
    <row r="5553" spans="1:4" x14ac:dyDescent="0.2">
      <c r="A5553" s="5">
        <v>5492</v>
      </c>
      <c r="B5553" s="138">
        <f>'Revenues 9-14'!F5</f>
        <v>68901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68901</v>
      </c>
      <c r="C5557" s="2" t="s">
        <v>573</v>
      </c>
      <c r="D5557" s="2" t="str">
        <f t="shared" si="85"/>
        <v>Error?</v>
      </c>
    </row>
    <row r="5558" spans="1:4" x14ac:dyDescent="0.2">
      <c r="A5558" s="5">
        <v>5497</v>
      </c>
      <c r="B5558" s="138">
        <f>'Revenues 9-14'!F14</f>
        <v>362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362</v>
      </c>
      <c r="C5562" s="2" t="s">
        <v>573</v>
      </c>
      <c r="D5562" s="2" t="str">
        <f t="shared" si="85"/>
        <v>Error?</v>
      </c>
    </row>
    <row r="5563" spans="1:4" x14ac:dyDescent="0.2">
      <c r="A5563" s="5">
        <v>5502</v>
      </c>
      <c r="B5563" s="138">
        <f>'Revenues 9-14'!F42</f>
        <v>1000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1990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2990</v>
      </c>
      <c r="C5579" s="2" t="s">
        <v>573</v>
      </c>
      <c r="D5579" s="2" t="str">
        <f t="shared" si="86"/>
        <v>Error?</v>
      </c>
    </row>
    <row r="5580" spans="1:4" x14ac:dyDescent="0.2">
      <c r="A5580" s="5">
        <v>5519</v>
      </c>
      <c r="B5580" s="138">
        <f>'Revenues 9-14'!F65</f>
        <v>417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v>
      </c>
      <c r="D5586" s="2" t="str">
        <f t="shared" si="86"/>
        <v>Error?</v>
      </c>
    </row>
    <row r="5587" spans="1:4" x14ac:dyDescent="0.2">
      <c r="A5587" s="5">
        <v>5526</v>
      </c>
      <c r="B5587" s="138">
        <f>'Revenues 9-14'!F108</f>
        <v>200</v>
      </c>
      <c r="C5587" s="2" t="s">
        <v>573</v>
      </c>
      <c r="D5587" s="2" t="str">
        <f t="shared" si="86"/>
        <v>Error?</v>
      </c>
    </row>
    <row r="5588" spans="1:4" x14ac:dyDescent="0.2">
      <c r="A5588" s="5">
        <v>5527</v>
      </c>
      <c r="B5588" s="138">
        <f>'Revenues 9-14'!F109</f>
        <v>72870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60119</v>
      </c>
      <c r="D5615" s="2" t="str">
        <f t="shared" si="86"/>
        <v>Error?</v>
      </c>
    </row>
    <row r="5616" spans="1:4" x14ac:dyDescent="0.2">
      <c r="A5616" s="10">
        <v>5555</v>
      </c>
      <c r="D5616" s="2" t="str">
        <f t="shared" si="86"/>
        <v>OK</v>
      </c>
    </row>
    <row r="5617" spans="1:5" x14ac:dyDescent="0.2">
      <c r="A5617" s="5">
        <v>5556</v>
      </c>
      <c r="B5617" s="138">
        <f>'Revenues 9-14'!F153</f>
        <v>77548</v>
      </c>
      <c r="D5617" s="2" t="str">
        <f t="shared" si="86"/>
        <v>Error?</v>
      </c>
    </row>
    <row r="5618" spans="1:5" x14ac:dyDescent="0.2">
      <c r="A5618" s="5">
        <v>5557</v>
      </c>
      <c r="B5618" s="138">
        <f>'Revenues 9-14'!F155</f>
        <v>137667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7830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145497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195497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268367</v>
      </c>
      <c r="C5720" s="2" t="s">
        <v>573</v>
      </c>
      <c r="D5720" s="2" t="str">
        <f t="shared" si="88"/>
        <v>Error?</v>
      </c>
    </row>
    <row r="5721" spans="1:4" x14ac:dyDescent="0.2">
      <c r="A5721" s="5">
        <v>5660</v>
      </c>
      <c r="B5721" s="138">
        <f>'Revenues 9-14'!G5</f>
        <v>133632</v>
      </c>
      <c r="D5721" s="2" t="str">
        <f t="shared" si="88"/>
        <v>Error?</v>
      </c>
    </row>
    <row r="5722" spans="1:4" x14ac:dyDescent="0.2">
      <c r="A5722" s="5">
        <v>5661</v>
      </c>
      <c r="B5722" s="138">
        <f>'Revenues 9-14'!G7</f>
        <v>0</v>
      </c>
      <c r="D5722" s="2" t="str">
        <f t="shared" si="88"/>
        <v>Error?</v>
      </c>
    </row>
    <row r="5723" spans="1:4" x14ac:dyDescent="0.2">
      <c r="A5723" s="5">
        <v>5662</v>
      </c>
      <c r="B5723" s="138">
        <f>'Revenues 9-14'!G8</f>
        <v>138521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272153</v>
      </c>
      <c r="C5725" s="2" t="s">
        <v>573</v>
      </c>
      <c r="D5725" s="2" t="str">
        <f t="shared" si="88"/>
        <v>Error?</v>
      </c>
    </row>
    <row r="5726" spans="1:4" x14ac:dyDescent="0.2">
      <c r="A5726" s="5">
        <v>5665</v>
      </c>
      <c r="B5726" s="138">
        <f>'Revenues 9-14'!G14</f>
        <v>1430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2573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4003</v>
      </c>
      <c r="C5730" s="2" t="s">
        <v>573</v>
      </c>
      <c r="D5730" s="2" t="str">
        <f t="shared" si="88"/>
        <v>Error?</v>
      </c>
    </row>
    <row r="5731" spans="1:4" x14ac:dyDescent="0.2">
      <c r="A5731" s="5">
        <v>5670</v>
      </c>
      <c r="B5731" s="138">
        <f>'Revenues 9-14'!G65</f>
        <v>496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276652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28709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28709</v>
      </c>
      <c r="C5918" s="2" t="s">
        <v>573</v>
      </c>
      <c r="D5918" s="2" t="str">
        <f t="shared" si="91"/>
        <v>Error?</v>
      </c>
    </row>
    <row r="5919" spans="1:4" x14ac:dyDescent="0.2">
      <c r="A5919" s="5">
        <v>5858</v>
      </c>
      <c r="B5919" s="138">
        <f>'Revenues 9-14'!I14</f>
        <v>151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151</v>
      </c>
      <c r="C5923" s="2" t="s">
        <v>573</v>
      </c>
      <c r="D5923" s="2" t="str">
        <f t="shared" si="91"/>
        <v>Error?</v>
      </c>
    </row>
    <row r="5924" spans="1:4" x14ac:dyDescent="0.2">
      <c r="A5924" s="5">
        <v>5863</v>
      </c>
      <c r="B5924" s="138">
        <f>'Revenues 9-14'!I65</f>
        <v>797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29657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28709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28709</v>
      </c>
      <c r="C5987" s="2" t="s">
        <v>573</v>
      </c>
      <c r="D5987" s="2" t="str">
        <f t="shared" si="92"/>
        <v>Error?</v>
      </c>
    </row>
    <row r="5988" spans="1:4" x14ac:dyDescent="0.2">
      <c r="A5988" s="5">
        <v>5927</v>
      </c>
      <c r="B5988" s="138">
        <f>'Revenues 9-14'!K14</f>
        <v>151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151</v>
      </c>
      <c r="C5992" s="2" t="s">
        <v>573</v>
      </c>
      <c r="D5992" s="2" t="str">
        <f t="shared" si="92"/>
        <v>Error?</v>
      </c>
    </row>
    <row r="5993" spans="1:4" x14ac:dyDescent="0.2">
      <c r="A5993" s="5">
        <v>5932</v>
      </c>
      <c r="B5993" s="138">
        <f>'Revenues 9-14'!K65</f>
        <v>874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874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29734</v>
      </c>
      <c r="C6023" s="2" t="s">
        <v>573</v>
      </c>
      <c r="D6023" s="2" t="str">
        <f t="shared" si="93"/>
        <v>Error?</v>
      </c>
    </row>
    <row r="6024" spans="1:5" x14ac:dyDescent="0.2">
      <c r="A6024" s="5">
        <v>5963</v>
      </c>
      <c r="B6024" s="138">
        <f>'Revenues 9-14'!G109</f>
        <v>276652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29657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29734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47431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25765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7277</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318072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318072</v>
      </c>
      <c r="D6215" s="2" t="str">
        <f t="shared" si="96"/>
        <v>Error?</v>
      </c>
      <c r="E6215" s="2" t="s">
        <v>190</v>
      </c>
    </row>
    <row r="6216" spans="1:5" x14ac:dyDescent="0.2">
      <c r="A6216">
        <v>6155</v>
      </c>
      <c r="B6216" s="138">
        <f>'Assets-Liab 5-6'!J41</f>
        <v>318072</v>
      </c>
      <c r="D6216" s="2" t="str">
        <f t="shared" si="96"/>
        <v>Error?</v>
      </c>
      <c r="E6216" s="2" t="s">
        <v>190</v>
      </c>
    </row>
    <row r="6217" spans="1:5" x14ac:dyDescent="0.2">
      <c r="A6217">
        <v>6156</v>
      </c>
      <c r="B6217" s="138">
        <f>'Assets-Liab 5-6'!J4</f>
        <v>318072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279397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279397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279397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201336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201336</v>
      </c>
      <c r="D6229" s="2" t="str">
        <f t="shared" si="96"/>
        <v>Error?</v>
      </c>
      <c r="E6229" s="2" t="s">
        <v>190</v>
      </c>
    </row>
    <row r="6230" spans="1:5" x14ac:dyDescent="0.2">
      <c r="A6230">
        <v>6169</v>
      </c>
      <c r="B6230" s="138">
        <f>'Acct Summary 7-8'!J20</f>
        <v>78061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78061</v>
      </c>
      <c r="D6263" s="2" t="str">
        <f t="shared" si="96"/>
        <v>Error?</v>
      </c>
      <c r="E6263" s="2" t="s">
        <v>190</v>
      </c>
    </row>
    <row r="6264" spans="1:5" x14ac:dyDescent="0.2">
      <c r="A6264">
        <v>6203</v>
      </c>
      <c r="B6264" s="138">
        <f>'Acct Summary 7-8'!J79</f>
        <v>240011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318072</v>
      </c>
      <c r="D6266" s="2" t="str">
        <f t="shared" si="96"/>
        <v>Error?</v>
      </c>
      <c r="E6266" s="2" t="s">
        <v>190</v>
      </c>
    </row>
    <row r="6267" spans="1:5" x14ac:dyDescent="0.2">
      <c r="A6267">
        <v>6206</v>
      </c>
      <c r="B6267" s="138">
        <f>'Acct Summary 7-8'!C82</f>
        <v>-103283</v>
      </c>
      <c r="D6267" s="2" t="str">
        <f t="shared" si="96"/>
        <v>Error?</v>
      </c>
      <c r="E6267" s="2" t="s">
        <v>190</v>
      </c>
    </row>
    <row r="6268" spans="1:5" x14ac:dyDescent="0.2">
      <c r="A6268">
        <v>6207</v>
      </c>
      <c r="B6268" s="138">
        <f>'Acct Summary 7-8'!D82</f>
        <v>-63440</v>
      </c>
      <c r="D6268" s="2" t="str">
        <f t="shared" si="96"/>
        <v>Error?</v>
      </c>
      <c r="E6268" s="2" t="s">
        <v>190</v>
      </c>
    </row>
    <row r="6269" spans="1:5" x14ac:dyDescent="0.2">
      <c r="A6269">
        <v>6208</v>
      </c>
      <c r="B6269" s="138">
        <f>'Acct Summary 7-8'!E82</f>
        <v>1245</v>
      </c>
      <c r="D6269" s="2" t="str">
        <f t="shared" si="96"/>
        <v>Error?</v>
      </c>
      <c r="E6269" s="2" t="s">
        <v>190</v>
      </c>
    </row>
    <row r="6270" spans="1:5" x14ac:dyDescent="0.2">
      <c r="A6270">
        <v>6209</v>
      </c>
      <c r="B6270" s="138">
        <f>'Acct Summary 7-8'!F82</f>
        <v>852</v>
      </c>
      <c r="D6270" s="2" t="str">
        <f t="shared" si="96"/>
        <v>Error?</v>
      </c>
      <c r="E6270" s="2" t="s">
        <v>190</v>
      </c>
    </row>
    <row r="6271" spans="1:5" x14ac:dyDescent="0.2">
      <c r="A6271">
        <v>6210</v>
      </c>
      <c r="B6271" s="138">
        <f>'Acct Summary 7-8'!G82</f>
        <v>44643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29657</v>
      </c>
      <c r="D6273" s="2" t="str">
        <f t="shared" si="97"/>
        <v>Error?</v>
      </c>
      <c r="E6273" s="2" t="s">
        <v>190</v>
      </c>
    </row>
    <row r="6274" spans="1:5" x14ac:dyDescent="0.2">
      <c r="A6274">
        <v>6213</v>
      </c>
      <c r="B6274" s="138">
        <f>'Acct Summary 7-8'!J82</f>
        <v>78061</v>
      </c>
      <c r="D6274" s="2" t="str">
        <f t="shared" si="97"/>
        <v>Error?</v>
      </c>
      <c r="E6274" s="2" t="s">
        <v>190</v>
      </c>
    </row>
    <row r="6275" spans="1:5" x14ac:dyDescent="0.2">
      <c r="A6275">
        <v>6214</v>
      </c>
      <c r="B6275" s="138">
        <f>'Acct Summary 7-8'!K82</f>
        <v>11378</v>
      </c>
      <c r="D6275" s="2" t="str">
        <f t="shared" si="97"/>
        <v>Error?</v>
      </c>
      <c r="E6275" s="2" t="s">
        <v>190</v>
      </c>
    </row>
    <row r="6276" spans="1:5" x14ac:dyDescent="0.2">
      <c r="A6276">
        <v>6215</v>
      </c>
      <c r="B6276" s="138">
        <f>'Acct Summary 7-8'!C83</f>
        <v>-2.8851402274859168E-2</v>
      </c>
      <c r="D6276" s="2" t="str">
        <f t="shared" si="97"/>
        <v>Error?</v>
      </c>
      <c r="E6276" s="2" t="s">
        <v>190</v>
      </c>
    </row>
    <row r="6277" spans="1:5" x14ac:dyDescent="0.2">
      <c r="A6277">
        <v>6216</v>
      </c>
      <c r="B6277" s="138">
        <f>'Acct Summary 7-8'!D83</f>
        <v>-0.11649451407060551</v>
      </c>
      <c r="D6277" s="2" t="str">
        <f t="shared" si="97"/>
        <v>Error?</v>
      </c>
      <c r="E6277" s="2" t="s">
        <v>190</v>
      </c>
    </row>
    <row r="6278" spans="1:5" x14ac:dyDescent="0.2">
      <c r="A6278">
        <v>6217</v>
      </c>
      <c r="B6278" s="138">
        <f>'Acct Summary 7-8'!E83</f>
        <v>3.0186940814198773E-2</v>
      </c>
      <c r="D6278" s="2" t="str">
        <f t="shared" si="97"/>
        <v>Error?</v>
      </c>
      <c r="E6278" s="2" t="s">
        <v>190</v>
      </c>
    </row>
    <row r="6279" spans="1:5" x14ac:dyDescent="0.2">
      <c r="A6279">
        <v>6218</v>
      </c>
      <c r="B6279" s="138">
        <f>'Acct Summary 7-8'!F83</f>
        <v>5.3717679547560949E-3</v>
      </c>
      <c r="D6279" s="2" t="str">
        <f t="shared" si="97"/>
        <v>Error?</v>
      </c>
      <c r="E6279" s="2" t="s">
        <v>190</v>
      </c>
    </row>
    <row r="6280" spans="1:5" x14ac:dyDescent="0.2">
      <c r="A6280">
        <v>6219</v>
      </c>
      <c r="B6280" s="138">
        <f>'Acct Summary 7-8'!G83</f>
        <v>0.47743460312707203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0.11058040075467758</v>
      </c>
      <c r="D6282" s="2" t="str">
        <f t="shared" si="97"/>
        <v>Error?</v>
      </c>
      <c r="E6282" s="2" t="s">
        <v>190</v>
      </c>
    </row>
    <row r="6283" spans="1:5" x14ac:dyDescent="0.2">
      <c r="A6283">
        <v>6222</v>
      </c>
      <c r="B6283" s="138">
        <f>'Acct Summary 7-8'!J83</f>
        <v>0.24541927613873588</v>
      </c>
      <c r="D6283" s="2" t="str">
        <f t="shared" si="97"/>
        <v>Error?</v>
      </c>
      <c r="E6283" s="2" t="s">
        <v>190</v>
      </c>
    </row>
    <row r="6284" spans="1:5" x14ac:dyDescent="0.2">
      <c r="A6284">
        <v>6223</v>
      </c>
      <c r="B6284" s="138">
        <f>'Acct Summary 7-8'!K83</f>
        <v>4.2811614597639304E-2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278070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278070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108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108</v>
      </c>
      <c r="D6351" s="2" t="str">
        <f t="shared" si="98"/>
        <v>Error?</v>
      </c>
      <c r="E6351" s="2" t="s">
        <v>190</v>
      </c>
    </row>
    <row r="6352" spans="1:5" x14ac:dyDescent="0.2">
      <c r="A6352">
        <v>6291</v>
      </c>
      <c r="B6352" s="138">
        <f>'Revenues 9-14'!J109</f>
        <v>279397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44587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44587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27887</v>
      </c>
      <c r="D7016" s="2" t="str">
        <f t="shared" si="108"/>
        <v>Error?</v>
      </c>
    </row>
    <row r="7017" spans="1:4" x14ac:dyDescent="0.2">
      <c r="A7017">
        <v>6956</v>
      </c>
      <c r="B7017" s="138">
        <f>'Expenditures 15-22'!K111</f>
        <v>27887</v>
      </c>
      <c r="D7017" s="2" t="str">
        <f t="shared" si="108"/>
        <v>Error?</v>
      </c>
    </row>
    <row r="7018" spans="1:4" x14ac:dyDescent="0.2">
      <c r="A7018">
        <v>6957</v>
      </c>
      <c r="B7018" s="138">
        <f>'Expenditures 15-22'!H112</f>
        <v>27887</v>
      </c>
      <c r="D7018" s="2" t="str">
        <f t="shared" si="108"/>
        <v>Error?</v>
      </c>
    </row>
    <row r="7019" spans="1:4" x14ac:dyDescent="0.2">
      <c r="A7019">
        <v>6958</v>
      </c>
      <c r="B7019" s="138">
        <f>'Expenditures 15-22'!K112</f>
        <v>27887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201336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279397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2001</v>
      </c>
      <c r="D7067" s="2" t="str">
        <f t="shared" si="109"/>
        <v>Error?</v>
      </c>
    </row>
    <row r="7068" spans="1:4" x14ac:dyDescent="0.2">
      <c r="A7068">
        <v>7007</v>
      </c>
      <c r="B7068" s="138">
        <f>'Expenditures 15-22'!K205</f>
        <v>2001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17944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17944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51289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51289</v>
      </c>
      <c r="D7153" s="2" t="str">
        <f t="shared" si="110"/>
        <v>Error?</v>
      </c>
    </row>
    <row r="7154" spans="1:4" x14ac:dyDescent="0.2">
      <c r="A7154">
        <v>7093</v>
      </c>
      <c r="B7154" s="138">
        <f>'Expenditures 15-22'!C323</f>
        <v>105188</v>
      </c>
      <c r="D7154" s="2" t="str">
        <f t="shared" si="110"/>
        <v>Error?</v>
      </c>
    </row>
    <row r="7155" spans="1:4" x14ac:dyDescent="0.2">
      <c r="A7155">
        <v>7094</v>
      </c>
      <c r="B7155" s="138">
        <f>'Expenditures 15-22'!D323</f>
        <v>14043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119231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8095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8095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4777</v>
      </c>
      <c r="D7198" s="2" t="str">
        <f t="shared" si="111"/>
        <v>Error?</v>
      </c>
    </row>
    <row r="7199" spans="1:4" x14ac:dyDescent="0.2">
      <c r="A7199">
        <v>7138</v>
      </c>
      <c r="B7199" s="138">
        <f>'Expenditures 15-22'!C330</f>
        <v>105188</v>
      </c>
      <c r="D7199" s="2" t="str">
        <f t="shared" si="111"/>
        <v>Error?</v>
      </c>
    </row>
    <row r="7200" spans="1:4" x14ac:dyDescent="0.2">
      <c r="A7200">
        <v>7139</v>
      </c>
      <c r="B7200" s="138">
        <f>'Expenditures 15-22'!D330</f>
        <v>14043</v>
      </c>
      <c r="D7200" s="2" t="str">
        <f t="shared" si="111"/>
        <v>Error?</v>
      </c>
    </row>
    <row r="7201" spans="1:4" x14ac:dyDescent="0.2">
      <c r="A7201">
        <v>7140</v>
      </c>
      <c r="B7201" s="138">
        <f>'Expenditures 15-22'!E330</f>
        <v>82105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201336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105188</v>
      </c>
      <c r="D7216" s="2" t="str">
        <f t="shared" si="111"/>
        <v>Error?</v>
      </c>
    </row>
    <row r="7217" spans="1:4" x14ac:dyDescent="0.2">
      <c r="A7217">
        <v>7156</v>
      </c>
      <c r="B7217" s="138">
        <f>'Expenditures 15-22'!D342</f>
        <v>14043</v>
      </c>
      <c r="D7217" s="2" t="str">
        <f t="shared" si="111"/>
        <v>Error?</v>
      </c>
    </row>
    <row r="7218" spans="1:4" x14ac:dyDescent="0.2">
      <c r="A7218">
        <v>7157</v>
      </c>
      <c r="B7218" s="138">
        <f>'Expenditures 15-22'!E342</f>
        <v>82105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201336</v>
      </c>
      <c r="D7224" s="2" t="str">
        <f t="shared" si="111"/>
        <v>Error?</v>
      </c>
    </row>
    <row r="7225" spans="1:4" x14ac:dyDescent="0.2">
      <c r="A7225">
        <v>7164</v>
      </c>
      <c r="B7225" s="138">
        <f>'Expenditures 15-22'!K343</f>
        <v>78061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355506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36793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44587</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261086</v>
      </c>
      <c r="D7797" s="2" t="str">
        <f t="shared" si="127"/>
        <v>Error?</v>
      </c>
      <c r="E7797" s="4" t="s">
        <v>1903</v>
      </c>
    </row>
    <row r="7798" spans="1:5" x14ac:dyDescent="0.2">
      <c r="A7798">
        <v>7737</v>
      </c>
      <c r="B7798" s="138">
        <f>'Contracts Paid in CY 29'!F37</f>
        <v>25000</v>
      </c>
      <c r="D7798" s="2" t="str">
        <f t="shared" si="127"/>
        <v>Error?</v>
      </c>
      <c r="E7798" s="4" t="s">
        <v>1903</v>
      </c>
    </row>
    <row r="7799" spans="1:5" x14ac:dyDescent="0.2">
      <c r="A7799">
        <v>7738</v>
      </c>
      <c r="B7799" s="138">
        <f>'Contracts Paid in CY 29'!G37</f>
        <v>236086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1988</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Fairfield PSD 112</v>
      </c>
      <c r="B7" s="2402"/>
      <c r="C7" s="2402"/>
      <c r="D7" s="2403"/>
      <c r="E7" s="2404">
        <f>COVER!A13</f>
        <v>20096112004</v>
      </c>
      <c r="F7" s="2405"/>
      <c r="G7" s="2411" t="str">
        <f>COVER!T23</f>
        <v>060-001832</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Leymone Hardcastle &amp; Co., Ltd</v>
      </c>
      <c r="H9" s="2417"/>
      <c r="I9" s="2417"/>
      <c r="J9" s="2417"/>
      <c r="K9" s="2417"/>
      <c r="L9" s="2418"/>
    </row>
    <row r="10" spans="1:29" ht="13.5" customHeight="1" x14ac:dyDescent="0.2">
      <c r="A10" s="2391" t="str">
        <f>COVER!A38</f>
        <v>Dr. Scott England</v>
      </c>
      <c r="B10" s="2392"/>
      <c r="C10" s="2392"/>
      <c r="D10" s="2392"/>
      <c r="E10" s="2392"/>
      <c r="F10" s="2393"/>
      <c r="G10" s="2385" t="str">
        <f>COVER!T17</f>
        <v>200 West Main Street</v>
      </c>
      <c r="H10" s="2386"/>
      <c r="I10" s="2386"/>
      <c r="J10" s="2386"/>
      <c r="K10" s="2386"/>
      <c r="L10" s="2387"/>
    </row>
    <row r="11" spans="1:29" ht="13.5" customHeight="1" x14ac:dyDescent="0.2">
      <c r="A11" s="1184" t="s">
        <v>1519</v>
      </c>
      <c r="B11" s="1185"/>
      <c r="C11" s="1186"/>
      <c r="D11" s="1191"/>
      <c r="E11" s="1186"/>
      <c r="F11" s="1190"/>
      <c r="G11" s="2385" t="str">
        <f>COVER!T19</f>
        <v>Salem</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f>COVER!T25</f>
        <v>0</v>
      </c>
      <c r="J13" s="2398"/>
      <c r="K13" s="2398"/>
      <c r="L13" s="2399"/>
    </row>
    <row r="14" spans="1:29" ht="13.5" customHeight="1" x14ac:dyDescent="0.2">
      <c r="A14" s="2385" t="str">
        <f>COVER!A19</f>
        <v>806 North First Street</v>
      </c>
      <c r="B14" s="2386"/>
      <c r="C14" s="2386"/>
      <c r="D14" s="2386"/>
      <c r="E14" s="2386"/>
      <c r="F14" s="2387"/>
      <c r="G14" s="1195" t="s">
        <v>1185</v>
      </c>
      <c r="H14" s="1193"/>
      <c r="I14" s="1193"/>
      <c r="J14" s="1193"/>
      <c r="K14" s="1193"/>
      <c r="L14" s="1194"/>
    </row>
    <row r="15" spans="1:29" ht="13.5" customHeight="1" x14ac:dyDescent="0.2">
      <c r="A15" s="2385" t="str">
        <f>COVER!A21</f>
        <v xml:space="preserve">Fairfield </v>
      </c>
      <c r="B15" s="2386"/>
      <c r="C15" s="2386"/>
      <c r="D15" s="2386"/>
      <c r="E15" s="2386"/>
      <c r="F15" s="2387"/>
      <c r="G15" s="2382" t="str">
        <f>COVER!T15</f>
        <v>Sara E. Hanks, CPA</v>
      </c>
      <c r="H15" s="2383"/>
      <c r="I15" s="2383"/>
      <c r="J15" s="2383"/>
      <c r="K15" s="2383"/>
      <c r="L15" s="2384"/>
    </row>
    <row r="16" spans="1:29" ht="12.2" customHeight="1" x14ac:dyDescent="0.2">
      <c r="A16" s="2407">
        <f>COVER!A25</f>
        <v>62837</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618-548-1002</v>
      </c>
      <c r="H18" s="2402"/>
      <c r="I18" s="2402"/>
      <c r="J18" s="2402"/>
      <c r="K18" s="2401" t="str">
        <f>COVER!X21</f>
        <v>618-548-1018</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0.75" header="0.26" footer="0.39"/>
  <pageSetup firstPageNumber="35" fitToHeight="0" orientation="portrait" useFirstPageNumber="1" r:id="rId1"/>
  <headerFooter alignWithMargins="0">
    <oddFooter>&amp;LSee accompanying notes to the financial statements.
&amp;C- 45 -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Fairfield PSD 112</v>
      </c>
      <c r="B1" s="2400"/>
      <c r="C1" s="2400"/>
      <c r="D1" s="2400"/>
    </row>
    <row r="2" spans="1:11" s="1212" customFormat="1" ht="12.75" x14ac:dyDescent="0.2">
      <c r="A2" s="2424">
        <f>'Single Audit Cover'!E7</f>
        <v>20096112004</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32" right="0.27" top="0.68" bottom="0.75" header="0.26" footer="0.39"/>
  <pageSetup scale="97" firstPageNumber="46" fitToHeight="0" orientation="portrait" useFirstPageNumber="1" r:id="rId5"/>
  <headerFooter alignWithMargins="0">
    <oddFooter>&amp;LSee accompanying notes to the financial statements.
&amp;C-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Fairfield PSD 112</v>
      </c>
      <c r="B1" s="2427"/>
      <c r="C1" s="2427"/>
      <c r="D1" s="2427"/>
      <c r="E1" s="2427"/>
    </row>
    <row r="2" spans="1:5" x14ac:dyDescent="0.2">
      <c r="A2" s="2428">
        <f>'Single Audit Cover'!E7</f>
        <v>20096112004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688037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25765</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-72623</v>
      </c>
    </row>
    <row r="19" spans="1:4" ht="13.5" thickBot="1" x14ac:dyDescent="0.25">
      <c r="A19" s="1262" t="s">
        <v>1235</v>
      </c>
      <c r="D19" s="1263">
        <f>SUM(D10:D17)</f>
        <v>641179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641179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641179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32" right="0.27" top="0.68" bottom="0.75" header="0.26" footer="0.39"/>
  <pageSetup firstPageNumber="37" orientation="portrait" useFirstPageNumber="1" r:id="rId1"/>
  <headerFooter alignWithMargins="0">
    <oddFooter>&amp;LSee accompanying notes to the financial statements.
&amp;C- 42 -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Fairfield PSD 112</v>
      </c>
      <c r="C1" s="2431"/>
      <c r="D1" s="2431"/>
      <c r="E1" s="2431"/>
      <c r="F1" s="2431"/>
      <c r="G1" s="2431"/>
      <c r="H1" s="2431"/>
      <c r="I1" s="2431"/>
      <c r="J1" s="2431"/>
      <c r="K1" s="2431"/>
      <c r="L1" s="2431"/>
      <c r="M1" s="2431"/>
    </row>
    <row r="2" spans="2:14" ht="15" x14ac:dyDescent="0.2">
      <c r="B2" s="2432">
        <f>'Single Audit Cover'!E7</f>
        <v>20096112004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5" right="0" top="0.4" bottom="0.35" header="0.25" footer="0.2"/>
  <pageSetup scale="83" firstPageNumber="38" orientation="landscape" useFirstPageNumber="1" r:id="rId1"/>
  <headerFooter alignWithMargins="0">
    <oddFooter>&amp;LSee accompanying notes to the financial statements.
&amp;C- 43 -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Fairfield PSD 112</v>
      </c>
      <c r="B1" s="2444"/>
      <c r="C1" s="2444"/>
      <c r="D1" s="2444"/>
      <c r="E1" s="2444"/>
      <c r="F1" s="2444"/>
    </row>
    <row r="2" spans="1:7" ht="13.5" customHeight="1" x14ac:dyDescent="0.2">
      <c r="A2" s="2432">
        <f>'Single Audit Cover'!E7</f>
        <v>20096112004</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4" t="s">
        <v>1270</v>
      </c>
      <c r="D15" s="2441" t="s">
        <v>1269</v>
      </c>
      <c r="E15" s="2441"/>
      <c r="F15" s="2441"/>
    </row>
    <row r="16" spans="1:7" ht="13.5" customHeight="1" x14ac:dyDescent="0.2">
      <c r="A16" s="1279"/>
      <c r="B16" s="1273" t="s">
        <v>1268</v>
      </c>
      <c r="C16" s="1844"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38">
        <f>+C33+C34</f>
        <v>0</v>
      </c>
      <c r="F34" s="2439"/>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3"/>
      <c r="C50" s="1843"/>
      <c r="D50" s="1843"/>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32" right="0.27" top="0.68" bottom="0.75" header="0.26" footer="0.39"/>
  <pageSetup scale="83" firstPageNumber="39" orientation="portrait" useFirstPageNumber="1" r:id="rId1"/>
  <headerFooter alignWithMargins="0">
    <oddFooter>&amp;LSee accompanying notes to the financial statements.
&amp;C- 44 -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98" colorId="8"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2071</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 right="0.16" top="0.78" bottom="0.68" header="0.54" footer="0.35"/>
  <pageSetup scale="84" firstPageNumber="2" orientation="portrait" useFirstPageNumber="1" r:id="rId1"/>
  <headerFooter differentOddEven="1" alignWithMargins="0">
    <oddHeader>&amp;CFairfield Public School District 112</oddHeader>
    <oddFooter>&amp;L&amp;9See accompanying notes to the financial statements.
&amp;C- 7 -</oddFooter>
    <evenHeader>&amp;CFairfield Public School District 112</evenHeader>
    <evenFooter>&amp;L&amp;9See accompanying notes to the financial statements.&amp;10
&amp;C- 8 -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C32" sqref="C3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Fairfield PSD 112</v>
      </c>
      <c r="C1" s="2459"/>
      <c r="D1" s="2459"/>
      <c r="E1" s="2459"/>
      <c r="F1" s="2459"/>
      <c r="G1" s="2459"/>
      <c r="H1" s="2459"/>
      <c r="I1" s="2459"/>
      <c r="J1" s="1406"/>
    </row>
    <row r="2" spans="2:10" s="317" customFormat="1" ht="12.75" customHeight="1" x14ac:dyDescent="0.2">
      <c r="B2" s="2460">
        <f>'Single Audit Cover'!E7</f>
        <v>20096112004</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2063</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35" bottom="0.55000000000000004" header="0.26" footer="0.22"/>
  <pageSetup firstPageNumber="40" orientation="portrait" useFirstPageNumber="1" r:id="rId1"/>
  <headerFooter alignWithMargins="0">
    <oddFooter>&amp;LSee accompanying notes to the financial statements.
&amp;C- 48 -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8"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Fairfield PSD 112</v>
      </c>
      <c r="C1" s="2458"/>
      <c r="D1" s="2458"/>
      <c r="E1" s="2458"/>
      <c r="F1" s="2458"/>
      <c r="G1" s="2458"/>
      <c r="H1" s="2458"/>
      <c r="I1" s="2458"/>
      <c r="J1" s="2458"/>
      <c r="K1" s="2458"/>
      <c r="L1" s="1371"/>
      <c r="M1" s="1371"/>
    </row>
    <row r="2" spans="1:13" ht="12" customHeight="1" x14ac:dyDescent="0.2">
      <c r="B2" s="2460">
        <f>'Single Audit Cover'!E7</f>
        <v>20096112004</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2096</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2097</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2098</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2099</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2100</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2101</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2102</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88" header="0.26" footer="0.49"/>
  <pageSetup firstPageNumber="41" orientation="portrait" useFirstPageNumber="1" r:id="rId1"/>
  <headerFooter alignWithMargins="0">
    <oddFooter>&amp;L&amp;9See accompanying notes to the financial statements.
&amp;C- 39-</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1"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Fairfield PSD 112</v>
      </c>
      <c r="C1" s="2458"/>
      <c r="D1" s="2458"/>
      <c r="E1" s="2458"/>
      <c r="F1" s="2458"/>
      <c r="G1" s="2458"/>
      <c r="H1" s="2458"/>
      <c r="I1" s="2458"/>
      <c r="J1" s="2458"/>
      <c r="K1" s="2458"/>
      <c r="L1" s="1371"/>
      <c r="M1" s="1371"/>
    </row>
    <row r="2" spans="1:13" ht="12" customHeight="1" x14ac:dyDescent="0.2">
      <c r="B2" s="2460">
        <f>'Single Audit Cover'!E7</f>
        <v>20096112004</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935"/>
      <c r="M3" s="1935"/>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1992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2103</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2104</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2105</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2106</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2107</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2108</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2109</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98" header="0.26" footer="0.53"/>
  <pageSetup firstPageNumber="41" orientation="portrait" useFirstPageNumber="1" r:id="rId1"/>
  <headerFooter alignWithMargins="0">
    <oddFooter>&amp;L&amp;9See accompanying notes to the financial statements.
&amp;C- 40 -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Fairfield PSD 112</v>
      </c>
      <c r="C1" s="2458"/>
      <c r="D1" s="2458"/>
      <c r="E1" s="2458"/>
      <c r="F1" s="2458"/>
      <c r="G1" s="2458"/>
      <c r="H1" s="2458"/>
      <c r="I1" s="2458"/>
      <c r="J1" s="2458"/>
      <c r="K1" s="2458"/>
      <c r="L1" s="1371"/>
      <c r="M1" s="1371"/>
    </row>
    <row r="2" spans="1:13" ht="12" customHeight="1" x14ac:dyDescent="0.2">
      <c r="B2" s="2460">
        <f>'Single Audit Cover'!E7</f>
        <v>20096112004</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935"/>
      <c r="M3" s="1935"/>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3</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2110</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2116</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2111</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2112</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2113</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2114</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2115</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94" header="0.26" footer="0.6"/>
  <pageSetup firstPageNumber="41" orientation="portrait" useFirstPageNumber="1" r:id="rId1"/>
  <headerFooter alignWithMargins="0">
    <oddFooter>&amp;L&amp;9See accompanying notes to the financial statements.
&amp;C- 41 -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Fairfield PSD 112</v>
      </c>
      <c r="C1" s="2481"/>
      <c r="D1" s="2481"/>
      <c r="E1" s="2481"/>
      <c r="F1" s="2481"/>
      <c r="G1" s="2481"/>
      <c r="H1" s="2481"/>
      <c r="I1" s="2481"/>
      <c r="J1" s="2481"/>
      <c r="K1" s="2481"/>
      <c r="L1" s="1449"/>
    </row>
    <row r="2" spans="1:12" ht="12.75" customHeight="1" x14ac:dyDescent="0.2">
      <c r="B2" s="2482">
        <f>'Single Audit Cover'!E7</f>
        <v>20096112004</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68" bottom="0.75" header="0.26" footer="0.39"/>
  <pageSetup firstPageNumber="42" orientation="portrait" useFirstPageNumber="1" r:id="rId1"/>
  <headerFooter alignWithMargins="0">
    <oddFooter>&amp;LSee accompanying notes to the financial statements.
&amp;C- 49 -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Fairfield PSD 112</v>
      </c>
      <c r="C1" s="2458"/>
      <c r="D1" s="2458"/>
      <c r="E1" s="1469"/>
    </row>
    <row r="2" spans="2:5" s="1279" customFormat="1" ht="12.75" customHeight="1" x14ac:dyDescent="0.2">
      <c r="B2" s="2460">
        <f>'Single Audit Cover'!E7</f>
        <v>20096112004</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 xml:space="preserve">&amp;LSee accompanying notes to the financial statements.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28" colorId="8" zoomScaleNormal="110" workbookViewId="0">
      <selection activeCell="F62" sqref="F62:F6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59355923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31">
        <f>ROUND(D10+F10+H10,5)</f>
        <v>1.29E-2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5703603</v>
      </c>
      <c r="E16" s="356"/>
      <c r="F16" s="1732">
        <f>SUM('Acct Summary 7-8'!C17,'Acct Summary 7-8'!D17,'Acct Summary 7-8'!F17)</f>
        <v>5839817</v>
      </c>
      <c r="G16" s="356"/>
      <c r="H16" s="1732">
        <f>SUM(D16-F16)</f>
        <v>-136214</v>
      </c>
      <c r="I16" s="222"/>
      <c r="J16" s="1732">
        <f>SUM('Acct Summary 7-8'!C81,'Acct Summary 7-8'!D81,'Acct Summary 7-8'!F81,'Acct Summary 7-8'!I81)</f>
        <v>4551202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4095558.6870000004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2502600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5" bottom="0.86" header="0.53" footer="0.5"/>
  <pageSetup scale="90" firstPageNumber="3" orientation="portrait" useFirstPageNumber="1" r:id="rId1"/>
  <headerFooter alignWithMargins="0">
    <oddHeader>&amp;CFairfield Public School District 112</oddHeader>
    <oddFooter>&amp;L&amp;9See accompanying notes to the financial statements.
&amp;C- 9 -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A3" sqref="A3:R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Fairfield PSD 112</v>
      </c>
      <c r="E7" s="391"/>
      <c r="G7" s="252"/>
      <c r="H7" s="387"/>
      <c r="I7" s="387"/>
      <c r="J7" s="387"/>
      <c r="K7" s="387"/>
      <c r="L7" s="329"/>
      <c r="M7" s="329"/>
      <c r="N7" s="329"/>
      <c r="O7" s="329"/>
      <c r="P7" s="329"/>
    </row>
    <row r="8" spans="1:18" ht="12.75" x14ac:dyDescent="0.2">
      <c r="A8" s="329"/>
      <c r="B8" s="329"/>
      <c r="C8" s="389" t="s">
        <v>1125</v>
      </c>
      <c r="D8" s="392">
        <f>COVER!A13</f>
        <v>20096112004</v>
      </c>
      <c r="E8" s="393"/>
      <c r="G8" s="329"/>
      <c r="H8" s="329"/>
      <c r="I8" s="329"/>
      <c r="J8" s="329"/>
      <c r="K8" s="329"/>
      <c r="L8" s="329"/>
      <c r="M8" s="329"/>
      <c r="N8" s="329"/>
      <c r="O8" s="329"/>
      <c r="P8" s="329"/>
    </row>
    <row r="9" spans="1:18" ht="12.75" x14ac:dyDescent="0.2">
      <c r="A9" s="329"/>
      <c r="B9" s="329"/>
      <c r="C9" s="389" t="s">
        <v>713</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4551202</v>
      </c>
      <c r="I12" s="404"/>
      <c r="J12" s="404"/>
      <c r="K12" s="405">
        <f>TRUNC((H12/H13*100000),5)/100000</f>
        <v>0.79795210149999996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5703603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5839817</v>
      </c>
      <c r="I17" s="404"/>
      <c r="J17" s="416"/>
      <c r="K17" s="405">
        <f>TRUNC((H17/H18*100000),5)/100000</f>
        <v>1.0238820969</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5703603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29.2249087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4543925</v>
      </c>
      <c r="I24" s="422"/>
      <c r="J24" s="422"/>
      <c r="K24" s="423">
        <f>TRUNC(((H24/H25*100000)/100000),2)</f>
        <v>280.11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16221.713890000001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650837.69570000004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2502600</v>
      </c>
      <c r="I32" s="420"/>
      <c r="J32" s="420"/>
      <c r="K32" s="423">
        <f>TRUNC(100-((((H32/H33*100))*100)/100),2)</f>
        <v>38.89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4095558.6870000004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000000000000005" right="0.2" top="0.8" bottom="0.73" header="0.48" footer="0.44"/>
  <pageSetup scale="85" firstPageNumber="4" orientation="landscape" useFirstPageNumber="1" r:id="rId3"/>
  <headerFooter alignWithMargins="0">
    <oddHeader>&amp;CFairfield Public School District 112</oddHeader>
    <oddFooter>&amp;L&amp;9See accompanying notes to the financial statements.
&amp;C- 10 -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3" activePane="bottomLeft" state="frozen"/>
      <selection pane="bottomLeft" activeCell="L8" sqref="L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3505299</v>
      </c>
      <c r="D4" s="466">
        <v>544575</v>
      </c>
      <c r="E4" s="466">
        <v>41243</v>
      </c>
      <c r="F4" s="466">
        <v>158607</v>
      </c>
      <c r="G4" s="466">
        <v>93506</v>
      </c>
      <c r="H4" s="466"/>
      <c r="I4" s="466">
        <v>268194</v>
      </c>
      <c r="J4" s="467">
        <v>318072</v>
      </c>
      <c r="K4" s="466">
        <v>265769</v>
      </c>
      <c r="L4" s="466">
        <v>10255</v>
      </c>
      <c r="M4" s="468"/>
      <c r="N4" s="469"/>
    </row>
    <row r="5" spans="1:14" x14ac:dyDescent="0.2">
      <c r="A5" s="463" t="s">
        <v>992</v>
      </c>
      <c r="B5" s="470">
        <v>120</v>
      </c>
      <c r="C5" s="465">
        <v>67250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7277</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3579826</v>
      </c>
      <c r="D13" s="1736">
        <f t="shared" ref="D13:L13" si="0">SUM(D4:D12)</f>
        <v>544575</v>
      </c>
      <c r="E13" s="1736">
        <f t="shared" si="0"/>
        <v>41243</v>
      </c>
      <c r="F13" s="1736">
        <f t="shared" si="0"/>
        <v>158607</v>
      </c>
      <c r="G13" s="1736">
        <f t="shared" si="0"/>
        <v>93506</v>
      </c>
      <c r="H13" s="1736">
        <f t="shared" si="0"/>
        <v>0</v>
      </c>
      <c r="I13" s="1736">
        <f t="shared" si="0"/>
        <v>268194</v>
      </c>
      <c r="J13" s="1736">
        <f t="shared" si="0"/>
        <v>318072</v>
      </c>
      <c r="K13" s="1736">
        <f t="shared" si="0"/>
        <v>265769</v>
      </c>
      <c r="L13" s="1736">
        <f t="shared" si="0"/>
        <v>10255</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157600</v>
      </c>
      <c r="N16" s="484"/>
    </row>
    <row r="17" spans="1:14" s="485" customFormat="1" ht="12.75" customHeight="1" x14ac:dyDescent="0.2">
      <c r="A17" s="482" t="s">
        <v>1403</v>
      </c>
      <c r="B17" s="483">
        <v>230</v>
      </c>
      <c r="C17" s="477"/>
      <c r="D17" s="477"/>
      <c r="E17" s="477"/>
      <c r="F17" s="477"/>
      <c r="G17" s="477"/>
      <c r="H17" s="477"/>
      <c r="I17" s="477"/>
      <c r="J17" s="477"/>
      <c r="K17" s="477"/>
      <c r="L17" s="477"/>
      <c r="M17" s="467">
        <v>11871844</v>
      </c>
      <c r="N17" s="484"/>
    </row>
    <row r="18" spans="1:14" s="485" customFormat="1" ht="12.75" customHeight="1" x14ac:dyDescent="0.2">
      <c r="A18" s="482" t="s">
        <v>1404</v>
      </c>
      <c r="B18" s="483">
        <v>240</v>
      </c>
      <c r="C18" s="477"/>
      <c r="D18" s="477"/>
      <c r="E18" s="477"/>
      <c r="F18" s="477"/>
      <c r="G18" s="477"/>
      <c r="H18" s="477"/>
      <c r="I18" s="477"/>
      <c r="J18" s="477"/>
      <c r="K18" s="477"/>
      <c r="L18" s="477"/>
      <c r="M18" s="467">
        <v>115284</v>
      </c>
      <c r="N18" s="484"/>
    </row>
    <row r="19" spans="1:14" s="485" customFormat="1" ht="12.75" customHeight="1" x14ac:dyDescent="0.2">
      <c r="A19" s="482" t="s">
        <v>1405</v>
      </c>
      <c r="B19" s="483">
        <v>250</v>
      </c>
      <c r="C19" s="477"/>
      <c r="D19" s="477"/>
      <c r="E19" s="477"/>
      <c r="F19" s="477"/>
      <c r="G19" s="477"/>
      <c r="H19" s="477"/>
      <c r="I19" s="477"/>
      <c r="J19" s="477"/>
      <c r="K19" s="477"/>
      <c r="L19" s="477"/>
      <c r="M19" s="467">
        <v>1748859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41243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2461357</v>
      </c>
    </row>
    <row r="23" spans="1:14" ht="13.5" customHeight="1" thickBot="1" x14ac:dyDescent="0.25">
      <c r="A23" s="1735" t="s">
        <v>643</v>
      </c>
      <c r="B23" s="1740"/>
      <c r="C23" s="468"/>
      <c r="D23" s="468"/>
      <c r="E23" s="468"/>
      <c r="F23" s="468"/>
      <c r="G23" s="468"/>
      <c r="H23" s="468"/>
      <c r="I23" s="468"/>
      <c r="J23" s="468"/>
      <c r="K23" s="468"/>
      <c r="L23" s="468"/>
      <c r="M23" s="1687">
        <f>SUM(M15:M22)</f>
        <v>13893587</v>
      </c>
      <c r="N23" s="1687">
        <f>SUM(N21:N22)</f>
        <v>2502600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10255</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10255</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2502600</v>
      </c>
    </row>
    <row r="37" spans="1:14" ht="13.5" thickBot="1" x14ac:dyDescent="0.25">
      <c r="A37" s="1735" t="s">
        <v>653</v>
      </c>
      <c r="B37" s="1740"/>
      <c r="C37" s="477"/>
      <c r="D37" s="477"/>
      <c r="E37" s="477"/>
      <c r="F37" s="477"/>
      <c r="G37" s="477"/>
      <c r="H37" s="477"/>
      <c r="I37" s="477"/>
      <c r="J37" s="477"/>
      <c r="K37" s="477"/>
      <c r="L37" s="480"/>
      <c r="M37" s="468"/>
      <c r="N37" s="1687">
        <f>SUM(N36:N36)</f>
        <v>2502600</v>
      </c>
    </row>
    <row r="38" spans="1:14" s="329" customFormat="1" ht="13.5" customHeight="1" thickTop="1" x14ac:dyDescent="0.2">
      <c r="A38" s="496" t="s">
        <v>420</v>
      </c>
      <c r="B38" s="483">
        <v>714</v>
      </c>
      <c r="C38" s="466">
        <v>35392</v>
      </c>
      <c r="D38" s="466">
        <v>12985</v>
      </c>
      <c r="E38" s="466"/>
      <c r="F38" s="466"/>
      <c r="G38" s="466">
        <v>66568</v>
      </c>
      <c r="H38" s="466"/>
      <c r="I38" s="466"/>
      <c r="J38" s="467"/>
      <c r="K38" s="466"/>
      <c r="L38" s="481"/>
      <c r="M38" s="497"/>
      <c r="N38" s="497"/>
    </row>
    <row r="39" spans="1:14" s="329" customFormat="1" ht="13.5" customHeight="1" x14ac:dyDescent="0.2">
      <c r="A39" s="496" t="s">
        <v>342</v>
      </c>
      <c r="B39" s="483">
        <v>730</v>
      </c>
      <c r="C39" s="466">
        <v>3544434</v>
      </c>
      <c r="D39" s="466">
        <v>531590</v>
      </c>
      <c r="E39" s="466">
        <v>41243</v>
      </c>
      <c r="F39" s="466">
        <v>158607</v>
      </c>
      <c r="G39" s="466">
        <v>26938</v>
      </c>
      <c r="H39" s="466"/>
      <c r="I39" s="466">
        <v>268194</v>
      </c>
      <c r="J39" s="467">
        <v>318072</v>
      </c>
      <c r="K39" s="466">
        <v>265769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13893587</v>
      </c>
      <c r="N40" s="497"/>
    </row>
    <row r="41" spans="1:14" ht="13.5" customHeight="1" thickBot="1" x14ac:dyDescent="0.25">
      <c r="A41" s="1735" t="s">
        <v>655</v>
      </c>
      <c r="B41" s="1705"/>
      <c r="C41" s="1687">
        <f>(SUM(C34,C37,C38,C39))</f>
        <v>3579826</v>
      </c>
      <c r="D41" s="1687">
        <f t="shared" ref="D41:L41" si="2">SUM(D34,D37,D38:D39)</f>
        <v>544575</v>
      </c>
      <c r="E41" s="1687">
        <f t="shared" si="2"/>
        <v>41243</v>
      </c>
      <c r="F41" s="1687">
        <f t="shared" si="2"/>
        <v>158607</v>
      </c>
      <c r="G41" s="1687">
        <f t="shared" si="2"/>
        <v>93506</v>
      </c>
      <c r="H41" s="1687">
        <f t="shared" si="2"/>
        <v>0</v>
      </c>
      <c r="I41" s="1687">
        <f t="shared" si="2"/>
        <v>268194</v>
      </c>
      <c r="J41" s="1687">
        <f t="shared" si="2"/>
        <v>318072</v>
      </c>
      <c r="K41" s="1687">
        <f t="shared" si="2"/>
        <v>265769</v>
      </c>
      <c r="L41" s="1687">
        <f t="shared" si="2"/>
        <v>10255</v>
      </c>
      <c r="M41" s="1687">
        <f>SUM(M40)</f>
        <v>13893587</v>
      </c>
      <c r="N41" s="1687">
        <f>SUM(N37)</f>
        <v>2502600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56000000000000005" right="0.15" top="0.86" bottom="0.55000000000000004" header="0.4" footer="0.32"/>
  <pageSetup scale="73" firstPageNumber="11" orientation="landscape" useFirstPageNumber="1" r:id="rId1"/>
  <headerFooter alignWithMargins="0">
    <oddHeader xml:space="preserve">&amp;C&amp;"Arial,Bold"&amp;9Fairfield Public School District 112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6" t="s">
        <v>1499</v>
      </c>
      <c r="B4" s="1927">
        <v>1000</v>
      </c>
      <c r="C4" s="1741">
        <f>'Revenues 9-14'!C109</f>
        <v>789800</v>
      </c>
      <c r="D4" s="1741">
        <f>'Revenues 9-14'!D109</f>
        <v>148256</v>
      </c>
      <c r="E4" s="1741">
        <f>'Revenues 9-14'!E109</f>
        <v>292021</v>
      </c>
      <c r="F4" s="1741">
        <f>'Revenues 9-14'!F109</f>
        <v>72870</v>
      </c>
      <c r="G4" s="1741">
        <f>'Revenues 9-14'!G109</f>
        <v>276652</v>
      </c>
      <c r="H4" s="1741">
        <f>'Revenues 9-14'!H109</f>
        <v>0</v>
      </c>
      <c r="I4" s="1741">
        <f>'Revenues 9-14'!I109</f>
        <v>29657</v>
      </c>
      <c r="J4" s="1741">
        <f>'Revenues 9-14'!J109</f>
        <v>279397</v>
      </c>
      <c r="K4" s="1741">
        <f>'Revenues 9-14'!K109</f>
        <v>29734</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3764073</v>
      </c>
      <c r="D6" s="1742">
        <f>'Revenues 9-14'!D170</f>
        <v>60000</v>
      </c>
      <c r="E6" s="1742">
        <f>'Revenues 9-14'!E170</f>
        <v>0</v>
      </c>
      <c r="F6" s="1742">
        <f>'Revenues 9-14'!F170</f>
        <v>195497</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643450</v>
      </c>
      <c r="D7" s="1742">
        <f>'Revenues 9-14'!D267</f>
        <v>0</v>
      </c>
      <c r="E7" s="1742">
        <f>'Revenues 9-14'!E267</f>
        <v>44587</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5197323</v>
      </c>
      <c r="D8" s="1687">
        <f t="shared" ref="D8:K8" si="0">SUM(D4:D7)</f>
        <v>208256</v>
      </c>
      <c r="E8" s="1687">
        <f t="shared" si="0"/>
        <v>336608</v>
      </c>
      <c r="F8" s="1687">
        <f t="shared" si="0"/>
        <v>268367</v>
      </c>
      <c r="G8" s="1687">
        <f t="shared" si="0"/>
        <v>276652</v>
      </c>
      <c r="H8" s="1687">
        <f t="shared" si="0"/>
        <v>0</v>
      </c>
      <c r="I8" s="1687">
        <f t="shared" si="0"/>
        <v>29657</v>
      </c>
      <c r="J8" s="1687">
        <f t="shared" si="0"/>
        <v>279397</v>
      </c>
      <c r="K8" s="1687">
        <f t="shared" si="0"/>
        <v>29734</v>
      </c>
      <c r="L8" s="347"/>
    </row>
    <row r="9" spans="1:13" ht="15.75" thickTop="1" x14ac:dyDescent="0.2">
      <c r="A9" s="514" t="s">
        <v>1653</v>
      </c>
      <c r="B9" s="515">
        <v>3998</v>
      </c>
      <c r="C9" s="481">
        <v>339990</v>
      </c>
      <c r="D9" s="516"/>
      <c r="E9" s="481"/>
      <c r="F9" s="481"/>
      <c r="G9" s="517"/>
      <c r="H9" s="481"/>
      <c r="I9" s="509" t="s">
        <v>1169</v>
      </c>
      <c r="J9" s="478"/>
      <c r="K9" s="481"/>
      <c r="L9" s="347"/>
    </row>
    <row r="10" spans="1:13" s="519" customFormat="1" ht="13.5" thickBot="1" x14ac:dyDescent="0.25">
      <c r="A10" s="1735" t="s">
        <v>1173</v>
      </c>
      <c r="B10" s="1708"/>
      <c r="C10" s="1687">
        <f>SUM(C8:C9)</f>
        <v>5537313</v>
      </c>
      <c r="D10" s="1687">
        <f t="shared" ref="D10:K10" si="1">SUM(D8:D9)</f>
        <v>208256</v>
      </c>
      <c r="E10" s="1687">
        <f t="shared" si="1"/>
        <v>336608</v>
      </c>
      <c r="F10" s="1687">
        <f t="shared" si="1"/>
        <v>268367</v>
      </c>
      <c r="G10" s="1687">
        <f t="shared" si="1"/>
        <v>276652</v>
      </c>
      <c r="H10" s="1687">
        <f t="shared" si="1"/>
        <v>0</v>
      </c>
      <c r="I10" s="1687">
        <f t="shared" si="1"/>
        <v>29657</v>
      </c>
      <c r="J10" s="1687">
        <f t="shared" si="1"/>
        <v>279397</v>
      </c>
      <c r="K10" s="1687">
        <f t="shared" si="1"/>
        <v>29734</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1">
        <f>'Expenditures 15-22'!K33</f>
        <v>3635417</v>
      </c>
      <c r="D12" s="520" t="s">
        <v>1169</v>
      </c>
      <c r="E12" s="468" t="s">
        <v>1169</v>
      </c>
      <c r="F12" s="468" t="s">
        <v>1169</v>
      </c>
      <c r="G12" s="1741">
        <f>'Expenditures 15-22'!K229</f>
        <v>120179</v>
      </c>
      <c r="H12" s="521"/>
      <c r="I12" s="468" t="s">
        <v>1169</v>
      </c>
      <c r="J12" s="468" t="s">
        <v>1169</v>
      </c>
      <c r="K12" s="521" t="s">
        <v>1169</v>
      </c>
      <c r="L12" s="347"/>
    </row>
    <row r="13" spans="1:13" ht="15.75" customHeight="1" x14ac:dyDescent="0.2">
      <c r="A13" s="1576" t="s">
        <v>457</v>
      </c>
      <c r="B13" s="1578">
        <v>2000</v>
      </c>
      <c r="C13" s="1742">
        <f>'Expenditures 15-22'!K74</f>
        <v>1501675</v>
      </c>
      <c r="D13" s="1742">
        <f>'Expenditures 15-22'!K129</f>
        <v>271696</v>
      </c>
      <c r="E13" s="469" t="s">
        <v>1169</v>
      </c>
      <c r="F13" s="1742">
        <f>'Expenditures 15-22'!K184</f>
        <v>225758</v>
      </c>
      <c r="G13" s="1742">
        <f>'Expenditures 15-22'!K279</f>
        <v>111498</v>
      </c>
      <c r="H13" s="1742">
        <f>'Expenditures 15-22'!K303</f>
        <v>0</v>
      </c>
      <c r="I13" s="468" t="s">
        <v>1169</v>
      </c>
      <c r="J13" s="1742">
        <f>'Expenditures 15-22'!K330</f>
        <v>201336</v>
      </c>
      <c r="K13" s="1746">
        <f>'Expenditures 15-22'!K352</f>
        <v>18356</v>
      </c>
      <c r="L13" s="347"/>
    </row>
    <row r="14" spans="1:13" ht="15.75" customHeight="1" x14ac:dyDescent="0.2">
      <c r="A14" s="1576" t="s">
        <v>449</v>
      </c>
      <c r="B14" s="1578">
        <v>3000</v>
      </c>
      <c r="C14" s="1742">
        <f>'Expenditures 15-22'!K75</f>
        <v>30073</v>
      </c>
      <c r="D14" s="1742">
        <f>'Expenditures 15-22'!K130</f>
        <v>0</v>
      </c>
      <c r="E14" s="520" t="s">
        <v>1169</v>
      </c>
      <c r="F14" s="1742">
        <f>'Expenditures 15-22'!K185</f>
        <v>0</v>
      </c>
      <c r="G14" s="1742">
        <f>'Expenditures 15-22'!K280</f>
        <v>332</v>
      </c>
      <c r="H14" s="512"/>
      <c r="I14" s="468" t="s">
        <v>1169</v>
      </c>
      <c r="J14" s="468" t="s">
        <v>1169</v>
      </c>
      <c r="K14" s="512" t="s">
        <v>1169</v>
      </c>
      <c r="L14" s="347"/>
    </row>
    <row r="15" spans="1:13" ht="15.75" customHeight="1" x14ac:dyDescent="0.2">
      <c r="A15" s="1576" t="s">
        <v>107</v>
      </c>
      <c r="B15" s="1578">
        <v>4000</v>
      </c>
      <c r="C15" s="1742">
        <f>'Expenditures 15-22'!K102</f>
        <v>105554</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27887</v>
      </c>
      <c r="D16" s="1742">
        <f>'Expenditures 15-22'!K149</f>
        <v>0</v>
      </c>
      <c r="E16" s="1742">
        <f>'Expenditures 15-22'!K172</f>
        <v>335363</v>
      </c>
      <c r="F16" s="1742">
        <f>'Expenditures 15-22'!K208</f>
        <v>41757</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5300606</v>
      </c>
      <c r="D17" s="1687">
        <f t="shared" si="2"/>
        <v>271696</v>
      </c>
      <c r="E17" s="1687">
        <f t="shared" si="2"/>
        <v>335363</v>
      </c>
      <c r="F17" s="1687">
        <f t="shared" si="2"/>
        <v>267515</v>
      </c>
      <c r="G17" s="1687">
        <f t="shared" si="2"/>
        <v>232009</v>
      </c>
      <c r="H17" s="1687">
        <f t="shared" si="2"/>
        <v>0</v>
      </c>
      <c r="I17" s="468"/>
      <c r="J17" s="1687">
        <f>SUM(J12:J16)</f>
        <v>201336</v>
      </c>
      <c r="K17" s="1687">
        <f>SUM(K12:K16)</f>
        <v>18356</v>
      </c>
      <c r="L17" s="347"/>
    </row>
    <row r="18" spans="1:12" ht="15" customHeight="1" thickTop="1" x14ac:dyDescent="0.2">
      <c r="A18" s="1743" t="s">
        <v>1654</v>
      </c>
      <c r="B18" s="1744">
        <v>4180</v>
      </c>
      <c r="C18" s="1741">
        <f t="shared" ref="C18:H18" si="3">C9</f>
        <v>339990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5640596</v>
      </c>
      <c r="D19" s="1687">
        <f t="shared" si="4"/>
        <v>271696</v>
      </c>
      <c r="E19" s="1687">
        <f t="shared" si="4"/>
        <v>335363</v>
      </c>
      <c r="F19" s="1687">
        <f t="shared" si="4"/>
        <v>267515</v>
      </c>
      <c r="G19" s="1687">
        <f t="shared" si="4"/>
        <v>232009</v>
      </c>
      <c r="H19" s="1687">
        <f t="shared" si="4"/>
        <v>0</v>
      </c>
      <c r="I19" s="468"/>
      <c r="J19" s="1687">
        <f>SUM(J17:J18)</f>
        <v>201336</v>
      </c>
      <c r="K19" s="1687">
        <f>SUM(K17:K18)</f>
        <v>18356</v>
      </c>
      <c r="L19" s="347"/>
    </row>
    <row r="20" spans="1:12" ht="16.5" thickTop="1" thickBot="1" x14ac:dyDescent="0.25">
      <c r="A20" s="2124" t="s">
        <v>1655</v>
      </c>
      <c r="B20" s="2125"/>
      <c r="C20" s="1745">
        <f>C8-C17</f>
        <v>-103283</v>
      </c>
      <c r="D20" s="1745">
        <f t="shared" ref="D20:K20" si="5">D8-D17</f>
        <v>-63440</v>
      </c>
      <c r="E20" s="1745">
        <f t="shared" si="5"/>
        <v>1245</v>
      </c>
      <c r="F20" s="1745">
        <f t="shared" si="5"/>
        <v>852</v>
      </c>
      <c r="G20" s="1745">
        <f t="shared" si="5"/>
        <v>44643</v>
      </c>
      <c r="H20" s="1745">
        <f t="shared" si="5"/>
        <v>0</v>
      </c>
      <c r="I20" s="1745">
        <f t="shared" si="5"/>
        <v>29657</v>
      </c>
      <c r="J20" s="1745">
        <f t="shared" si="5"/>
        <v>78061</v>
      </c>
      <c r="K20" s="1745">
        <f t="shared" si="5"/>
        <v>11378</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6" t="s">
        <v>1177</v>
      </c>
      <c r="B77" s="2117"/>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0" t="s">
        <v>597</v>
      </c>
      <c r="B78" s="2121"/>
      <c r="C78" s="1701">
        <f t="shared" ref="C78:K78" si="9">C20+C77</f>
        <v>-103283</v>
      </c>
      <c r="D78" s="1701">
        <f t="shared" si="9"/>
        <v>-63440</v>
      </c>
      <c r="E78" s="1701">
        <f t="shared" si="9"/>
        <v>1245</v>
      </c>
      <c r="F78" s="1701">
        <f t="shared" si="9"/>
        <v>852</v>
      </c>
      <c r="G78" s="1701">
        <f t="shared" si="9"/>
        <v>44643</v>
      </c>
      <c r="H78" s="1701">
        <f t="shared" si="9"/>
        <v>0</v>
      </c>
      <c r="I78" s="1701">
        <f t="shared" si="9"/>
        <v>29657</v>
      </c>
      <c r="J78" s="1701">
        <f t="shared" si="9"/>
        <v>78061</v>
      </c>
      <c r="K78" s="1701">
        <f t="shared" si="9"/>
        <v>11378</v>
      </c>
      <c r="L78" s="533"/>
    </row>
    <row r="79" spans="1:12" ht="13.5" thickTop="1" x14ac:dyDescent="0.2">
      <c r="A79" s="1494" t="s">
        <v>1948</v>
      </c>
      <c r="B79" s="534"/>
      <c r="C79" s="478">
        <v>3683109</v>
      </c>
      <c r="D79" s="535">
        <v>608015</v>
      </c>
      <c r="E79" s="535">
        <v>39998</v>
      </c>
      <c r="F79" s="535">
        <v>157755</v>
      </c>
      <c r="G79" s="535">
        <v>48863</v>
      </c>
      <c r="H79" s="535">
        <v>0</v>
      </c>
      <c r="I79" s="535">
        <v>238537</v>
      </c>
      <c r="J79" s="535">
        <v>240011</v>
      </c>
      <c r="K79" s="535">
        <v>254391</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1949</v>
      </c>
      <c r="B81" s="2119"/>
      <c r="C81" s="1687">
        <f>(SUM(C78:C80))</f>
        <v>3579826</v>
      </c>
      <c r="D81" s="1687">
        <f>SUM(D78:D80)</f>
        <v>544575</v>
      </c>
      <c r="E81" s="1687">
        <f t="shared" ref="E81:K81" si="10">SUM(E78:E80)</f>
        <v>41243</v>
      </c>
      <c r="F81" s="1687">
        <f t="shared" si="10"/>
        <v>158607</v>
      </c>
      <c r="G81" s="1687">
        <f t="shared" si="10"/>
        <v>93506</v>
      </c>
      <c r="H81" s="1687">
        <f t="shared" si="10"/>
        <v>0</v>
      </c>
      <c r="I81" s="1687">
        <f t="shared" si="10"/>
        <v>268194</v>
      </c>
      <c r="J81" s="1687">
        <f t="shared" si="10"/>
        <v>318072</v>
      </c>
      <c r="K81" s="1687">
        <f t="shared" si="10"/>
        <v>265769</v>
      </c>
      <c r="L81" s="347"/>
    </row>
    <row r="82" spans="1:12" ht="0.75" customHeight="1" thickTop="1" thickBot="1" x14ac:dyDescent="0.25">
      <c r="A82" s="536" t="s">
        <v>343</v>
      </c>
      <c r="B82" s="537"/>
      <c r="C82" s="538">
        <f>(C81-C79)</f>
        <v>-103283</v>
      </c>
      <c r="D82" s="538">
        <f t="shared" ref="D82:K82" si="11">(D81-D79)</f>
        <v>-63440</v>
      </c>
      <c r="E82" s="538">
        <f t="shared" si="11"/>
        <v>1245</v>
      </c>
      <c r="F82" s="538">
        <f t="shared" si="11"/>
        <v>852</v>
      </c>
      <c r="G82" s="538">
        <f t="shared" si="11"/>
        <v>44643</v>
      </c>
      <c r="H82" s="538">
        <f t="shared" si="11"/>
        <v>0</v>
      </c>
      <c r="I82" s="538">
        <f t="shared" si="11"/>
        <v>29657</v>
      </c>
      <c r="J82" s="538">
        <f t="shared" si="11"/>
        <v>78061</v>
      </c>
      <c r="K82" s="538">
        <f t="shared" si="11"/>
        <v>11378</v>
      </c>
    </row>
    <row r="83" spans="1:12" ht="14.25" hidden="1" thickTop="1" thickBot="1" x14ac:dyDescent="0.25">
      <c r="A83" s="539" t="s">
        <v>344</v>
      </c>
      <c r="B83" s="464"/>
      <c r="C83" s="540">
        <f>C82/C81</f>
        <v>-2.8851402274859168E-2</v>
      </c>
      <c r="D83" s="540">
        <f t="shared" ref="D83:K83" si="12">D82/D81</f>
        <v>-0.11649451407060551</v>
      </c>
      <c r="E83" s="540">
        <f t="shared" si="12"/>
        <v>3.0186940814198773E-2</v>
      </c>
      <c r="F83" s="540">
        <f t="shared" si="12"/>
        <v>5.3717679547560949E-3</v>
      </c>
      <c r="G83" s="540">
        <f t="shared" si="12"/>
        <v>0.47743460312707203</v>
      </c>
      <c r="H83" s="540" t="e">
        <f t="shared" si="12"/>
        <v>#DIV/0!</v>
      </c>
      <c r="I83" s="540">
        <f t="shared" si="12"/>
        <v>0.11058040075467758</v>
      </c>
      <c r="J83" s="540">
        <f t="shared" si="12"/>
        <v>0.24541927613873588</v>
      </c>
      <c r="K83" s="540">
        <f t="shared" si="12"/>
        <v>4.2811614597639304E-2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6" right="0" top="0.8" bottom="0.59" header="0.26" footer="0.35"/>
  <pageSetup scale="73" firstPageNumber="13" orientation="landscape" useFirstPageNumber="1" r:id="rId1"/>
  <headerFooter alignWithMargins="0">
    <oddHeader xml:space="preserve">&amp;C&amp;"Arial,Bold"&amp;9Fairfield Public School District 112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9" activePane="bottomLeft" state="frozen"/>
      <selection pane="bottomLeft" activeCell="C258" sqref="C25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528243</v>
      </c>
      <c r="D5" s="481">
        <v>143544</v>
      </c>
      <c r="E5" s="466">
        <v>290078</v>
      </c>
      <c r="F5" s="548">
        <v>68901</v>
      </c>
      <c r="G5" s="466">
        <v>133632</v>
      </c>
      <c r="H5" s="466"/>
      <c r="I5" s="466">
        <v>28709</v>
      </c>
      <c r="J5" s="467">
        <v>278070</v>
      </c>
      <c r="K5" s="466">
        <v>28709</v>
      </c>
    </row>
    <row r="6" spans="1:12" ht="15" x14ac:dyDescent="0.2">
      <c r="A6" s="463" t="s">
        <v>1662</v>
      </c>
      <c r="B6" s="470">
        <v>1130</v>
      </c>
      <c r="C6" s="466">
        <v>28709</v>
      </c>
      <c r="D6" s="466"/>
      <c r="E6" s="475"/>
      <c r="F6" s="475"/>
      <c r="G6" s="468"/>
      <c r="H6" s="468"/>
      <c r="I6" s="468"/>
      <c r="J6" s="468"/>
      <c r="K6" s="468"/>
    </row>
    <row r="7" spans="1:12" x14ac:dyDescent="0.2">
      <c r="A7" s="463" t="s">
        <v>110</v>
      </c>
      <c r="B7" s="549">
        <v>1140</v>
      </c>
      <c r="C7" s="466">
        <v>11484</v>
      </c>
      <c r="D7" s="466"/>
      <c r="E7" s="468"/>
      <c r="F7" s="467"/>
      <c r="G7" s="467"/>
      <c r="H7" s="467"/>
      <c r="I7" s="468"/>
      <c r="J7" s="468"/>
      <c r="K7" s="468"/>
    </row>
    <row r="8" spans="1:12" x14ac:dyDescent="0.2">
      <c r="A8" s="463" t="s">
        <v>413</v>
      </c>
      <c r="B8" s="470">
        <v>1150</v>
      </c>
      <c r="C8" s="475"/>
      <c r="D8" s="475"/>
      <c r="E8" s="477"/>
      <c r="F8" s="477"/>
      <c r="G8" s="481">
        <v>138521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568436</v>
      </c>
      <c r="D12" s="1706">
        <f t="shared" si="0"/>
        <v>143544</v>
      </c>
      <c r="E12" s="1706">
        <f t="shared" si="0"/>
        <v>290078</v>
      </c>
      <c r="F12" s="1706">
        <f t="shared" si="0"/>
        <v>68901</v>
      </c>
      <c r="G12" s="1706">
        <f t="shared" si="0"/>
        <v>272153</v>
      </c>
      <c r="H12" s="1706">
        <f t="shared" si="0"/>
        <v>0</v>
      </c>
      <c r="I12" s="1706">
        <f t="shared" si="0"/>
        <v>28709</v>
      </c>
      <c r="J12" s="1706">
        <f t="shared" si="0"/>
        <v>278070</v>
      </c>
      <c r="K12" s="1687">
        <f t="shared" si="0"/>
        <v>28709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2989</v>
      </c>
      <c r="D14" s="466">
        <v>755</v>
      </c>
      <c r="E14" s="466">
        <v>1525</v>
      </c>
      <c r="F14" s="466">
        <v>362</v>
      </c>
      <c r="G14" s="466">
        <v>1430</v>
      </c>
      <c r="H14" s="466"/>
      <c r="I14" s="466">
        <v>151</v>
      </c>
      <c r="J14" s="467"/>
      <c r="K14" s="466">
        <v>151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68055</v>
      </c>
      <c r="D16" s="466"/>
      <c r="E16" s="466"/>
      <c r="F16" s="466"/>
      <c r="G16" s="466">
        <v>2573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71044</v>
      </c>
      <c r="D18" s="1709">
        <f t="shared" ref="D18:K18" si="1">SUM(D14:D17)</f>
        <v>755</v>
      </c>
      <c r="E18" s="1709">
        <f t="shared" si="1"/>
        <v>1525</v>
      </c>
      <c r="F18" s="1709">
        <f t="shared" si="1"/>
        <v>362</v>
      </c>
      <c r="G18" s="1709">
        <f t="shared" si="1"/>
        <v>4003</v>
      </c>
      <c r="H18" s="1709">
        <f t="shared" si="1"/>
        <v>0</v>
      </c>
      <c r="I18" s="1709">
        <f t="shared" si="1"/>
        <v>151</v>
      </c>
      <c r="J18" s="1709">
        <f t="shared" si="1"/>
        <v>0</v>
      </c>
      <c r="K18" s="1710">
        <f t="shared" si="1"/>
        <v>151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8249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49967</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58216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1000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1990</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2990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3862</v>
      </c>
      <c r="D65" s="466">
        <v>1987</v>
      </c>
      <c r="E65" s="466">
        <v>418</v>
      </c>
      <c r="F65" s="467">
        <v>417</v>
      </c>
      <c r="G65" s="466">
        <v>496</v>
      </c>
      <c r="H65" s="466"/>
      <c r="I65" s="466">
        <v>797</v>
      </c>
      <c r="J65" s="467">
        <v>1219</v>
      </c>
      <c r="K65" s="466">
        <v>874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3862</v>
      </c>
      <c r="D67" s="1687">
        <f t="shared" ref="D67:K67" si="2">SUM(D65:D66)</f>
        <v>1987</v>
      </c>
      <c r="E67" s="1687">
        <f t="shared" si="2"/>
        <v>418</v>
      </c>
      <c r="F67" s="1687">
        <f t="shared" si="2"/>
        <v>417</v>
      </c>
      <c r="G67" s="1687">
        <f t="shared" si="2"/>
        <v>496</v>
      </c>
      <c r="H67" s="1687">
        <f t="shared" si="2"/>
        <v>0</v>
      </c>
      <c r="I67" s="1687">
        <f t="shared" si="2"/>
        <v>797</v>
      </c>
      <c r="J67" s="1687">
        <f t="shared" si="2"/>
        <v>1219</v>
      </c>
      <c r="K67" s="1687">
        <f t="shared" si="2"/>
        <v>874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47431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5917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642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53990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7657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1802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9459</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9860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3540</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13400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870</v>
      </c>
      <c r="E95" s="521"/>
      <c r="F95" s="521"/>
      <c r="G95" s="521"/>
      <c r="H95" s="521"/>
      <c r="I95" s="521"/>
      <c r="J95" s="521"/>
      <c r="K95" s="521"/>
    </row>
    <row r="96" spans="1:11" ht="12.75" customHeight="1" x14ac:dyDescent="0.2">
      <c r="A96" s="463" t="s">
        <v>391</v>
      </c>
      <c r="B96" s="470">
        <v>1920</v>
      </c>
      <c r="C96" s="551">
        <v>1060</v>
      </c>
      <c r="D96" s="551">
        <v>1080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9928</v>
      </c>
      <c r="D99" s="466"/>
      <c r="E99" s="466"/>
      <c r="F99" s="466"/>
      <c r="G99" s="466"/>
      <c r="H99" s="466"/>
      <c r="I99" s="468"/>
      <c r="J99" s="467">
        <v>108</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405</v>
      </c>
      <c r="D107" s="466">
        <v>20</v>
      </c>
      <c r="E107" s="466"/>
      <c r="F107" s="466">
        <v>200</v>
      </c>
      <c r="G107" s="466"/>
      <c r="H107" s="466"/>
      <c r="I107" s="466"/>
      <c r="J107" s="467"/>
      <c r="K107" s="466"/>
    </row>
    <row r="108" spans="1:12" ht="12.75" customHeight="1" thickBot="1" x14ac:dyDescent="0.25">
      <c r="A108" s="1707" t="s">
        <v>487</v>
      </c>
      <c r="B108" s="1711"/>
      <c r="C108" s="1706">
        <f>SUM(C95:C107)</f>
        <v>11393</v>
      </c>
      <c r="D108" s="1706">
        <f t="shared" ref="D108:K108" si="3">SUM(D95:D107)</f>
        <v>1970</v>
      </c>
      <c r="E108" s="1706">
        <f t="shared" si="3"/>
        <v>0</v>
      </c>
      <c r="F108" s="1706">
        <f t="shared" si="3"/>
        <v>200</v>
      </c>
      <c r="G108" s="1706">
        <f t="shared" si="3"/>
        <v>0</v>
      </c>
      <c r="H108" s="1706">
        <f t="shared" si="3"/>
        <v>0</v>
      </c>
      <c r="I108" s="1706">
        <f t="shared" si="3"/>
        <v>0</v>
      </c>
      <c r="J108" s="1706">
        <f t="shared" si="3"/>
        <v>108</v>
      </c>
      <c r="K108" s="1687">
        <f t="shared" si="3"/>
        <v>0</v>
      </c>
    </row>
    <row r="109" spans="1:12" ht="14.25" thickTop="1" thickBot="1" x14ac:dyDescent="0.25">
      <c r="A109" s="1712" t="s">
        <v>248</v>
      </c>
      <c r="B109" s="1713" t="s">
        <v>570</v>
      </c>
      <c r="C109" s="1714">
        <f t="shared" ref="C109:K109" si="4">SUM(C12,C18,C40,C63,C67,C75,C82,C93,C108,)</f>
        <v>789800</v>
      </c>
      <c r="D109" s="1714">
        <f t="shared" si="4"/>
        <v>148256</v>
      </c>
      <c r="E109" s="1714">
        <f t="shared" si="4"/>
        <v>292021</v>
      </c>
      <c r="F109" s="1714">
        <f t="shared" si="4"/>
        <v>72870</v>
      </c>
      <c r="G109" s="1714">
        <f t="shared" si="4"/>
        <v>276652</v>
      </c>
      <c r="H109" s="1714">
        <f t="shared" si="4"/>
        <v>0</v>
      </c>
      <c r="I109" s="1714">
        <f t="shared" si="4"/>
        <v>29657</v>
      </c>
      <c r="J109" s="1714">
        <f t="shared" si="4"/>
        <v>279397</v>
      </c>
      <c r="K109" s="1701">
        <f t="shared" si="4"/>
        <v>29734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3347819</v>
      </c>
      <c r="D117" s="481">
        <v>60000</v>
      </c>
      <c r="E117" s="466"/>
      <c r="F117" s="481">
        <v>50000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3347819</v>
      </c>
      <c r="D122" s="1706">
        <f t="shared" si="5"/>
        <v>60000</v>
      </c>
      <c r="E122" s="1706">
        <f t="shared" si="5"/>
        <v>0</v>
      </c>
      <c r="F122" s="1706">
        <f t="shared" si="5"/>
        <v>50000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25236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25236</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623</v>
      </c>
      <c r="D140" s="466"/>
      <c r="E140" s="561"/>
      <c r="F140" s="477"/>
      <c r="G140" s="467"/>
      <c r="H140" s="468"/>
      <c r="I140" s="468"/>
      <c r="J140" s="468"/>
      <c r="K140" s="468"/>
    </row>
    <row r="141" spans="1:11" ht="12.75" customHeight="1" thickBot="1" x14ac:dyDescent="0.25">
      <c r="A141" s="1707" t="s">
        <v>603</v>
      </c>
      <c r="B141" s="1719"/>
      <c r="C141" s="1706">
        <f>SUM(C134:C140)</f>
        <v>623</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3622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60119</v>
      </c>
      <c r="G152" s="467"/>
      <c r="H152" s="468"/>
      <c r="I152" s="468"/>
      <c r="J152" s="468"/>
      <c r="K152" s="468"/>
    </row>
    <row r="153" spans="1:11" ht="12.75" customHeight="1" x14ac:dyDescent="0.2">
      <c r="A153" s="463" t="s">
        <v>1057</v>
      </c>
      <c r="B153" s="562">
        <v>3510</v>
      </c>
      <c r="C153" s="551"/>
      <c r="D153" s="466"/>
      <c r="E153" s="561"/>
      <c r="F153" s="466">
        <v>77548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137667</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386023</v>
      </c>
      <c r="D159" s="578"/>
      <c r="E159" s="561"/>
      <c r="F159" s="576">
        <v>7830</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2" t="s">
        <v>398</v>
      </c>
      <c r="B169" s="2143"/>
      <c r="C169" s="1721">
        <f t="shared" ref="C169:K169" si="6">SUM(C132,C141,C145,C146:C150,C155,C156:C167,C168)</f>
        <v>416254</v>
      </c>
      <c r="D169" s="1721">
        <f t="shared" si="6"/>
        <v>0</v>
      </c>
      <c r="E169" s="1721">
        <f t="shared" si="6"/>
        <v>0</v>
      </c>
      <c r="F169" s="1721">
        <f t="shared" si="6"/>
        <v>145497</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3764073</v>
      </c>
      <c r="D170" s="1714">
        <f t="shared" si="7"/>
        <v>60000</v>
      </c>
      <c r="E170" s="1714">
        <f t="shared" si="7"/>
        <v>0</v>
      </c>
      <c r="F170" s="1714">
        <f t="shared" si="7"/>
        <v>195497</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19887</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19887</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174855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57144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231999</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279156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279156</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8419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8419</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44587</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44587</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27200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4166</v>
      </c>
      <c r="D263" s="576"/>
      <c r="E263" s="468"/>
      <c r="F263" s="576"/>
      <c r="G263" s="576"/>
      <c r="H263" s="468"/>
      <c r="I263" s="468"/>
      <c r="J263" s="468"/>
      <c r="K263" s="468"/>
    </row>
    <row r="264" spans="1:11" ht="12.75" customHeight="1" thickTop="1" thickBot="1" x14ac:dyDescent="0.25">
      <c r="A264" s="463" t="s">
        <v>377</v>
      </c>
      <c r="B264" s="470">
        <v>4992</v>
      </c>
      <c r="C264" s="575">
        <v>72623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643450</v>
      </c>
      <c r="D266" s="1714">
        <f t="shared" si="10"/>
        <v>0</v>
      </c>
      <c r="E266" s="1714">
        <f t="shared" si="10"/>
        <v>44587</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643450</v>
      </c>
      <c r="D267" s="1714">
        <f>SUM(D175,D181,D266)</f>
        <v>0</v>
      </c>
      <c r="E267" s="1714">
        <f>SUM(E175,E266)</f>
        <v>44587</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5197323</v>
      </c>
      <c r="D268" s="1714">
        <f t="shared" si="12"/>
        <v>208256</v>
      </c>
      <c r="E268" s="1714">
        <f t="shared" si="12"/>
        <v>336608</v>
      </c>
      <c r="F268" s="1714">
        <f t="shared" si="12"/>
        <v>268367</v>
      </c>
      <c r="G268" s="1714">
        <f t="shared" si="12"/>
        <v>276652</v>
      </c>
      <c r="H268" s="1714">
        <f t="shared" si="12"/>
        <v>0</v>
      </c>
      <c r="I268" s="1714">
        <f t="shared" si="12"/>
        <v>29657</v>
      </c>
      <c r="J268" s="1714">
        <f t="shared" si="12"/>
        <v>279397</v>
      </c>
      <c r="K268" s="1701">
        <f t="shared" si="12"/>
        <v>29734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7" right="0.15" top="0.66" bottom="0.4" header="0.26" footer="0.16"/>
  <pageSetup scale="73" firstPageNumber="15" orientation="landscape" useFirstPageNumber="1" r:id="rId1"/>
  <headerFooter alignWithMargins="0">
    <oddHeader>&amp;C&amp;"Arial,Bold"&amp;9Fairfield Public School District 112
STATEMENT OF REVENUES RECEIVED/REVENUES (ALL FUNDS)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11" sqref="C1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1982219</v>
      </c>
      <c r="D5" s="466">
        <v>404436</v>
      </c>
      <c r="E5" s="466">
        <v>17981</v>
      </c>
      <c r="F5" s="466">
        <v>112541</v>
      </c>
      <c r="G5" s="466">
        <v>8661</v>
      </c>
      <c r="H5" s="466">
        <v>4440</v>
      </c>
      <c r="I5" s="467"/>
      <c r="J5" s="467"/>
      <c r="K5" s="1670">
        <f>SUM(C5:J5)</f>
        <v>2530278</v>
      </c>
      <c r="L5" s="466">
        <v>2553500</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c r="D7" s="467"/>
      <c r="E7" s="467"/>
      <c r="F7" s="467"/>
      <c r="G7" s="467"/>
      <c r="H7" s="467"/>
      <c r="I7" s="467"/>
      <c r="J7" s="467"/>
      <c r="K7" s="1670">
        <f t="shared" ref="K7:K32" si="0">SUM(C7:J7)</f>
        <v>0</v>
      </c>
      <c r="L7" s="466">
        <v>0</v>
      </c>
    </row>
    <row r="8" spans="1:14" x14ac:dyDescent="0.2">
      <c r="A8" s="1504" t="s">
        <v>164</v>
      </c>
      <c r="B8" s="614">
        <v>1200</v>
      </c>
      <c r="C8" s="466">
        <v>565517</v>
      </c>
      <c r="D8" s="466">
        <v>125624</v>
      </c>
      <c r="E8" s="466">
        <v>2122</v>
      </c>
      <c r="F8" s="466">
        <v>1058</v>
      </c>
      <c r="G8" s="466">
        <v>4323</v>
      </c>
      <c r="H8" s="466">
        <v>70417</v>
      </c>
      <c r="I8" s="467"/>
      <c r="J8" s="467"/>
      <c r="K8" s="1670">
        <f t="shared" si="0"/>
        <v>769061</v>
      </c>
      <c r="L8" s="466">
        <v>750000</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v>135002</v>
      </c>
      <c r="D10" s="466">
        <v>40285</v>
      </c>
      <c r="E10" s="466">
        <v>14301</v>
      </c>
      <c r="F10" s="466">
        <v>68813</v>
      </c>
      <c r="G10" s="466"/>
      <c r="H10" s="466"/>
      <c r="I10" s="467"/>
      <c r="J10" s="467"/>
      <c r="K10" s="1670">
        <f t="shared" si="0"/>
        <v>258401</v>
      </c>
      <c r="L10" s="466">
        <v>275472</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c r="D12" s="466"/>
      <c r="E12" s="466"/>
      <c r="F12" s="466"/>
      <c r="G12" s="466"/>
      <c r="H12" s="466"/>
      <c r="I12" s="467"/>
      <c r="J12" s="467"/>
      <c r="K12" s="1670">
        <f t="shared" si="0"/>
        <v>0</v>
      </c>
      <c r="L12" s="466">
        <v>0</v>
      </c>
    </row>
    <row r="13" spans="1:14" x14ac:dyDescent="0.2">
      <c r="A13" s="1504" t="s">
        <v>723</v>
      </c>
      <c r="B13" s="614">
        <v>1400</v>
      </c>
      <c r="C13" s="466"/>
      <c r="D13" s="466"/>
      <c r="E13" s="466"/>
      <c r="F13" s="466"/>
      <c r="G13" s="466"/>
      <c r="H13" s="466"/>
      <c r="I13" s="467"/>
      <c r="J13" s="467"/>
      <c r="K13" s="1670">
        <f t="shared" si="0"/>
        <v>0</v>
      </c>
      <c r="L13" s="466">
        <v>0</v>
      </c>
    </row>
    <row r="14" spans="1:14" x14ac:dyDescent="0.2">
      <c r="A14" s="1504" t="s">
        <v>963</v>
      </c>
      <c r="B14" s="614">
        <v>1500</v>
      </c>
      <c r="C14" s="466">
        <v>36893</v>
      </c>
      <c r="D14" s="466">
        <v>3165</v>
      </c>
      <c r="E14" s="466">
        <v>15324</v>
      </c>
      <c r="F14" s="466">
        <v>13871</v>
      </c>
      <c r="G14" s="466"/>
      <c r="H14" s="466"/>
      <c r="I14" s="467"/>
      <c r="J14" s="467"/>
      <c r="K14" s="1670">
        <f t="shared" si="0"/>
        <v>69253</v>
      </c>
      <c r="L14" s="466">
        <v>69400</v>
      </c>
    </row>
    <row r="15" spans="1:14" x14ac:dyDescent="0.2">
      <c r="A15" s="1504" t="s">
        <v>964</v>
      </c>
      <c r="B15" s="614">
        <v>1600</v>
      </c>
      <c r="C15" s="466"/>
      <c r="D15" s="466"/>
      <c r="E15" s="466"/>
      <c r="F15" s="466"/>
      <c r="G15" s="466"/>
      <c r="H15" s="466"/>
      <c r="I15" s="467"/>
      <c r="J15" s="467"/>
      <c r="K15" s="1670">
        <f t="shared" si="0"/>
        <v>0</v>
      </c>
      <c r="L15" s="466">
        <v>0</v>
      </c>
    </row>
    <row r="16" spans="1:14" x14ac:dyDescent="0.2">
      <c r="A16" s="1504" t="s">
        <v>987</v>
      </c>
      <c r="B16" s="614" t="s">
        <v>424</v>
      </c>
      <c r="C16" s="466">
        <v>5564</v>
      </c>
      <c r="D16" s="466">
        <v>742</v>
      </c>
      <c r="E16" s="466">
        <v>1585</v>
      </c>
      <c r="F16" s="466">
        <v>533</v>
      </c>
      <c r="G16" s="466"/>
      <c r="H16" s="466"/>
      <c r="I16" s="467"/>
      <c r="J16" s="467"/>
      <c r="K16" s="1670">
        <f t="shared" si="0"/>
        <v>8424</v>
      </c>
      <c r="L16" s="466">
        <v>8975</v>
      </c>
    </row>
    <row r="17" spans="1:12" x14ac:dyDescent="0.2">
      <c r="A17" s="1504" t="s">
        <v>724</v>
      </c>
      <c r="B17" s="614" t="s">
        <v>162</v>
      </c>
      <c r="C17" s="467"/>
      <c r="D17" s="467"/>
      <c r="E17" s="467"/>
      <c r="F17" s="467"/>
      <c r="G17" s="467"/>
      <c r="H17" s="467"/>
      <c r="I17" s="467"/>
      <c r="J17" s="467"/>
      <c r="K17" s="1670">
        <f t="shared" si="0"/>
        <v>0</v>
      </c>
      <c r="L17" s="466">
        <v>0</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c r="D19" s="466"/>
      <c r="E19" s="466"/>
      <c r="F19" s="466"/>
      <c r="G19" s="466"/>
      <c r="H19" s="466"/>
      <c r="I19" s="467"/>
      <c r="J19" s="467"/>
      <c r="K19" s="1670">
        <f t="shared" si="0"/>
        <v>0</v>
      </c>
      <c r="L19" s="466">
        <v>0</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2725195</v>
      </c>
      <c r="D33" s="1669">
        <f t="shared" ref="D33:L33" si="1">SUM(D5:D32)</f>
        <v>574252</v>
      </c>
      <c r="E33" s="1669">
        <f t="shared" si="1"/>
        <v>51313</v>
      </c>
      <c r="F33" s="1669">
        <f t="shared" si="1"/>
        <v>196816</v>
      </c>
      <c r="G33" s="1669">
        <f t="shared" si="1"/>
        <v>12984</v>
      </c>
      <c r="H33" s="1669">
        <f t="shared" si="1"/>
        <v>74857</v>
      </c>
      <c r="I33" s="1669">
        <f t="shared" si="1"/>
        <v>0</v>
      </c>
      <c r="J33" s="1669">
        <f t="shared" si="1"/>
        <v>0</v>
      </c>
      <c r="K33" s="1669">
        <f t="shared" si="1"/>
        <v>3635417</v>
      </c>
      <c r="L33" s="1669">
        <f t="shared" si="1"/>
        <v>3657347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v>0</v>
      </c>
    </row>
    <row r="37" spans="1:14" x14ac:dyDescent="0.2">
      <c r="A37" s="1504" t="s">
        <v>1090</v>
      </c>
      <c r="B37" s="614">
        <v>2120</v>
      </c>
      <c r="C37" s="466">
        <v>20243</v>
      </c>
      <c r="D37" s="466">
        <v>6252</v>
      </c>
      <c r="E37" s="466"/>
      <c r="F37" s="466">
        <v>840</v>
      </c>
      <c r="G37" s="466"/>
      <c r="H37" s="466"/>
      <c r="I37" s="467"/>
      <c r="J37" s="467"/>
      <c r="K37" s="1670">
        <f t="shared" si="2"/>
        <v>27335</v>
      </c>
      <c r="L37" s="466">
        <v>28150</v>
      </c>
    </row>
    <row r="38" spans="1:14" x14ac:dyDescent="0.2">
      <c r="A38" s="1504" t="s">
        <v>198</v>
      </c>
      <c r="B38" s="614">
        <v>2130</v>
      </c>
      <c r="C38" s="466">
        <v>26535</v>
      </c>
      <c r="D38" s="466">
        <v>6787</v>
      </c>
      <c r="E38" s="466">
        <v>268</v>
      </c>
      <c r="F38" s="466">
        <v>2410</v>
      </c>
      <c r="G38" s="466"/>
      <c r="H38" s="466"/>
      <c r="I38" s="467"/>
      <c r="J38" s="467"/>
      <c r="K38" s="1670">
        <f t="shared" si="2"/>
        <v>36000</v>
      </c>
      <c r="L38" s="466">
        <v>35375</v>
      </c>
    </row>
    <row r="39" spans="1:14" x14ac:dyDescent="0.2">
      <c r="A39" s="1504" t="s">
        <v>199</v>
      </c>
      <c r="B39" s="614">
        <v>2140</v>
      </c>
      <c r="C39" s="466"/>
      <c r="D39" s="466"/>
      <c r="E39" s="466">
        <v>9719</v>
      </c>
      <c r="F39" s="466"/>
      <c r="G39" s="466"/>
      <c r="H39" s="466"/>
      <c r="I39" s="467"/>
      <c r="J39" s="467"/>
      <c r="K39" s="1670">
        <f t="shared" si="2"/>
        <v>9719</v>
      </c>
      <c r="L39" s="466">
        <v>10800</v>
      </c>
    </row>
    <row r="40" spans="1:14" x14ac:dyDescent="0.2">
      <c r="A40" s="1504" t="s">
        <v>200</v>
      </c>
      <c r="B40" s="614">
        <v>2150</v>
      </c>
      <c r="C40" s="466">
        <v>102702</v>
      </c>
      <c r="D40" s="466">
        <v>26299</v>
      </c>
      <c r="E40" s="466">
        <v>1623</v>
      </c>
      <c r="F40" s="466">
        <v>781</v>
      </c>
      <c r="G40" s="466"/>
      <c r="H40" s="466"/>
      <c r="I40" s="467"/>
      <c r="J40" s="467"/>
      <c r="K40" s="1670">
        <f t="shared" si="2"/>
        <v>131405</v>
      </c>
      <c r="L40" s="466">
        <v>133500</v>
      </c>
    </row>
    <row r="41" spans="1:14" x14ac:dyDescent="0.2">
      <c r="A41" s="1504" t="s">
        <v>1669</v>
      </c>
      <c r="B41" s="614">
        <v>2190</v>
      </c>
      <c r="C41" s="466"/>
      <c r="D41" s="466"/>
      <c r="E41" s="466"/>
      <c r="F41" s="466"/>
      <c r="G41" s="466"/>
      <c r="H41" s="466"/>
      <c r="I41" s="467"/>
      <c r="J41" s="467"/>
      <c r="K41" s="1670">
        <f t="shared" si="2"/>
        <v>0</v>
      </c>
      <c r="L41" s="466">
        <v>0</v>
      </c>
    </row>
    <row r="42" spans="1:14" ht="12.75" customHeight="1" thickBot="1" x14ac:dyDescent="0.25">
      <c r="A42" s="1667" t="s">
        <v>560</v>
      </c>
      <c r="B42" s="1668" t="s">
        <v>716</v>
      </c>
      <c r="C42" s="1669">
        <f>SUM(C36:C41)</f>
        <v>149480</v>
      </c>
      <c r="D42" s="1669">
        <f t="shared" ref="D42:L42" si="3">SUM(D36:D41)</f>
        <v>39338</v>
      </c>
      <c r="E42" s="1669">
        <f t="shared" si="3"/>
        <v>11610</v>
      </c>
      <c r="F42" s="1669">
        <f t="shared" si="3"/>
        <v>4031</v>
      </c>
      <c r="G42" s="1669">
        <f t="shared" si="3"/>
        <v>0</v>
      </c>
      <c r="H42" s="1669">
        <f t="shared" si="3"/>
        <v>0</v>
      </c>
      <c r="I42" s="1669">
        <f t="shared" si="3"/>
        <v>0</v>
      </c>
      <c r="J42" s="1669">
        <f t="shared" si="3"/>
        <v>0</v>
      </c>
      <c r="K42" s="1669">
        <f t="shared" si="3"/>
        <v>204459</v>
      </c>
      <c r="L42" s="1669">
        <f t="shared" si="3"/>
        <v>207825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18670</v>
      </c>
      <c r="D44" s="481">
        <v>2618</v>
      </c>
      <c r="E44" s="481">
        <v>44408</v>
      </c>
      <c r="F44" s="481"/>
      <c r="G44" s="481"/>
      <c r="H44" s="481"/>
      <c r="I44" s="467"/>
      <c r="J44" s="467"/>
      <c r="K44" s="1671">
        <f>SUM(C44:J44)</f>
        <v>65696</v>
      </c>
      <c r="L44" s="481">
        <v>47257</v>
      </c>
    </row>
    <row r="45" spans="1:14" x14ac:dyDescent="0.2">
      <c r="A45" s="1504" t="s">
        <v>815</v>
      </c>
      <c r="B45" s="614">
        <v>2220</v>
      </c>
      <c r="C45" s="466"/>
      <c r="D45" s="466"/>
      <c r="E45" s="466"/>
      <c r="F45" s="466">
        <v>5078</v>
      </c>
      <c r="G45" s="466">
        <v>3538</v>
      </c>
      <c r="H45" s="466"/>
      <c r="I45" s="467"/>
      <c r="J45" s="467"/>
      <c r="K45" s="1671">
        <f>SUM(C45:J45)</f>
        <v>8616</v>
      </c>
      <c r="L45" s="466">
        <v>15200</v>
      </c>
    </row>
    <row r="46" spans="1:14" x14ac:dyDescent="0.2">
      <c r="A46" s="1504" t="s">
        <v>816</v>
      </c>
      <c r="B46" s="614">
        <v>2230</v>
      </c>
      <c r="C46" s="466"/>
      <c r="D46" s="466"/>
      <c r="E46" s="466">
        <v>10238</v>
      </c>
      <c r="F46" s="466"/>
      <c r="G46" s="466"/>
      <c r="H46" s="466"/>
      <c r="I46" s="467"/>
      <c r="J46" s="467"/>
      <c r="K46" s="1671">
        <f>SUM(C46:J46)</f>
        <v>10238</v>
      </c>
      <c r="L46" s="466">
        <v>10788</v>
      </c>
    </row>
    <row r="47" spans="1:14" ht="12.75" customHeight="1" thickBot="1" x14ac:dyDescent="0.25">
      <c r="A47" s="1667" t="s">
        <v>561</v>
      </c>
      <c r="B47" s="1668" t="s">
        <v>32</v>
      </c>
      <c r="C47" s="1669">
        <f>SUM(C44:C46)</f>
        <v>18670</v>
      </c>
      <c r="D47" s="1669">
        <f t="shared" ref="D47:K47" si="4">SUM(D44:D46)</f>
        <v>2618</v>
      </c>
      <c r="E47" s="1669">
        <f t="shared" si="4"/>
        <v>54646</v>
      </c>
      <c r="F47" s="1669">
        <f t="shared" si="4"/>
        <v>5078</v>
      </c>
      <c r="G47" s="1669">
        <f t="shared" si="4"/>
        <v>3538</v>
      </c>
      <c r="H47" s="1669">
        <f t="shared" si="4"/>
        <v>0</v>
      </c>
      <c r="I47" s="1669">
        <f t="shared" si="4"/>
        <v>0</v>
      </c>
      <c r="J47" s="1669">
        <f t="shared" si="4"/>
        <v>0</v>
      </c>
      <c r="K47" s="1669">
        <f t="shared" si="4"/>
        <v>84550</v>
      </c>
      <c r="L47" s="1669">
        <f>SUM(L44:L46)</f>
        <v>73245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13773</v>
      </c>
      <c r="D49" s="481">
        <v>1692</v>
      </c>
      <c r="E49" s="481">
        <v>19503</v>
      </c>
      <c r="F49" s="481">
        <v>2259</v>
      </c>
      <c r="G49" s="481"/>
      <c r="H49" s="481"/>
      <c r="I49" s="467"/>
      <c r="J49" s="467"/>
      <c r="K49" s="1671">
        <f>SUM(C49:J49)</f>
        <v>37227</v>
      </c>
      <c r="L49" s="481">
        <v>27700</v>
      </c>
    </row>
    <row r="50" spans="1:14" x14ac:dyDescent="0.2">
      <c r="A50" s="1504" t="s">
        <v>818</v>
      </c>
      <c r="B50" s="614">
        <v>2320</v>
      </c>
      <c r="C50" s="466">
        <v>80750</v>
      </c>
      <c r="D50" s="466">
        <v>19308</v>
      </c>
      <c r="E50" s="466">
        <v>7488</v>
      </c>
      <c r="F50" s="466">
        <v>40</v>
      </c>
      <c r="G50" s="466"/>
      <c r="H50" s="466"/>
      <c r="I50" s="467"/>
      <c r="J50" s="467"/>
      <c r="K50" s="1671">
        <f>SUM(C50:J50)</f>
        <v>107586</v>
      </c>
      <c r="L50" s="466">
        <v>107300</v>
      </c>
    </row>
    <row r="51" spans="1:14" x14ac:dyDescent="0.2">
      <c r="A51" s="1504" t="s">
        <v>42</v>
      </c>
      <c r="B51" s="614">
        <v>2330</v>
      </c>
      <c r="C51" s="466"/>
      <c r="D51" s="466"/>
      <c r="E51" s="466">
        <v>167</v>
      </c>
      <c r="F51" s="466"/>
      <c r="G51" s="466"/>
      <c r="H51" s="466"/>
      <c r="I51" s="467"/>
      <c r="J51" s="467"/>
      <c r="K51" s="1671">
        <f>SUM(C51:J51)</f>
        <v>167</v>
      </c>
      <c r="L51" s="466">
        <v>0</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94523</v>
      </c>
      <c r="D53" s="1669">
        <f t="shared" ref="D53:L53" si="5">SUM(D49:D52)</f>
        <v>21000</v>
      </c>
      <c r="E53" s="1669">
        <f t="shared" si="5"/>
        <v>27158</v>
      </c>
      <c r="F53" s="1669">
        <f t="shared" si="5"/>
        <v>2299</v>
      </c>
      <c r="G53" s="1669">
        <f t="shared" si="5"/>
        <v>0</v>
      </c>
      <c r="H53" s="1669">
        <f t="shared" si="5"/>
        <v>0</v>
      </c>
      <c r="I53" s="1669">
        <f t="shared" si="5"/>
        <v>0</v>
      </c>
      <c r="J53" s="1669">
        <f t="shared" si="5"/>
        <v>0</v>
      </c>
      <c r="K53" s="1669">
        <f t="shared" si="5"/>
        <v>144980</v>
      </c>
      <c r="L53" s="1669">
        <f t="shared" si="5"/>
        <v>135000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308013</v>
      </c>
      <c r="D55" s="481">
        <v>48120</v>
      </c>
      <c r="E55" s="481">
        <v>11915</v>
      </c>
      <c r="F55" s="481">
        <v>2207</v>
      </c>
      <c r="G55" s="481"/>
      <c r="H55" s="481"/>
      <c r="I55" s="467"/>
      <c r="J55" s="467"/>
      <c r="K55" s="1671">
        <f>SUM(C55:J55)</f>
        <v>370255</v>
      </c>
      <c r="L55" s="481">
        <v>399000</v>
      </c>
    </row>
    <row r="56" spans="1:14" ht="12.75" customHeight="1" x14ac:dyDescent="0.2">
      <c r="A56" s="1508"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308013</v>
      </c>
      <c r="D57" s="1673">
        <f t="shared" ref="D57:K57" si="6">SUM(D55:D56)</f>
        <v>48120</v>
      </c>
      <c r="E57" s="1673">
        <f t="shared" si="6"/>
        <v>11915</v>
      </c>
      <c r="F57" s="1673">
        <f t="shared" si="6"/>
        <v>2207</v>
      </c>
      <c r="G57" s="1673">
        <f t="shared" si="6"/>
        <v>0</v>
      </c>
      <c r="H57" s="1673">
        <f t="shared" si="6"/>
        <v>0</v>
      </c>
      <c r="I57" s="1673">
        <f t="shared" si="6"/>
        <v>0</v>
      </c>
      <c r="J57" s="1673">
        <f t="shared" si="6"/>
        <v>0</v>
      </c>
      <c r="K57" s="1673">
        <f t="shared" si="6"/>
        <v>370255</v>
      </c>
      <c r="L57" s="1669">
        <f>SUM(L55:L56)</f>
        <v>399000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4" t="s">
        <v>463</v>
      </c>
      <c r="B60" s="614">
        <v>2520</v>
      </c>
      <c r="C60" s="466">
        <v>67711</v>
      </c>
      <c r="D60" s="466">
        <v>105</v>
      </c>
      <c r="E60" s="466">
        <v>5350</v>
      </c>
      <c r="F60" s="466">
        <v>358</v>
      </c>
      <c r="G60" s="466"/>
      <c r="H60" s="466"/>
      <c r="I60" s="467"/>
      <c r="J60" s="467"/>
      <c r="K60" s="1671">
        <f t="shared" si="7"/>
        <v>73524</v>
      </c>
      <c r="L60" s="466">
        <v>80100</v>
      </c>
      <c r="M60" s="609"/>
      <c r="N60" s="609"/>
    </row>
    <row r="61" spans="1:14" s="343" customFormat="1" x14ac:dyDescent="0.2">
      <c r="A61" s="1504" t="s">
        <v>197</v>
      </c>
      <c r="B61" s="614">
        <v>2540</v>
      </c>
      <c r="C61" s="466">
        <v>254570</v>
      </c>
      <c r="D61" s="466">
        <v>40722</v>
      </c>
      <c r="E61" s="466">
        <v>23497</v>
      </c>
      <c r="F61" s="466"/>
      <c r="G61" s="466"/>
      <c r="H61" s="466"/>
      <c r="I61" s="467"/>
      <c r="J61" s="467"/>
      <c r="K61" s="1671">
        <f t="shared" si="7"/>
        <v>318789</v>
      </c>
      <c r="L61" s="466">
        <v>295000</v>
      </c>
      <c r="M61" s="609"/>
      <c r="N61" s="609"/>
    </row>
    <row r="62" spans="1:14" s="343" customFormat="1" x14ac:dyDescent="0.2">
      <c r="A62" s="1504" t="s">
        <v>953</v>
      </c>
      <c r="B62" s="614">
        <v>2550</v>
      </c>
      <c r="C62" s="466">
        <v>17509</v>
      </c>
      <c r="D62" s="466">
        <v>10136</v>
      </c>
      <c r="E62" s="466"/>
      <c r="F62" s="466"/>
      <c r="G62" s="466"/>
      <c r="H62" s="466"/>
      <c r="I62" s="467"/>
      <c r="J62" s="467"/>
      <c r="K62" s="1671">
        <f t="shared" si="7"/>
        <v>27645</v>
      </c>
      <c r="L62" s="466">
        <v>28000</v>
      </c>
      <c r="M62" s="609"/>
      <c r="N62" s="609"/>
    </row>
    <row r="63" spans="1:14" s="609" customFormat="1" x14ac:dyDescent="0.2">
      <c r="A63" s="1504" t="s">
        <v>100</v>
      </c>
      <c r="B63" s="614">
        <v>2560</v>
      </c>
      <c r="C63" s="466"/>
      <c r="D63" s="466"/>
      <c r="E63" s="466">
        <v>274530</v>
      </c>
      <c r="F63" s="466">
        <v>2943</v>
      </c>
      <c r="G63" s="466"/>
      <c r="H63" s="466"/>
      <c r="I63" s="467"/>
      <c r="J63" s="467"/>
      <c r="K63" s="1671">
        <f t="shared" si="7"/>
        <v>277473</v>
      </c>
      <c r="L63" s="466">
        <v>283500</v>
      </c>
    </row>
    <row r="64" spans="1:14" s="609" customFormat="1" x14ac:dyDescent="0.2">
      <c r="A64" s="1509"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339790</v>
      </c>
      <c r="D65" s="1669">
        <f t="shared" ref="D65:L65" si="8">SUM(D59:D64)</f>
        <v>50963</v>
      </c>
      <c r="E65" s="1669">
        <f t="shared" si="8"/>
        <v>303377</v>
      </c>
      <c r="F65" s="1669">
        <f t="shared" si="8"/>
        <v>3301</v>
      </c>
      <c r="G65" s="1669">
        <f t="shared" si="8"/>
        <v>0</v>
      </c>
      <c r="H65" s="1669">
        <f t="shared" si="8"/>
        <v>0</v>
      </c>
      <c r="I65" s="1669">
        <f t="shared" si="8"/>
        <v>0</v>
      </c>
      <c r="J65" s="1669">
        <f t="shared" si="8"/>
        <v>0</v>
      </c>
      <c r="K65" s="1669">
        <f t="shared" si="8"/>
        <v>697431</v>
      </c>
      <c r="L65" s="1669">
        <f t="shared" si="8"/>
        <v>686600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c r="F69" s="466"/>
      <c r="G69" s="466"/>
      <c r="H69" s="466"/>
      <c r="I69" s="467"/>
      <c r="J69" s="467"/>
      <c r="K69" s="1671">
        <f>SUM(C69:J69)</f>
        <v>0</v>
      </c>
      <c r="L69" s="466">
        <v>0</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v>0</v>
      </c>
      <c r="M73" s="609"/>
      <c r="N73" s="609"/>
    </row>
    <row r="74" spans="1:14" ht="12.75" customHeight="1" thickTop="1" thickBot="1" x14ac:dyDescent="0.25">
      <c r="A74" s="1667" t="s">
        <v>811</v>
      </c>
      <c r="B74" s="1675">
        <v>2000</v>
      </c>
      <c r="C74" s="1676">
        <f>SUM(C42,C47,C53,C57,C65,C72,C73)</f>
        <v>910476</v>
      </c>
      <c r="D74" s="1676">
        <f t="shared" ref="D74:K74" si="10">SUM(D42,D47,D53,D57,D65,D72,D73)</f>
        <v>162039</v>
      </c>
      <c r="E74" s="1676">
        <f t="shared" si="10"/>
        <v>408706</v>
      </c>
      <c r="F74" s="1676">
        <f t="shared" si="10"/>
        <v>16916</v>
      </c>
      <c r="G74" s="1676">
        <f t="shared" si="10"/>
        <v>3538</v>
      </c>
      <c r="H74" s="1676">
        <f t="shared" si="10"/>
        <v>0</v>
      </c>
      <c r="I74" s="1676">
        <f t="shared" si="10"/>
        <v>0</v>
      </c>
      <c r="J74" s="1676">
        <f t="shared" si="10"/>
        <v>0</v>
      </c>
      <c r="K74" s="1676">
        <f t="shared" si="10"/>
        <v>1501675</v>
      </c>
      <c r="L74" s="1676">
        <f>SUM(L42,L47,L53,L57,L65,L72,L73)</f>
        <v>1501670</v>
      </c>
    </row>
    <row r="75" spans="1:14" s="259" customFormat="1" ht="15.75" customHeight="1" thickTop="1" thickBot="1" x14ac:dyDescent="0.25">
      <c r="A75" s="1610" t="s">
        <v>47</v>
      </c>
      <c r="B75" s="1611" t="s">
        <v>575</v>
      </c>
      <c r="C75" s="573">
        <v>23821</v>
      </c>
      <c r="D75" s="573">
        <v>6252</v>
      </c>
      <c r="E75" s="573"/>
      <c r="F75" s="573"/>
      <c r="G75" s="573"/>
      <c r="H75" s="573"/>
      <c r="I75" s="531"/>
      <c r="J75" s="531"/>
      <c r="K75" s="1669">
        <f>SUM(C75:J75)</f>
        <v>30073</v>
      </c>
      <c r="L75" s="576">
        <v>30000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105554</v>
      </c>
      <c r="I78" s="477"/>
      <c r="J78" s="477"/>
      <c r="K78" s="1670">
        <f t="shared" ref="K78:K83" si="11">SUM(C78:J78)</f>
        <v>105554</v>
      </c>
      <c r="L78" s="481">
        <v>0</v>
      </c>
    </row>
    <row r="79" spans="1:14" x14ac:dyDescent="0.2">
      <c r="A79" s="1504" t="s">
        <v>304</v>
      </c>
      <c r="B79" s="614">
        <v>4120</v>
      </c>
      <c r="C79" s="616"/>
      <c r="D79" s="616"/>
      <c r="E79" s="466"/>
      <c r="F79" s="616"/>
      <c r="G79" s="616"/>
      <c r="H79" s="466"/>
      <c r="I79" s="477"/>
      <c r="J79" s="477"/>
      <c r="K79" s="1670">
        <f t="shared" si="11"/>
        <v>0</v>
      </c>
      <c r="L79" s="466">
        <v>105000</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v>0</v>
      </c>
    </row>
    <row r="83" spans="1:12" x14ac:dyDescent="0.2">
      <c r="A83" s="1508"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105554</v>
      </c>
      <c r="I84" s="477"/>
      <c r="J84" s="477"/>
      <c r="K84" s="1669">
        <f>SUM(K78:K83)</f>
        <v>105554</v>
      </c>
      <c r="L84" s="1669">
        <f>SUM(L78:L83)</f>
        <v>105000</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v>0</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105554</v>
      </c>
      <c r="I102" s="477"/>
      <c r="J102" s="477"/>
      <c r="K102" s="1676">
        <f>SUM(K84,K92,K100,K101)</f>
        <v>105554</v>
      </c>
      <c r="L102" s="1676">
        <f>SUM(L84,L92,L100,L101)</f>
        <v>105000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v>30000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30000</v>
      </c>
      <c r="M110" s="210"/>
      <c r="N110" s="210"/>
    </row>
    <row r="111" spans="1:14" s="597" customFormat="1" ht="12.75" customHeight="1" thickTop="1" thickBot="1" x14ac:dyDescent="0.25">
      <c r="A111" s="1514" t="s">
        <v>368</v>
      </c>
      <c r="B111" s="647" t="s">
        <v>38</v>
      </c>
      <c r="C111" s="616"/>
      <c r="D111" s="616"/>
      <c r="E111" s="616"/>
      <c r="F111" s="616"/>
      <c r="G111" s="616"/>
      <c r="H111" s="535">
        <v>27887</v>
      </c>
      <c r="I111" s="468"/>
      <c r="J111" s="468"/>
      <c r="K111" s="1682">
        <f>H111</f>
        <v>27887</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27887</v>
      </c>
      <c r="I112" s="468"/>
      <c r="J112" s="468"/>
      <c r="K112" s="1669">
        <f>SUM(K110:K111)</f>
        <v>27887</v>
      </c>
      <c r="L112" s="1676">
        <f>SUM(L110,L111)</f>
        <v>30000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3659492</v>
      </c>
      <c r="D114" s="1669">
        <f t="shared" ref="D114:K114" si="13">SUM(D33,D74,D75,D102,D112,D113)</f>
        <v>742543</v>
      </c>
      <c r="E114" s="1669">
        <f t="shared" si="13"/>
        <v>460019</v>
      </c>
      <c r="F114" s="1669">
        <f t="shared" si="13"/>
        <v>213732</v>
      </c>
      <c r="G114" s="1669">
        <f t="shared" si="13"/>
        <v>16522</v>
      </c>
      <c r="H114" s="1669">
        <f>SUM(H33,H74,H75,H102,H112,H113)</f>
        <v>208298</v>
      </c>
      <c r="I114" s="1669">
        <f t="shared" si="13"/>
        <v>0</v>
      </c>
      <c r="J114" s="1669">
        <f t="shared" si="13"/>
        <v>0</v>
      </c>
      <c r="K114" s="1669">
        <f t="shared" si="13"/>
        <v>5300606</v>
      </c>
      <c r="L114" s="1669">
        <f>SUM(L33,L74,L75,L102,L112,L113)</f>
        <v>5324017</v>
      </c>
    </row>
    <row r="115" spans="1:14" ht="13.5" thickTop="1" x14ac:dyDescent="0.2">
      <c r="A115" s="2179" t="s">
        <v>996</v>
      </c>
      <c r="B115" s="2180"/>
      <c r="C115" s="618"/>
      <c r="D115" s="618"/>
      <c r="E115" s="618"/>
      <c r="F115" s="618"/>
      <c r="G115" s="618"/>
      <c r="H115" s="618"/>
      <c r="I115" s="618"/>
      <c r="J115" s="618"/>
      <c r="K115" s="1683">
        <f>'Revenues 9-14'!C268-'Expenditures 15-22'!K114</f>
        <v>-103283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c r="H123" s="466"/>
      <c r="I123" s="467"/>
      <c r="J123" s="467"/>
      <c r="K123" s="1669">
        <f>SUM(C123:J123)</f>
        <v>0</v>
      </c>
      <c r="L123" s="466">
        <v>0</v>
      </c>
    </row>
    <row r="124" spans="1:14" ht="14.25" thickTop="1" thickBot="1" x14ac:dyDescent="0.25">
      <c r="A124" s="1504" t="s">
        <v>197</v>
      </c>
      <c r="B124" s="614">
        <v>2540</v>
      </c>
      <c r="C124" s="466"/>
      <c r="D124" s="466"/>
      <c r="E124" s="466">
        <v>223950</v>
      </c>
      <c r="F124" s="466">
        <v>25750</v>
      </c>
      <c r="G124" s="466">
        <v>21996</v>
      </c>
      <c r="H124" s="466"/>
      <c r="I124" s="467"/>
      <c r="J124" s="467"/>
      <c r="K124" s="1669">
        <f>SUM(C124:J124)</f>
        <v>271696</v>
      </c>
      <c r="L124" s="466">
        <v>282000</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0</v>
      </c>
      <c r="D127" s="1669">
        <f t="shared" ref="D127:L127" si="14">SUM(D122:D126)</f>
        <v>0</v>
      </c>
      <c r="E127" s="1669">
        <f t="shared" si="14"/>
        <v>223950</v>
      </c>
      <c r="F127" s="1669">
        <f t="shared" si="14"/>
        <v>25750</v>
      </c>
      <c r="G127" s="1669">
        <f t="shared" si="14"/>
        <v>21996</v>
      </c>
      <c r="H127" s="1669">
        <f t="shared" si="14"/>
        <v>0</v>
      </c>
      <c r="I127" s="1669">
        <f t="shared" si="14"/>
        <v>0</v>
      </c>
      <c r="J127" s="1669">
        <f t="shared" si="14"/>
        <v>0</v>
      </c>
      <c r="K127" s="1669">
        <f t="shared" si="14"/>
        <v>271696</v>
      </c>
      <c r="L127" s="1669">
        <f t="shared" si="14"/>
        <v>282000</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0</v>
      </c>
      <c r="D129" s="1676">
        <f t="shared" ref="D129:L129" si="15">SUM(D120,D127,D128)</f>
        <v>0</v>
      </c>
      <c r="E129" s="1676">
        <f t="shared" si="15"/>
        <v>223950</v>
      </c>
      <c r="F129" s="1676">
        <f t="shared" si="15"/>
        <v>25750</v>
      </c>
      <c r="G129" s="1676">
        <f t="shared" si="15"/>
        <v>21996</v>
      </c>
      <c r="H129" s="1676">
        <f t="shared" si="15"/>
        <v>0</v>
      </c>
      <c r="I129" s="1676">
        <f t="shared" si="15"/>
        <v>0</v>
      </c>
      <c r="J129" s="1676">
        <f t="shared" si="15"/>
        <v>0</v>
      </c>
      <c r="K129" s="1676">
        <f t="shared" si="15"/>
        <v>271696</v>
      </c>
      <c r="L129" s="1676">
        <f t="shared" si="15"/>
        <v>282000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69" t="s">
        <v>620</v>
      </c>
      <c r="B151" s="2151"/>
      <c r="C151" s="1669">
        <f>SUM(C129,C130,C139,C149,C150)</f>
        <v>0</v>
      </c>
      <c r="D151" s="1669">
        <f t="shared" ref="D151:K151" si="16">SUM(D129,D130,D139,D149,D150)</f>
        <v>0</v>
      </c>
      <c r="E151" s="1669">
        <f t="shared" si="16"/>
        <v>223950</v>
      </c>
      <c r="F151" s="1669">
        <f t="shared" si="16"/>
        <v>25750</v>
      </c>
      <c r="G151" s="1669">
        <f t="shared" si="16"/>
        <v>21996</v>
      </c>
      <c r="H151" s="1669">
        <f t="shared" si="16"/>
        <v>0</v>
      </c>
      <c r="I151" s="1669">
        <f t="shared" si="16"/>
        <v>0</v>
      </c>
      <c r="J151" s="1669">
        <f t="shared" si="16"/>
        <v>0</v>
      </c>
      <c r="K151" s="1669">
        <f t="shared" si="16"/>
        <v>271696</v>
      </c>
      <c r="L151" s="1669">
        <f>SUM(L129,L130,L139,L149,L150)</f>
        <v>282000</v>
      </c>
    </row>
    <row r="152" spans="1:14" ht="12.75" customHeight="1" thickTop="1" x14ac:dyDescent="0.2">
      <c r="A152" s="2172" t="s">
        <v>1178</v>
      </c>
      <c r="B152" s="2173"/>
      <c r="C152" s="618"/>
      <c r="D152" s="618"/>
      <c r="E152" s="618"/>
      <c r="F152" s="618"/>
      <c r="G152" s="618"/>
      <c r="H152" s="618"/>
      <c r="I152" s="618"/>
      <c r="J152" s="616"/>
      <c r="K152" s="1683">
        <f>'Revenues 9-14'!D268-'Expenditures 15-22'!K151</f>
        <v>-63440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v>0</v>
      </c>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0</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122313</v>
      </c>
      <c r="I169" s="616"/>
      <c r="J169" s="616"/>
      <c r="K169" s="1670">
        <f>SUM(C169:H169)</f>
        <v>122313</v>
      </c>
      <c r="L169" s="656">
        <v>123000</v>
      </c>
    </row>
    <row r="170" spans="1:14" ht="33.75" customHeight="1" x14ac:dyDescent="0.2">
      <c r="A170" s="669" t="s">
        <v>1670</v>
      </c>
      <c r="B170" s="671" t="s">
        <v>31</v>
      </c>
      <c r="C170" s="616"/>
      <c r="D170" s="616"/>
      <c r="E170" s="616"/>
      <c r="F170" s="616"/>
      <c r="G170" s="616"/>
      <c r="H170" s="569">
        <v>212250</v>
      </c>
      <c r="I170" s="616"/>
      <c r="J170" s="616"/>
      <c r="K170" s="1670">
        <f>SUM(C170:J170)</f>
        <v>212250</v>
      </c>
      <c r="L170" s="569">
        <v>212250</v>
      </c>
    </row>
    <row r="171" spans="1:14" ht="15.75" customHeight="1" x14ac:dyDescent="0.2">
      <c r="A171" s="621" t="s">
        <v>766</v>
      </c>
      <c r="B171" s="672" t="s">
        <v>84</v>
      </c>
      <c r="C171" s="616"/>
      <c r="D171" s="616"/>
      <c r="E171" s="466"/>
      <c r="F171" s="616"/>
      <c r="G171" s="616"/>
      <c r="H171" s="569">
        <v>800</v>
      </c>
      <c r="I171" s="477"/>
      <c r="J171" s="616"/>
      <c r="K171" s="1670">
        <f>SUM(C171:J171)</f>
        <v>800</v>
      </c>
      <c r="L171" s="569">
        <v>1300</v>
      </c>
    </row>
    <row r="172" spans="1:14" ht="12.75" customHeight="1" thickBot="1" x14ac:dyDescent="0.25">
      <c r="A172" s="1667" t="s">
        <v>638</v>
      </c>
      <c r="B172" s="1668" t="s">
        <v>492</v>
      </c>
      <c r="C172" s="616"/>
      <c r="D172" s="616"/>
      <c r="E172" s="1676">
        <f>SUM(E168,E169,E170,E171)</f>
        <v>0</v>
      </c>
      <c r="F172" s="616"/>
      <c r="G172" s="616"/>
      <c r="H172" s="1676">
        <f>SUM(H168,H169,H170,H171)</f>
        <v>335363</v>
      </c>
      <c r="I172" s="638"/>
      <c r="J172" s="616"/>
      <c r="K172" s="1676">
        <f>SUM(K168,K169,K170,K171)</f>
        <v>335363</v>
      </c>
      <c r="L172" s="1676">
        <f>SUM(L168,L169,L170,L171)</f>
        <v>336550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335363</v>
      </c>
      <c r="I174" s="638"/>
      <c r="J174" s="616"/>
      <c r="K174" s="1676">
        <f>SUM(K160,K172,K173)</f>
        <v>335363</v>
      </c>
      <c r="L174" s="1676">
        <f>SUM(L160,L172,L173)</f>
        <v>336550</v>
      </c>
    </row>
    <row r="175" spans="1:14" ht="13.5" thickTop="1" x14ac:dyDescent="0.2">
      <c r="A175" s="2179" t="s">
        <v>996</v>
      </c>
      <c r="B175" s="2180"/>
      <c r="C175" s="616"/>
      <c r="D175" s="616"/>
      <c r="E175" s="616"/>
      <c r="F175" s="616"/>
      <c r="G175" s="616"/>
      <c r="H175" s="618"/>
      <c r="I175" s="616"/>
      <c r="J175" s="616"/>
      <c r="K175" s="1683">
        <f>'Revenues 9-14'!E268-'Expenditures 15-22'!K174</f>
        <v>1245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123920</v>
      </c>
      <c r="D182" s="466">
        <v>36951</v>
      </c>
      <c r="E182" s="466">
        <v>19877</v>
      </c>
      <c r="F182" s="466">
        <v>45010</v>
      </c>
      <c r="G182" s="466"/>
      <c r="H182" s="466"/>
      <c r="I182" s="467"/>
      <c r="J182" s="467"/>
      <c r="K182" s="1670">
        <f>SUM(C182:J182)</f>
        <v>225758</v>
      </c>
      <c r="L182" s="466">
        <v>234000</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123920</v>
      </c>
      <c r="D184" s="1676">
        <f t="shared" ref="D184:J184" si="17">SUM(D180,D182,D183)</f>
        <v>36951</v>
      </c>
      <c r="E184" s="1676">
        <f t="shared" si="17"/>
        <v>19877</v>
      </c>
      <c r="F184" s="1676">
        <f t="shared" si="17"/>
        <v>45010</v>
      </c>
      <c r="G184" s="1676">
        <f t="shared" si="17"/>
        <v>0</v>
      </c>
      <c r="H184" s="1676">
        <f t="shared" si="17"/>
        <v>0</v>
      </c>
      <c r="I184" s="1676">
        <f t="shared" si="17"/>
        <v>0</v>
      </c>
      <c r="J184" s="1676">
        <f t="shared" si="17"/>
        <v>0</v>
      </c>
      <c r="K184" s="1676">
        <f>SUM(K180,K182,K183)</f>
        <v>225758</v>
      </c>
      <c r="L184" s="1676">
        <f>SUM(L180, L182:L183)</f>
        <v>234000</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2001</v>
      </c>
      <c r="I205" s="616"/>
      <c r="J205" s="616"/>
      <c r="K205" s="1684">
        <f>SUM(H205)</f>
        <v>2001</v>
      </c>
      <c r="L205" s="535">
        <v>0</v>
      </c>
    </row>
    <row r="206" spans="1:14" ht="30" customHeight="1" x14ac:dyDescent="0.2">
      <c r="A206" s="681" t="s">
        <v>1671</v>
      </c>
      <c r="B206" s="672" t="s">
        <v>31</v>
      </c>
      <c r="C206" s="616"/>
      <c r="D206" s="616"/>
      <c r="E206" s="616"/>
      <c r="F206" s="616"/>
      <c r="G206" s="616"/>
      <c r="H206" s="466">
        <v>39756</v>
      </c>
      <c r="I206" s="616"/>
      <c r="J206" s="616"/>
      <c r="K206" s="1670">
        <f>SUM(H206)</f>
        <v>39756</v>
      </c>
      <c r="L206" s="466">
        <v>0</v>
      </c>
    </row>
    <row r="207" spans="1:14" ht="15.75" customHeight="1" x14ac:dyDescent="0.2">
      <c r="A207" s="621" t="s">
        <v>766</v>
      </c>
      <c r="B207" s="672" t="s">
        <v>84</v>
      </c>
      <c r="C207" s="616"/>
      <c r="D207" s="616"/>
      <c r="E207" s="616"/>
      <c r="F207" s="616"/>
      <c r="G207" s="616"/>
      <c r="H207" s="467"/>
      <c r="I207" s="616"/>
      <c r="J207" s="616"/>
      <c r="K207" s="1670">
        <f>H207</f>
        <v>0</v>
      </c>
      <c r="L207" s="466">
        <v>41800</v>
      </c>
    </row>
    <row r="208" spans="1:14" ht="12.75" customHeight="1" thickBot="1" x14ac:dyDescent="0.25">
      <c r="A208" s="1685" t="s">
        <v>638</v>
      </c>
      <c r="B208" s="1686" t="s">
        <v>492</v>
      </c>
      <c r="C208" s="616"/>
      <c r="D208" s="616"/>
      <c r="E208" s="616"/>
      <c r="F208" s="616"/>
      <c r="G208" s="616"/>
      <c r="H208" s="1676">
        <f>SUM(H204,H205,H206,H207)</f>
        <v>41757</v>
      </c>
      <c r="I208" s="616"/>
      <c r="J208" s="616"/>
      <c r="K208" s="1676">
        <f>SUM(K204,K205,K206,K207)</f>
        <v>41757</v>
      </c>
      <c r="L208" s="1676">
        <f>SUM(L204,L205,L206,L207)</f>
        <v>41800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123920</v>
      </c>
      <c r="D210" s="1669">
        <f>SUM(D184,D185)</f>
        <v>36951</v>
      </c>
      <c r="E210" s="1669">
        <f>SUM(E184,E185,E196)</f>
        <v>19877</v>
      </c>
      <c r="F210" s="1669">
        <f>SUM(F184,F185)</f>
        <v>45010</v>
      </c>
      <c r="G210" s="1669">
        <f>SUM(G184,G185)</f>
        <v>0</v>
      </c>
      <c r="H210" s="1669">
        <f>SUM(H184,H185,H196,H208,H209)</f>
        <v>41757</v>
      </c>
      <c r="I210" s="1669">
        <f>SUM(I184,I185)</f>
        <v>0</v>
      </c>
      <c r="J210" s="1669">
        <f>SUM(J184,J185)</f>
        <v>0</v>
      </c>
      <c r="K210" s="1670">
        <f>SUM(K184,K185,K196,K208,K209)</f>
        <v>267515</v>
      </c>
      <c r="L210" s="1669">
        <f>SUM(L184,L185,L196,L208,L209)</f>
        <v>275800</v>
      </c>
    </row>
    <row r="211" spans="1:14" ht="13.5" thickTop="1" x14ac:dyDescent="0.2">
      <c r="A211" s="2179" t="s">
        <v>996</v>
      </c>
      <c r="B211" s="2180"/>
      <c r="C211" s="618"/>
      <c r="D211" s="618"/>
      <c r="E211" s="618"/>
      <c r="F211" s="618"/>
      <c r="G211" s="618"/>
      <c r="H211" s="618"/>
      <c r="I211" s="616"/>
      <c r="J211" s="616"/>
      <c r="K211" s="1683">
        <f>'Revenues 9-14'!F268-'Expenditures 15-22'!K210</f>
        <v>852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49284</v>
      </c>
      <c r="E215" s="616"/>
      <c r="F215" s="616"/>
      <c r="G215" s="616"/>
      <c r="H215" s="616"/>
      <c r="I215" s="616"/>
      <c r="J215" s="616"/>
      <c r="K215" s="1670">
        <f>D215</f>
        <v>49284</v>
      </c>
      <c r="L215" s="466">
        <v>51000</v>
      </c>
    </row>
    <row r="216" spans="1:14" x14ac:dyDescent="0.2">
      <c r="A216" s="1504" t="s">
        <v>163</v>
      </c>
      <c r="B216" s="614" t="s">
        <v>967</v>
      </c>
      <c r="C216" s="616"/>
      <c r="D216" s="467"/>
      <c r="E216" s="616"/>
      <c r="F216" s="616"/>
      <c r="G216" s="616"/>
      <c r="H216" s="616"/>
      <c r="I216" s="616"/>
      <c r="J216" s="616"/>
      <c r="K216" s="1670">
        <f t="shared" ref="K216:K228" si="19">D216</f>
        <v>0</v>
      </c>
      <c r="L216" s="466">
        <v>0</v>
      </c>
    </row>
    <row r="217" spans="1:14" x14ac:dyDescent="0.2">
      <c r="A217" s="1504" t="s">
        <v>164</v>
      </c>
      <c r="B217" s="614">
        <v>1200</v>
      </c>
      <c r="C217" s="616"/>
      <c r="D217" s="466">
        <v>56454</v>
      </c>
      <c r="E217" s="616"/>
      <c r="F217" s="616"/>
      <c r="G217" s="616"/>
      <c r="H217" s="616"/>
      <c r="I217" s="616"/>
      <c r="J217" s="616"/>
      <c r="K217" s="1670">
        <f t="shared" si="19"/>
        <v>56454</v>
      </c>
      <c r="L217" s="466">
        <v>58000</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v>12938</v>
      </c>
      <c r="E219" s="616"/>
      <c r="F219" s="616"/>
      <c r="G219" s="616"/>
      <c r="H219" s="616"/>
      <c r="I219" s="616"/>
      <c r="J219" s="616"/>
      <c r="K219" s="1670">
        <f t="shared" si="19"/>
        <v>12938</v>
      </c>
      <c r="L219" s="466">
        <v>13000</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c r="E222" s="616"/>
      <c r="F222" s="616"/>
      <c r="G222" s="616"/>
      <c r="H222" s="616"/>
      <c r="I222" s="616"/>
      <c r="J222" s="616"/>
      <c r="K222" s="1670">
        <f t="shared" si="19"/>
        <v>0</v>
      </c>
      <c r="L222" s="466">
        <v>0</v>
      </c>
    </row>
    <row r="223" spans="1:14" x14ac:dyDescent="0.2">
      <c r="A223" s="1504" t="s">
        <v>963</v>
      </c>
      <c r="B223" s="614">
        <v>1500</v>
      </c>
      <c r="C223" s="616"/>
      <c r="D223" s="466">
        <v>1422</v>
      </c>
      <c r="E223" s="616"/>
      <c r="F223" s="616"/>
      <c r="G223" s="616"/>
      <c r="H223" s="616"/>
      <c r="I223" s="616"/>
      <c r="J223" s="616"/>
      <c r="K223" s="1670">
        <f t="shared" si="19"/>
        <v>1422</v>
      </c>
      <c r="L223" s="466">
        <v>1550</v>
      </c>
    </row>
    <row r="224" spans="1:14" x14ac:dyDescent="0.2">
      <c r="A224" s="1504" t="s">
        <v>964</v>
      </c>
      <c r="B224" s="614">
        <v>1600</v>
      </c>
      <c r="C224" s="616"/>
      <c r="D224" s="466"/>
      <c r="E224" s="616"/>
      <c r="F224" s="616"/>
      <c r="G224" s="616"/>
      <c r="H224" s="616"/>
      <c r="I224" s="616"/>
      <c r="J224" s="616"/>
      <c r="K224" s="1670">
        <f t="shared" si="19"/>
        <v>0</v>
      </c>
      <c r="L224" s="466">
        <v>0</v>
      </c>
    </row>
    <row r="225" spans="1:12" x14ac:dyDescent="0.2">
      <c r="A225" s="1504" t="s">
        <v>987</v>
      </c>
      <c r="B225" s="614">
        <v>1650</v>
      </c>
      <c r="C225" s="616"/>
      <c r="D225" s="466">
        <v>81</v>
      </c>
      <c r="E225" s="616"/>
      <c r="F225" s="616"/>
      <c r="G225" s="616"/>
      <c r="H225" s="616"/>
      <c r="I225" s="616"/>
      <c r="J225" s="616"/>
      <c r="K225" s="1670">
        <f t="shared" si="19"/>
        <v>81</v>
      </c>
      <c r="L225" s="466">
        <v>100</v>
      </c>
    </row>
    <row r="226" spans="1:12" x14ac:dyDescent="0.2">
      <c r="A226" s="1504" t="s">
        <v>724</v>
      </c>
      <c r="B226" s="614" t="s">
        <v>162</v>
      </c>
      <c r="C226" s="616"/>
      <c r="D226" s="467"/>
      <c r="E226" s="616"/>
      <c r="F226" s="616"/>
      <c r="G226" s="616"/>
      <c r="H226" s="616"/>
      <c r="I226" s="616"/>
      <c r="J226" s="616"/>
      <c r="K226" s="1670">
        <f t="shared" si="19"/>
        <v>0</v>
      </c>
      <c r="L226" s="466">
        <v>0</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120179</v>
      </c>
      <c r="E229" s="616"/>
      <c r="F229" s="616"/>
      <c r="G229" s="616"/>
      <c r="H229" s="616"/>
      <c r="I229" s="616"/>
      <c r="J229" s="616"/>
      <c r="K229" s="1669">
        <f>SUM(K215:K228)</f>
        <v>120179</v>
      </c>
      <c r="L229" s="1669">
        <f>SUM(L215:L228)</f>
        <v>123650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v>0</v>
      </c>
    </row>
    <row r="233" spans="1:12" x14ac:dyDescent="0.2">
      <c r="A233" s="1504" t="s">
        <v>1090</v>
      </c>
      <c r="B233" s="614">
        <v>2120</v>
      </c>
      <c r="C233" s="616"/>
      <c r="D233" s="466">
        <v>148</v>
      </c>
      <c r="E233" s="616"/>
      <c r="F233" s="616"/>
      <c r="G233" s="616"/>
      <c r="H233" s="616"/>
      <c r="I233" s="616"/>
      <c r="J233" s="616"/>
      <c r="K233" s="1670">
        <f t="shared" si="20"/>
        <v>148</v>
      </c>
      <c r="L233" s="466">
        <v>200</v>
      </c>
    </row>
    <row r="234" spans="1:12" x14ac:dyDescent="0.2">
      <c r="A234" s="1504" t="s">
        <v>198</v>
      </c>
      <c r="B234" s="614">
        <v>2130</v>
      </c>
      <c r="C234" s="616"/>
      <c r="D234" s="466">
        <v>3630</v>
      </c>
      <c r="E234" s="616"/>
      <c r="F234" s="616"/>
      <c r="G234" s="616"/>
      <c r="H234" s="616"/>
      <c r="I234" s="616"/>
      <c r="J234" s="616"/>
      <c r="K234" s="1670">
        <f t="shared" si="20"/>
        <v>3630</v>
      </c>
      <c r="L234" s="466">
        <v>4100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v>1423</v>
      </c>
      <c r="E236" s="616"/>
      <c r="F236" s="616"/>
      <c r="G236" s="616"/>
      <c r="H236" s="616"/>
      <c r="I236" s="616"/>
      <c r="J236" s="616"/>
      <c r="K236" s="1670">
        <f t="shared" si="20"/>
        <v>1423</v>
      </c>
      <c r="L236" s="466">
        <v>1500</v>
      </c>
    </row>
    <row r="237" spans="1:12" x14ac:dyDescent="0.2">
      <c r="A237" s="1504"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5201</v>
      </c>
      <c r="E238" s="616"/>
      <c r="F238" s="616"/>
      <c r="G238" s="616"/>
      <c r="H238" s="616"/>
      <c r="I238" s="616"/>
      <c r="J238" s="616"/>
      <c r="K238" s="1669">
        <f>SUM(K232:K237)</f>
        <v>5201</v>
      </c>
      <c r="L238" s="1669">
        <f>SUM(L232:L237)</f>
        <v>5800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258</v>
      </c>
      <c r="E240" s="616"/>
      <c r="F240" s="616"/>
      <c r="G240" s="616"/>
      <c r="H240" s="616"/>
      <c r="I240" s="616"/>
      <c r="J240" s="616"/>
      <c r="K240" s="1671">
        <f>D240</f>
        <v>258</v>
      </c>
      <c r="L240" s="481">
        <v>400</v>
      </c>
    </row>
    <row r="241" spans="1:12" x14ac:dyDescent="0.2">
      <c r="A241" s="1504" t="s">
        <v>815</v>
      </c>
      <c r="B241" s="614">
        <v>2220</v>
      </c>
      <c r="C241" s="616"/>
      <c r="D241" s="466"/>
      <c r="E241" s="616"/>
      <c r="F241" s="616"/>
      <c r="G241" s="616"/>
      <c r="H241" s="616"/>
      <c r="I241" s="616"/>
      <c r="J241" s="616"/>
      <c r="K241" s="1671">
        <f>D241</f>
        <v>0</v>
      </c>
      <c r="L241" s="466">
        <v>0</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258</v>
      </c>
      <c r="E243" s="616"/>
      <c r="F243" s="616"/>
      <c r="G243" s="616"/>
      <c r="H243" s="616"/>
      <c r="I243" s="616"/>
      <c r="J243" s="616"/>
      <c r="K243" s="1669">
        <f>SUM(K240:K242)</f>
        <v>258</v>
      </c>
      <c r="L243" s="1669">
        <f>SUM(L240:L242)</f>
        <v>400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2550</v>
      </c>
      <c r="E245" s="616"/>
      <c r="F245" s="616"/>
      <c r="G245" s="616"/>
      <c r="H245" s="616"/>
      <c r="I245" s="616"/>
      <c r="J245" s="616"/>
      <c r="K245" s="1671">
        <f>D245</f>
        <v>2550</v>
      </c>
      <c r="L245" s="481">
        <v>215</v>
      </c>
    </row>
    <row r="246" spans="1:12" x14ac:dyDescent="0.2">
      <c r="A246" s="1504" t="s">
        <v>818</v>
      </c>
      <c r="B246" s="614">
        <v>2320</v>
      </c>
      <c r="C246" s="616"/>
      <c r="D246" s="466">
        <v>1214</v>
      </c>
      <c r="E246" s="616"/>
      <c r="F246" s="616"/>
      <c r="G246" s="616"/>
      <c r="H246" s="616"/>
      <c r="I246" s="616"/>
      <c r="J246" s="616"/>
      <c r="K246" s="1671">
        <f t="shared" ref="K246:K256" si="21">D246</f>
        <v>1214</v>
      </c>
      <c r="L246" s="466">
        <v>1400</v>
      </c>
    </row>
    <row r="247" spans="1:12" x14ac:dyDescent="0.2">
      <c r="A247" s="1504" t="s">
        <v>819</v>
      </c>
      <c r="B247" s="614">
        <v>2330</v>
      </c>
      <c r="C247" s="616"/>
      <c r="D247" s="466"/>
      <c r="E247" s="616"/>
      <c r="F247" s="616"/>
      <c r="G247" s="616"/>
      <c r="H247" s="616"/>
      <c r="I247" s="616"/>
      <c r="J247" s="616"/>
      <c r="K247" s="1671">
        <f t="shared" si="21"/>
        <v>0</v>
      </c>
      <c r="L247" s="466">
        <v>0</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1805</v>
      </c>
      <c r="B249" s="683" t="s">
        <v>282</v>
      </c>
      <c r="C249" s="616"/>
      <c r="D249" s="474"/>
      <c r="E249" s="616"/>
      <c r="F249" s="616"/>
      <c r="G249" s="616"/>
      <c r="H249" s="616"/>
      <c r="I249" s="616"/>
      <c r="J249" s="616"/>
      <c r="K249" s="1671">
        <f t="shared" si="21"/>
        <v>0</v>
      </c>
      <c r="L249" s="466">
        <v>0</v>
      </c>
    </row>
    <row r="250" spans="1:12" x14ac:dyDescent="0.2">
      <c r="A250" s="1505" t="s">
        <v>1806</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3764</v>
      </c>
      <c r="E257" s="616"/>
      <c r="F257" s="616"/>
      <c r="G257" s="616"/>
      <c r="H257" s="616"/>
      <c r="I257" s="616"/>
      <c r="J257" s="616"/>
      <c r="K257" s="1669">
        <f>SUM(K245:K256)</f>
        <v>3764</v>
      </c>
      <c r="L257" s="1669">
        <f>SUM(L245:L256)</f>
        <v>1615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20179</v>
      </c>
      <c r="E259" s="616"/>
      <c r="F259" s="616"/>
      <c r="G259" s="616"/>
      <c r="H259" s="616"/>
      <c r="I259" s="616"/>
      <c r="J259" s="616"/>
      <c r="K259" s="1671">
        <f>D259</f>
        <v>20179</v>
      </c>
      <c r="L259" s="481">
        <v>23500</v>
      </c>
    </row>
    <row r="260" spans="1:14" s="597" customFormat="1" x14ac:dyDescent="0.2">
      <c r="A260" s="1522"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20179</v>
      </c>
      <c r="E261" s="616"/>
      <c r="F261" s="616"/>
      <c r="G261" s="616"/>
      <c r="H261" s="616"/>
      <c r="I261" s="616"/>
      <c r="J261" s="616"/>
      <c r="K261" s="1669">
        <f>SUM(K259:K260)</f>
        <v>20179</v>
      </c>
      <c r="L261" s="1669">
        <f>SUM(L259:L260)</f>
        <v>23500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v>12667</v>
      </c>
      <c r="E264" s="616"/>
      <c r="F264" s="616"/>
      <c r="G264" s="616"/>
      <c r="H264" s="616"/>
      <c r="I264" s="616"/>
      <c r="J264" s="616"/>
      <c r="K264" s="1671">
        <f t="shared" ref="K264:K269" si="22">D264</f>
        <v>12667</v>
      </c>
      <c r="L264" s="466">
        <v>13000</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v>44525</v>
      </c>
      <c r="E266" s="616"/>
      <c r="F266" s="616"/>
      <c r="G266" s="616"/>
      <c r="H266" s="616"/>
      <c r="I266" s="616"/>
      <c r="J266" s="616"/>
      <c r="K266" s="1671">
        <f t="shared" si="22"/>
        <v>44525</v>
      </c>
      <c r="L266" s="466">
        <v>46000</v>
      </c>
    </row>
    <row r="267" spans="1:14" x14ac:dyDescent="0.2">
      <c r="A267" s="1504" t="s">
        <v>953</v>
      </c>
      <c r="B267" s="614">
        <v>2550</v>
      </c>
      <c r="C267" s="616"/>
      <c r="D267" s="466">
        <v>24904</v>
      </c>
      <c r="E267" s="616"/>
      <c r="F267" s="616"/>
      <c r="G267" s="616"/>
      <c r="H267" s="616"/>
      <c r="I267" s="616"/>
      <c r="J267" s="616"/>
      <c r="K267" s="1671">
        <f t="shared" si="22"/>
        <v>24904</v>
      </c>
      <c r="L267" s="466">
        <v>26000</v>
      </c>
    </row>
    <row r="268" spans="1:14" x14ac:dyDescent="0.2">
      <c r="A268" s="1504" t="s">
        <v>100</v>
      </c>
      <c r="B268" s="614">
        <v>2560</v>
      </c>
      <c r="C268" s="616"/>
      <c r="D268" s="466"/>
      <c r="E268" s="616"/>
      <c r="F268" s="616"/>
      <c r="G268" s="616"/>
      <c r="H268" s="616"/>
      <c r="I268" s="616"/>
      <c r="J268" s="616"/>
      <c r="K268" s="1671">
        <f t="shared" si="22"/>
        <v>0</v>
      </c>
      <c r="L268" s="466">
        <v>0</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82096</v>
      </c>
      <c r="E270" s="616"/>
      <c r="F270" s="616"/>
      <c r="G270" s="616"/>
      <c r="H270" s="616"/>
      <c r="I270" s="616"/>
      <c r="J270" s="616"/>
      <c r="K270" s="1669">
        <f>SUM(K263:K269)</f>
        <v>82096</v>
      </c>
      <c r="L270" s="1669">
        <f>SUM(L263:L269)</f>
        <v>85000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111498</v>
      </c>
      <c r="E279" s="616"/>
      <c r="F279" s="616"/>
      <c r="G279" s="616"/>
      <c r="H279" s="616"/>
      <c r="I279" s="616"/>
      <c r="J279" s="616"/>
      <c r="K279" s="1676">
        <f>SUM(K238,K243,K257,K261,K270,K277,K278)</f>
        <v>111498</v>
      </c>
      <c r="L279" s="1676">
        <f>SUM(L238,L243,L257,L261,L270,L277,L278)</f>
        <v>116315</v>
      </c>
    </row>
    <row r="280" spans="1:12" ht="15.75" customHeight="1" thickTop="1" thickBot="1" x14ac:dyDescent="0.25">
      <c r="A280" s="1624" t="s">
        <v>875</v>
      </c>
      <c r="B280" s="1613">
        <v>3000</v>
      </c>
      <c r="C280" s="616"/>
      <c r="D280" s="576">
        <v>332</v>
      </c>
      <c r="E280" s="616"/>
      <c r="F280" s="616"/>
      <c r="G280" s="616"/>
      <c r="H280" s="616"/>
      <c r="I280" s="616"/>
      <c r="J280" s="616"/>
      <c r="K280" s="1678">
        <f>D280</f>
        <v>332</v>
      </c>
      <c r="L280" s="576">
        <v>350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0" t="s">
        <v>505</v>
      </c>
      <c r="B295" s="2171"/>
      <c r="C295" s="616"/>
      <c r="D295" s="1669">
        <f>SUM(D229,D279,D280,D285)</f>
        <v>232009</v>
      </c>
      <c r="E295" s="616"/>
      <c r="F295" s="616"/>
      <c r="G295" s="616"/>
      <c r="H295" s="1669">
        <f>H293</f>
        <v>0</v>
      </c>
      <c r="I295" s="616"/>
      <c r="J295" s="616"/>
      <c r="K295" s="1669">
        <f>SUM(K229,K279,K280,K285,K293,K294)</f>
        <v>232009</v>
      </c>
      <c r="L295" s="1669">
        <f>SUM(L229,L279,L280,L285,L293,L294)</f>
        <v>240315</v>
      </c>
    </row>
    <row r="296" spans="1:14" ht="13.5" thickTop="1" x14ac:dyDescent="0.2">
      <c r="A296" s="2179" t="s">
        <v>996</v>
      </c>
      <c r="B296" s="2180"/>
      <c r="C296" s="616"/>
      <c r="D296" s="618"/>
      <c r="E296" s="616"/>
      <c r="F296" s="616"/>
      <c r="G296" s="616"/>
      <c r="H296" s="687"/>
      <c r="I296" s="616"/>
      <c r="J296" s="616"/>
      <c r="K296" s="1683">
        <f>'Revenues 9-14'!G268-'Expenditures 15-22'!K295</f>
        <v>44643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7" t="s">
        <v>277</v>
      </c>
      <c r="B312" s="216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3" t="s">
        <v>996</v>
      </c>
      <c r="B313" s="216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1805</v>
      </c>
      <c r="B320" s="698" t="s">
        <v>282</v>
      </c>
      <c r="C320" s="467"/>
      <c r="D320" s="467"/>
      <c r="E320" s="467">
        <v>17944</v>
      </c>
      <c r="F320" s="467"/>
      <c r="G320" s="467"/>
      <c r="H320" s="467"/>
      <c r="I320" s="467"/>
      <c r="J320" s="467"/>
      <c r="K320" s="1670">
        <f t="shared" ref="K320:K327" si="24">SUM(C320:J320)</f>
        <v>17944</v>
      </c>
      <c r="L320" s="467">
        <v>20000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v>1000</v>
      </c>
      <c r="M321" s="665"/>
      <c r="N321" s="665"/>
    </row>
    <row r="322" spans="1:14" s="674" customFormat="1" x14ac:dyDescent="0.2">
      <c r="A322" s="1519" t="s">
        <v>238</v>
      </c>
      <c r="B322" s="697" t="s">
        <v>284</v>
      </c>
      <c r="C322" s="467"/>
      <c r="D322" s="467"/>
      <c r="E322" s="467">
        <v>51289</v>
      </c>
      <c r="F322" s="467"/>
      <c r="G322" s="467"/>
      <c r="H322" s="467"/>
      <c r="I322" s="467"/>
      <c r="J322" s="467"/>
      <c r="K322" s="1670">
        <f t="shared" si="24"/>
        <v>51289</v>
      </c>
      <c r="L322" s="467">
        <v>60000</v>
      </c>
      <c r="M322" s="665"/>
      <c r="N322" s="665"/>
    </row>
    <row r="323" spans="1:14" s="674" customFormat="1" x14ac:dyDescent="0.2">
      <c r="A323" s="1519" t="s">
        <v>702</v>
      </c>
      <c r="B323" s="697" t="s">
        <v>285</v>
      </c>
      <c r="C323" s="467">
        <v>105188</v>
      </c>
      <c r="D323" s="467">
        <v>14043</v>
      </c>
      <c r="E323" s="467"/>
      <c r="F323" s="467"/>
      <c r="G323" s="467"/>
      <c r="H323" s="467"/>
      <c r="I323" s="467"/>
      <c r="J323" s="467"/>
      <c r="K323" s="1670">
        <f t="shared" si="24"/>
        <v>119231</v>
      </c>
      <c r="L323" s="467">
        <v>149000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v>8095</v>
      </c>
      <c r="F325" s="467"/>
      <c r="G325" s="467"/>
      <c r="H325" s="467"/>
      <c r="I325" s="467"/>
      <c r="J325" s="467"/>
      <c r="K325" s="1670">
        <f t="shared" si="24"/>
        <v>8095</v>
      </c>
      <c r="L325" s="467">
        <v>20000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v>4777</v>
      </c>
      <c r="F327" s="467"/>
      <c r="G327" s="467"/>
      <c r="H327" s="467"/>
      <c r="I327" s="467"/>
      <c r="J327" s="467"/>
      <c r="K327" s="1670">
        <f t="shared" si="24"/>
        <v>4777</v>
      </c>
      <c r="L327" s="467">
        <v>10000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105188</v>
      </c>
      <c r="D330" s="1669">
        <f t="shared" ref="D330:J330" si="25">SUM(D319:D329)</f>
        <v>14043</v>
      </c>
      <c r="E330" s="1669">
        <f t="shared" si="25"/>
        <v>82105</v>
      </c>
      <c r="F330" s="1669">
        <f t="shared" si="25"/>
        <v>0</v>
      </c>
      <c r="G330" s="1669">
        <f t="shared" si="25"/>
        <v>0</v>
      </c>
      <c r="H330" s="1669">
        <f t="shared" si="25"/>
        <v>0</v>
      </c>
      <c r="I330" s="1669">
        <f t="shared" si="25"/>
        <v>0</v>
      </c>
      <c r="J330" s="1669">
        <f t="shared" si="25"/>
        <v>0</v>
      </c>
      <c r="K330" s="1669">
        <f>SUM(K319:K329)</f>
        <v>201336</v>
      </c>
      <c r="L330" s="1669">
        <f>SUM(L319:L329)</f>
        <v>260000</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105188</v>
      </c>
      <c r="D342" s="1669">
        <f>SUM(D330)</f>
        <v>14043</v>
      </c>
      <c r="E342" s="1669">
        <f>SUM(E330)</f>
        <v>82105</v>
      </c>
      <c r="F342" s="1669">
        <f>SUM(F330)</f>
        <v>0</v>
      </c>
      <c r="G342" s="1669">
        <f>SUM(G330)</f>
        <v>0</v>
      </c>
      <c r="H342" s="1669">
        <f>SUM(H330,H334,H340)</f>
        <v>0</v>
      </c>
      <c r="I342" s="1669">
        <f>SUM(I330)</f>
        <v>0</v>
      </c>
      <c r="J342" s="1669">
        <f>SUM(J330)</f>
        <v>0</v>
      </c>
      <c r="K342" s="1669">
        <f>SUM(K330,K334,K340)</f>
        <v>201336</v>
      </c>
      <c r="L342" s="1676">
        <f>SUM(L330,L340,L341)</f>
        <v>260000</v>
      </c>
    </row>
    <row r="343" spans="1:14" ht="12.75" customHeight="1" thickTop="1" x14ac:dyDescent="0.2">
      <c r="A343" s="2165" t="s">
        <v>996</v>
      </c>
      <c r="B343" s="2166"/>
      <c r="C343" s="616"/>
      <c r="D343" s="616"/>
      <c r="E343" s="616"/>
      <c r="F343" s="616"/>
      <c r="G343" s="616"/>
      <c r="H343" s="616"/>
      <c r="I343" s="616"/>
      <c r="J343" s="616"/>
      <c r="K343" s="1683">
        <f>'Revenues 9-14'!J268-'Expenditures 15-22'!K342</f>
        <v>78061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v>0</v>
      </c>
    </row>
    <row r="349" spans="1:14" x14ac:dyDescent="0.2">
      <c r="A349" s="1504" t="s">
        <v>197</v>
      </c>
      <c r="B349" s="614">
        <v>2540</v>
      </c>
      <c r="C349" s="466"/>
      <c r="D349" s="466"/>
      <c r="E349" s="466">
        <v>940</v>
      </c>
      <c r="F349" s="466">
        <v>2964</v>
      </c>
      <c r="G349" s="466">
        <v>14452</v>
      </c>
      <c r="H349" s="466"/>
      <c r="I349" s="467"/>
      <c r="J349" s="467"/>
      <c r="K349" s="1670">
        <f>SUM(C349:J349)</f>
        <v>18356</v>
      </c>
      <c r="L349" s="466">
        <v>23452</v>
      </c>
    </row>
    <row r="350" spans="1:14" ht="12.75" customHeight="1" thickBot="1" x14ac:dyDescent="0.25">
      <c r="A350" s="1667" t="s">
        <v>719</v>
      </c>
      <c r="B350" s="1668" t="s">
        <v>35</v>
      </c>
      <c r="C350" s="1669">
        <f>SUM(C348:C349)</f>
        <v>0</v>
      </c>
      <c r="D350" s="1669">
        <f t="shared" ref="D350:L350" si="26">SUM(D348:D349)</f>
        <v>0</v>
      </c>
      <c r="E350" s="1669">
        <f t="shared" si="26"/>
        <v>940</v>
      </c>
      <c r="F350" s="1669">
        <f t="shared" si="26"/>
        <v>2964</v>
      </c>
      <c r="G350" s="1669">
        <f t="shared" si="26"/>
        <v>14452</v>
      </c>
      <c r="H350" s="1669">
        <f t="shared" si="26"/>
        <v>0</v>
      </c>
      <c r="I350" s="1669">
        <f t="shared" si="26"/>
        <v>0</v>
      </c>
      <c r="J350" s="1669">
        <f t="shared" si="26"/>
        <v>0</v>
      </c>
      <c r="K350" s="1669">
        <f t="shared" si="26"/>
        <v>18356</v>
      </c>
      <c r="L350" s="1669">
        <f t="shared" si="26"/>
        <v>23452</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940</v>
      </c>
      <c r="F352" s="1669">
        <f t="shared" si="27"/>
        <v>2964</v>
      </c>
      <c r="G352" s="1669">
        <f t="shared" si="27"/>
        <v>14452</v>
      </c>
      <c r="H352" s="1669">
        <f t="shared" si="27"/>
        <v>0</v>
      </c>
      <c r="I352" s="1669">
        <f t="shared" si="27"/>
        <v>0</v>
      </c>
      <c r="J352" s="1669">
        <f t="shared" si="27"/>
        <v>0</v>
      </c>
      <c r="K352" s="1669">
        <f t="shared" si="27"/>
        <v>18356</v>
      </c>
      <c r="L352" s="1669">
        <f t="shared" si="27"/>
        <v>23452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v>0</v>
      </c>
    </row>
    <row r="355" spans="1:14" ht="12.75" customHeight="1" x14ac:dyDescent="0.2">
      <c r="A355" s="1513" t="s">
        <v>1853</v>
      </c>
      <c r="B355" s="690" t="s">
        <v>1846</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940</v>
      </c>
      <c r="F367" s="1669">
        <f t="shared" si="28"/>
        <v>2964</v>
      </c>
      <c r="G367" s="1669">
        <f t="shared" si="28"/>
        <v>14452</v>
      </c>
      <c r="H367" s="1669">
        <f t="shared" si="28"/>
        <v>0</v>
      </c>
      <c r="I367" s="1669">
        <f t="shared" si="28"/>
        <v>0</v>
      </c>
      <c r="J367" s="1669">
        <f t="shared" si="28"/>
        <v>0</v>
      </c>
      <c r="K367" s="1669">
        <f t="shared" si="28"/>
        <v>18356</v>
      </c>
      <c r="L367" s="1669">
        <f t="shared" si="28"/>
        <v>23452</v>
      </c>
    </row>
    <row r="368" spans="1:14" ht="13.5" thickTop="1" x14ac:dyDescent="0.2">
      <c r="A368" s="2179" t="s">
        <v>996</v>
      </c>
      <c r="B368" s="2180"/>
      <c r="C368" s="654"/>
      <c r="D368" s="654"/>
      <c r="E368" s="626"/>
      <c r="F368" s="626"/>
      <c r="G368" s="626"/>
      <c r="H368" s="626"/>
      <c r="I368" s="626"/>
      <c r="J368" s="623"/>
      <c r="K368" s="1670">
        <f>'Revenues 9-14'!K268-'Expenditures 15-22'!K367</f>
        <v>11378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31" right="0.2" top="0.65" bottom="0.44" header="0.28000000000000003" footer="0.22"/>
  <pageSetup scale="73" firstPageNumber="21" fitToHeight="0" orientation="landscape" useFirstPageNumber="1" r:id="rId1"/>
  <headerFooter alignWithMargins="0">
    <oddHeader>&amp;C&amp;"Arial,Bold"&amp;9Fairfield Public School District 112
STATEMENT OF EXPENDITURES DISBURSED/EXPENDITURES, BUDGET TO ACTUAL (ALL FUNDS)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elements/1.1/"/>
    <ds:schemaRef ds:uri="http://schemas.microsoft.com/sharepoint/v3"/>
    <ds:schemaRef ds:uri="http://purl.org/dc/dcmitype/"/>
    <ds:schemaRef ds:uri="d21dc803-237d-4c68-8692-8d731fd29118"/>
    <ds:schemaRef ds:uri="http://purl.org/dc/terms/"/>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2019-10-15T19:25:43Z</cp:lastPrinted>
  <dcterms:created xsi:type="dcterms:W3CDTF">2003-10-29T19:06:34Z</dcterms:created>
  <dcterms:modified xsi:type="dcterms:W3CDTF">2019-12-12T14:51:11Z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