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30BE7A5-0CA0-410C-B4A6-FDDC7EC3919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9" i="127"/>
  <c r="B70" i="127"/>
  <c r="D27" i="108"/>
  <c r="E27" i="108"/>
  <c r="F27" i="108"/>
  <c r="G27" i="108"/>
  <c r="F28" i="108"/>
  <c r="F31" i="108"/>
  <c r="F36" i="108"/>
  <c r="G28" i="108"/>
  <c r="G30" i="108"/>
  <c r="D31" i="108"/>
  <c r="D36" i="108"/>
  <c r="E31" i="108"/>
  <c r="G31" i="108"/>
  <c r="E33" i="108"/>
  <c r="E34"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L22" i="37"/>
  <c r="D24" i="37"/>
  <c r="B4270" i="106" s="1"/>
  <c r="D4270" i="106" s="1"/>
  <c r="B5752" i="106"/>
  <c r="D5752" i="106" s="1"/>
  <c r="D69" i="36" l="1"/>
  <c r="L13" i="11"/>
  <c r="B2060" i="106" s="1"/>
  <c r="D2060" i="106" s="1"/>
  <c r="K184" i="29"/>
  <c r="F13" i="4" s="1"/>
  <c r="B2596" i="106" s="1"/>
  <c r="D2596" i="106" s="1"/>
  <c r="F42" i="34"/>
  <c r="H28" i="118"/>
  <c r="F70" i="34"/>
  <c r="E35" i="108"/>
  <c r="G29" i="108"/>
  <c r="J41" i="3"/>
  <c r="B6216" i="106" s="1"/>
  <c r="D6216" i="106" s="1"/>
  <c r="B3647" i="106"/>
  <c r="D3647" i="106" s="1"/>
  <c r="K76" i="4"/>
  <c r="B3586" i="106" s="1"/>
  <c r="D3586" i="106" s="1"/>
  <c r="G15" i="145"/>
  <c r="L367" i="29"/>
  <c r="F19" i="7"/>
  <c r="B1807" i="106" s="1"/>
  <c r="D1807" i="106" s="1"/>
  <c r="G26" i="108"/>
  <c r="I210" i="29"/>
  <c r="B7071" i="106" s="1"/>
  <c r="D7071" i="106" s="1"/>
  <c r="H112" i="29"/>
  <c r="B7018" i="106" s="1"/>
  <c r="D7018" i="106" s="1"/>
  <c r="J77" i="4"/>
  <c r="B6262" i="106" s="1"/>
  <c r="D6262" i="106" s="1"/>
  <c r="C129" i="29"/>
  <c r="B1225" i="106" s="1"/>
  <c r="D1225" i="106" s="1"/>
  <c r="L5" i="11"/>
  <c r="B2056" i="106" s="1"/>
  <c r="D2056" i="106" s="1"/>
  <c r="E26" i="108"/>
  <c r="D54" i="36"/>
  <c r="J352" i="29"/>
  <c r="J367" i="29" s="1"/>
  <c r="B7245" i="106" s="1"/>
  <c r="D7245" i="106" s="1"/>
  <c r="D6103" i="106"/>
  <c r="H365" i="29"/>
  <c r="B7242" i="106" s="1"/>
  <c r="D7242"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B5778" i="106"/>
  <c r="D5778" i="106" s="1"/>
  <c r="G6" i="4"/>
  <c r="B2604" i="106" s="1"/>
  <c r="D2604" i="106" s="1"/>
  <c r="F66" i="34"/>
  <c r="C114" i="29"/>
  <c r="B757" i="106" s="1"/>
  <c r="D757" i="106" s="1"/>
  <c r="K342" i="29"/>
  <c r="F13" i="34" s="1"/>
  <c r="B5770" i="106"/>
  <c r="D5770" i="106" s="1"/>
  <c r="B1328" i="106"/>
  <c r="D1328" i="106" s="1"/>
  <c r="K77" i="4"/>
  <c r="B3587" i="106" s="1"/>
  <c r="D358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J20" i="4"/>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<sst xmlns="http://schemas.openxmlformats.org/spreadsheetml/2006/main" count="5105" uniqueCount="2120">
  <si>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</si>
  <si>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</si>
  <si>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</si>
  <si>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</si>
  <si>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</si>
  <si>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</si>
  <si>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</si>
  <si>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</si>
  <si>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</si>
  <si>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</si>
  <si>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</si>
  <si>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</si>
  <si>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</si>
  <si>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</si>
  <si>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</si>
  <si>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</si>
  <si>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</si>
  <si>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</si>
  <si>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</si>
  <si>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</si>
  <si>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</si>
  <si>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</si>
  <si>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</si>
  <si>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</si>
  <si>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</si>
  <si>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</si>
  <si>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</si>
  <si>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</si>
  <si>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</si>
  <si>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</si>
  <si>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</si>
  <si>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</si>
  <si>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</si>
  <si>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</si>
  <si>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</si>
  <si>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</si>
  <si>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</si>
  <si>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</si>
  <si>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</si>
  <si>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</si>
  <si>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</si>
  <si>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</si>
  <si>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</si>
  <si>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</si>
  <si>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</si>
  <si>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</si>
  <si>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</si>
  <si>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</si>
  <si>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</si>
  <si>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</si>
  <si>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</si>
  <si>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</si>
  <si>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</si>
  <si>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</si>
  <si>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</si>
  <si>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</si>
  <si>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</si>
  <si>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</si>
  <si>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</si>
  <si>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</si>
  <si>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</si>
  <si>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</si>
  <si>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</si>
  <si>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</si>
  <si>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</si>
  <si>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</si>
  <si>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</si>
  <si>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</si>
  <si>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</si>
  <si>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</si>
  <si>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</si>
  <si>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</si>
  <si>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</si>
  <si>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</si>
  <si>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</si>
  <si>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</si>
  <si>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</si>
  <si>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</si>
  <si>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</si>
  <si>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</si>
  <si>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</si>
  <si>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</si>
  <si>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</si>
  <si>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</si>
  <si>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</si>
  <si>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</si>
  <si>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</si>
  <si>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</si>
  <si>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</si>
  <si>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</si>
  <si>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</si>
  <si>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</si>
  <si>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</si>
  <si>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</si>
  <si>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</si>
  <si>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</si>
  <si>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</si>
  <si>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</si>
  <si>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</si>
  <si>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</si>
  <si>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</si>
  <si>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</si>
  <si>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</si>
  <si>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</si>
  <si>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</si>
  <si>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</si>
  <si>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</si>
  <si>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</si>
  <si>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</si>
  <si>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</si>
  <si>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</si>
  <si>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</si>
  <si>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</si>
  <si>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</si>
  <si>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</si>
  <si>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</si>
  <si>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</si>
  <si>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</si>
  <si>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</si>
  <si>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</si>
  <si>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</si>
  <si>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</si>
  <si>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</si>
  <si>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</si>
  <si>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</si>
  <si>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</si>
  <si>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</si>
  <si>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</si>
  <si>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</si>
  <si>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</si>
  <si>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</si>
  <si>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</si>
  <si>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</si>
  <si>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</si>
  <si>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</si>
  <si>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</si>
  <si>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</si>
  <si>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</si>
  <si>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</si>
  <si>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</si>
  <si>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</si>
  <si>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</si>
  <si>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</si>
  <si>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</si>
  <si>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</si>
  <si>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</si>
  <si>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</si>
  <si>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</si>
  <si>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</si>
  <si>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</si>
  <si>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</si>
  <si>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</si>
  <si>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</si>
  <si>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</si>
  <si>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</si>
  <si>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</si>
  <si>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</si>
  <si>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</si>
  <si>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</si>
  <si>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</si>
  <si>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</si>
  <si>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</si>
  <si>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</si>
  <si>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</si>
  <si>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</si>
  <si>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</si>
  <si>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</si>
  <si>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</si>
  <si>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</si>
  <si>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</si>
  <si>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</si>
  <si>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</si>
  <si>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</si>
  <si>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</si>
  <si>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</si>
  <si>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</si>
  <si>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</si>
  <si>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</si>
  <si>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</si>
  <si>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</si>
  <si>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</si>
  <si>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</si>
  <si>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</si>
  <si>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</si>
  <si>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</si>
  <si>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</si>
  <si>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</si>
  <si>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</si>
  <si>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</si>
  <si>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</si>
  <si>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</si>
  <si>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</si>
  <si>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</si>
  <si>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</si>
  <si>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</si>
  <si>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</si>
  <si>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</si>
  <si>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</si>
  <si>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</si>
  <si>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</si>
  <si>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</si>
  <si>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</si>
  <si>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</si>
  <si>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</si>
  <si>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</si>
  <si>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</si>
  <si>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</si>
  <si>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</si>
  <si>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</si>
  <si>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</si>
  <si>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</si>
  <si>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</si>
  <si>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</si>
  <si>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</si>
  <si>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</si>
  <si>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</si>
  <si>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</si>
  <si>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</si>
  <si>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</si>
  <si>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</si>
  <si>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</si>
  <si>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</si>
  <si>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</si>
  <si>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</si>
  <si>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</si>
  <si>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</si>
  <si>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</si>
  <si>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</si>
  <si>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</si>
  <si>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</si>
  <si>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</si>
  <si>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</si>
  <si>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</si>
  <si>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</si>
  <si>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</si>
  <si>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</si>
  <si>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</si>
  <si>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</si>
  <si>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</si>
  <si>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</si>
  <si>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</si>
  <si>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</si>
  <si>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</si>
  <si>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</si>
  <si>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</si>
  <si>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</si>
  <si>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</si>
  <si>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</si>
  <si>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</si>
  <si>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</si>
  <si>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</si>
  <si>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</si>
  <si>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</si>
  <si>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</si>
  <si>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</si>
  <si>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</si>
  <si>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</si>
  <si>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</si>
  <si>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</si>
  <si>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</si>
  <si>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</si>
  <si>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</si>
  <si>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</si>
  <si>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</si>
  <si>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</si>
  <si>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</si>
  <si>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</si>
  <si>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</si>
  <si>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</si>
  <si>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</si>
  <si>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</si>
  <si>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</si>
  <si>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</si>
  <si>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</si>
  <si>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</si>
  <si>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</si>
  <si>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</si>
  <si>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</si>
  <si>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</si>
  <si>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</si>
  <si>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</si>
  <si>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</si>
  <si>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</si>
  <si>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</si>
  <si>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</si>
  <si>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</si>
  <si>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</si>
  <si>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</si>
  <si>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</si>
  <si>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</si>
  <si>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</si>
  <si>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</si>
  <si>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</si>
  <si>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</si>
  <si>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</si>
  <si>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</si>
  <si>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</si>
  <si>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</si>
  <si>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</si>
  <si>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</si>
  <si>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</si>
  <si>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</si>
  <si>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</si>
  <si>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</si>
  <si>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</si>
  <si>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</si>
  <si>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</si>
  <si>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</si>
  <si>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</si>
  <si>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</si>
  <si>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</si>
  <si>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</si>
  <si>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</si>
  <si>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</si>
  <si>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</si>
  <si>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</si>
  <si>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</si>
  <si>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</si>
  <si>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</si>
  <si>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</si>
  <si>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</si>
  <si>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</si>
  <si>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</si>
  <si>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</si>
  <si>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</si>
  <si>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</si>
  <si>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</si>
  <si>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</si>
  <si>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</si>
  <si>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</si>
  <si>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</si>
  <si>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</si>
  <si>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</si>
  <si>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</si>
  <si>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</si>
  <si>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</si>
  <si>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</si>
  <si>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</si>
  <si>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</si>
  <si>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</si>
  <si>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</si>
  <si>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</si>
  <si>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</si>
  <si>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</si>
  <si>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</si>
  <si>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</si>
  <si>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</si>
  <si>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</si>
  <si>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</si>
  <si>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</si>
  <si>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</si>
  <si>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</si>
  <si>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</si>
  <si>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</si>
  <si>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</si>
  <si>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</si>
  <si>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</si>
  <si>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</si>
  <si>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</si>
  <si>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</si>
  <si>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</si>
  <si>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</si>
  <si>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</si>
  <si>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</si>
  <si>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</si>
  <si>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</si>
  <si>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</si>
  <si>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</si>
  <si>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</si>
  <si>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</si>
  <si>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</si>
  <si>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</si>
  <si>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</si>
  <si>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</si>
  <si>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</si>
  <si>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</si>
  <si>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</si>
  <si>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</si>
  <si>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</si>
  <si>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</si>
  <si>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</si>
  <si>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</si>
  <si>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</si>
  <si>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</si>
  <si>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</si>
  <si>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</si>
  <si>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</si>
  <si>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</si>
  <si>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</si>
  <si>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</si>
  <si>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</si>
  <si>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</si>
  <si>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</si>
  <si>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</si>
  <si>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</si>
  <si>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</si>
  <si>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</si>
  <si>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</si>
  <si>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</si>
  <si>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</si>
  <si>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</si>
  <si>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</si>
  <si>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</si>
  <si>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</si>
  <si>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</si>
  <si>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</si>
  <si>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</si>
  <si>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</si>
  <si>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</si>
  <si>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</si>
  <si>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</si>
  <si>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</si>
  <si>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</si>
  <si>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</si>
  <si>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</si>
  <si>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</si>
  <si>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</si>
  <si>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</si>
  <si>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</si>
  <si>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</si>
  <si>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</si>
  <si>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</si>
  <si>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</si>
  <si>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</si>
  <si>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</si>
  <si>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</si>
  <si>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</si>
  <si>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</si>
  <si>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</si>
  <si>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</si>
  <si>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</si>
  <si>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</si>
  <si>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</si>
  <si>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</si>
  <si>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</si>
  <si>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</si>
  <si>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</si>
  <si>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</si>
  <si>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</si>
  <si>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</si>
  <si>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</si>
  <si>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</si>
  <si>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</si>
  <si>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</si>
  <si>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</si>
  <si>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</si>
  <si>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</si>
  <si>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</si>
  <si>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</si>
  <si>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</si>
  <si>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</si>
  <si>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</si>
  <si>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</si>
  <si>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</si>
  <si>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</si>
  <si>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</si>
  <si>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</si>
  <si>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</si>
  <si>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</si>
  <si>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</si>
  <si>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</si>
  <si>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</si>
  <si>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</si>
  <si>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</si>
  <si>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</si>
  <si>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</si>
  <si>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</si>
  <si>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</si>
  <si>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</si>
  <si>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</si>
  <si>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</si>
  <si>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</si>
  <si>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</si>
  <si>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</si>
  <si>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</si>
  <si>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</si>
  <si>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</si>
  <si>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</si>
  <si>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</si>
  <si>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</si>
  <si>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</si>
  <si>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</si>
  <si>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</si>
  <si>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</si>
  <si>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</si>
  <si>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</si>
  <si>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</si>
  <si>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</si>
  <si>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</si>
  <si>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</si>
  <si>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</si>
  <si>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</si>
  <si>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</si>
  <si>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</si>
  <si>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</si>
  <si>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</si>
  <si>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</si>
  <si>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</si>
  <si>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</si>
  <si>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</si>
  <si>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</si>
  <si>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</si>
  <si>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</si>
  <si>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</si>
  <si>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</si>
  <si>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</si>
  <si>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</si>
  <si>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</si>
  <si>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</si>
  <si>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</si>
  <si>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</si>
  <si>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</si>
  <si>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</si>
  <si>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</si>
  <si>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</si>
  <si>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</si>
  <si>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</si>
  <si>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</si>
  <si>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</si>
  <si>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</si>
  <si>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</si>
  <si>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</si>
  <si>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</si>
  <si>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</si>
  <si>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</si>
  <si>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</si>
  <si>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</si>
  <si>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</si>
  <si>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</si>
  <si>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</si>
  <si>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</si>
  <si>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</si>
  <si>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</si>
  <si>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</si>
  <si>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</si>
  <si>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</si>
  <si>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</si>
  <si>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</si>
  <si>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</si>
  <si>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</si>
  <si>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</si>
  <si>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</si>
  <si>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</si>
  <si>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</si>
  <si>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</si>
  <si>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</si>
  <si>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</si>
  <si>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</si>
  <si>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</si>
  <si>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</si>
  <si>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</si>
  <si>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</si>
  <si>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</si>
  <si>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</si>
  <si>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</si>
  <si>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</si>
  <si>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</si>
  <si>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</si>
  <si>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</si>
  <si>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</si>
  <si>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</si>
  <si>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</si>
  <si>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</si>
  <si>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</si>
  <si>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</si>
  <si>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</si>
  <si>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</si>
  <si>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</si>
  <si>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</si>
  <si>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</si>
  <si>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</si>
  <si>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</si>
  <si>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</si>
  <si>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</si>
  <si>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</si>
  <si>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</si>
  <si>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</si>
  <si>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</si>
  <si>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</si>
  <si>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</si>
  <si>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</si>
  <si>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</si>
  <si>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</si>
  <si>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</si>
  <si>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</si>
  <si>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</si>
  <si>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</si>
  <si>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</si>
  <si>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</si>
  <si>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</si>
  <si>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</si>
  <si>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</si>
  <si>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</si>
  <si>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</si>
  <si>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</si>
  <si>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</si>
  <si>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</si>
  <si>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</si>
  <si>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</si>
  <si>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</si>
  <si>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</si>
  <si>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</si>
  <si>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</si>
  <si>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</si>
  <si>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</si>
  <si>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</si>
  <si>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</si>
  <si>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</si>
  <si>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</si>
  <si>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</si>
  <si>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</si>
  <si>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</si>
  <si>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</si>
  <si>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</si>
  <si>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</si>
  <si>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</si>
  <si>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</si>
  <si>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</si>
  <si>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</si>
  <si>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</si>
  <si>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</si>
  <si>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</si>
  <si>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</si>
  <si>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</si>
  <si>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</si>
  <si>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</si>
  <si>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</si>
  <si>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</si>
  <si>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</si>
  <si>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</si>
  <si>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</si>
  <si>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</si>
  <si>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</si>
  <si>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</si>
  <si>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</si>
  <si>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</si>
  <si>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</si>
  <si>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</si>
  <si>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</si>
  <si>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</si>
  <si>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</si>
  <si>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</si>
  <si>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</si>
  <si>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</si>
  <si>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</si>
  <si>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</si>
  <si>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</si>
  <si>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</si>
  <si>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</si>
  <si>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</si>
  <si>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</si>
  <si>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</si>
  <si>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</si>
  <si>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</si>
  <si>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</si>
  <si>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</si>
  <si>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</si>
  <si>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</si>
  <si>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</si>
  <si>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</si>
  <si>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</si>
  <si>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</si>
  <si>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</si>
  <si>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</si>
  <si>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</si>
  <si>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</si>
  <si>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</si>
  <si>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</si>
  <si>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</si>
  <si>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</si>
  <si>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</si>
  <si>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</si>
  <si>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</si>
  <si>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</si>
  <si>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</si>
  <si>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</si>
  <si>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</si>
  <si>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</si>
  <si>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</si>
  <si>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</si>
  <si>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</si>
  <si>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</si>
  <si>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</si>
  <si>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</si>
  <si>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</si>
  <si>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</si>
  <si>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</si>
  <si>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</si>
  <si>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</si>
  <si>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</si>
  <si>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</si>
  <si>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</si>
  <si>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</si>
  <si>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</si>
  <si>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</si>
  <si>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</si>
  <si>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</si>
  <si>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</si>
  <si>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</si>
  <si>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</si>
  <si>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</si>
  <si>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</si>
  <si>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</si>
  <si>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</si>
  <si>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</si>
  <si>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</si>
  <si>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</si>
  <si>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</si>
  <si>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</si>
  <si>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</si>
  <si>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</si>
  <si>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</si>
  <si>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</si>
  <si>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</si>
  <si>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</si>
  <si>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</si>
  <si>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</si>
  <si>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</si>
  <si>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</si>
  <si>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</si>
  <si>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</si>
  <si>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</si>
  <si>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</si>
  <si>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</si>
  <si>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</si>
  <si>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</si>
  <si>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</si>
  <si>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</si>
  <si>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</si>
  <si>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</si>
  <si>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</si>
  <si>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</si>
  <si>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</si>
  <si>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</si>
  <si>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</si>
  <si>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</si>
  <si>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</si>
  <si>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</si>
  <si>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</si>
  <si>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</si>
  <si>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</si>
  <si>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</si>
  <si>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</si>
  <si>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</si>
  <si>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</si>
  <si>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</si>
  <si>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</si>
  <si>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</si>
  <si>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</si>
  <si>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</si>
  <si>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</si>
  <si>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</si>
  <si>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</si>
  <si>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</si>
  <si>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</si>
  <si>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</si>
  <si>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</si>
  <si>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</si>
  <si>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</si>
  <si>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</si>
  <si>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</si>
  <si>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</si>
  <si>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</si>
  <si>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</si>
  <si>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</si>
  <si>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</si>
  <si>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</si>
  <si>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</si>
  <si>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</si>
  <si>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</si>
  <si>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</si>
  <si>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</si>
  <si>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</si>
  <si>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</si>
  <si>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</si>
  <si>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</si>
  <si>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</si>
  <si>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</si>
  <si>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</si>
  <si>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</si>
  <si>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</si>
  <si>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</si>
  <si>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</si>
  <si>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</si>
  <si>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</si>
  <si>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</si>
  <si>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</si>
  <si>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</si>
  <si>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</si>
  <si>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</si>
  <si>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</si>
  <si>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</si>
  <si>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</si>
  <si>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</si>
  <si>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</si>
  <si>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</si>
  <si>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</si>
  <si>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</si>
  <si>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</si>
  <si>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</si>
  <si>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</si>
  <si>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</si>
  <si>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</si>
  <si>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</si>
  <si>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</si>
  <si>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</si>
  <si>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</si>
  <si>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</si>
  <si>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</si>
  <si>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</si>
  <si>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</si>
  <si>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</si>
  <si>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</si>
  <si>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</si>
  <si>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</si>
  <si>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</si>
  <si>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</si>
  <si>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</si>
  <si>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</si>
  <si>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</si>
  <si>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</si>
  <si>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</si>
  <si>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</si>
  <si>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</si>
  <si>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</si>
  <si>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</si>
  <si>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</si>
  <si>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</si>
  <si>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</si>
  <si>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</si>
  <si>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</si>
  <si>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</si>
  <si>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</si>
  <si>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</si>
  <si>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</si>
  <si>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</si>
  <si>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</si>
  <si>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</si>
  <si>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</si>
  <si>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</si>
  <si>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</si>
  <si>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</si>
  <si>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</si>
  <si>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</si>
  <si>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</si>
  <si>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</si>
  <si>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</si>
  <si>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</si>
  <si>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</si>
  <si>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</si>
  <si>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</si>
  <si>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</si>
  <si>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</si>
  <si>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</si>
  <si>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</si>
  <si>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</si>
  <si>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</si>
  <si>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</si>
  <si>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</si>
  <si>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</si>
  <si>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</si>
  <si>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</si>
  <si>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</si>
  <si>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</si>
  <si>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</si>
  <si>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</si>
  <si>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</si>
  <si>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</si>
  <si>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</si>
  <si>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</si>
  <si>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</si>
  <si>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</si>
  <si>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</si>
  <si>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</si>
  <si>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</si>
  <si>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</si>
  <si>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</si>
  <si>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</si>
  <si>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</si>
  <si>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</si>
  <si>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</si>
  <si>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</si>
  <si>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</si>
  <si>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</si>
  <si>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</si>
  <si>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</si>
  <si>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</si>
  <si>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</si>
  <si>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</si>
  <si>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</si>
  <si>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</si>
  <si>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</si>
  <si>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</si>
  <si>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</si>
  <si>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</si>
  <si>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</si>
  <si>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</si>
  <si>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</si>
  <si>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</si>
  <si>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</si>
  <si>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</si>
  <si>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</si>
  <si>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</si>
  <si>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</si>
  <si>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</si>
  <si>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</si>
  <si>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</si>
  <si>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</si>
  <si>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</si>
  <si>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</si>
  <si>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</si>
  <si>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</si>
  <si>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</si>
  <si>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</si>
  <si>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</si>
  <si>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</si>
  <si>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</si>
  <si>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</si>
  <si>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</si>
  <si>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</si>
  <si>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</si>
  <si>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</si>
  <si>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</si>
  <si>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</si>
  <si>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</si>
  <si>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</si>
  <si>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</si>
  <si>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</si>
  <si>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</si>
  <si>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</si>
  <si>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</si>
  <si>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</si>
  <si>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</si>
  <si>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</si>
  <si>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</si>
  <si>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</si>
  <si>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</si>
  <si>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</si>
  <si>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</si>
  <si>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</si>
  <si>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</si>
  <si>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</si>
  <si>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</si>
  <si>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</si>
  <si>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</si>
  <si>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</si>
  <si>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</si>
  <si>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</si>
  <si>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</si>
  <si>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</si>
  <si>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</si>
  <si>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</si>
  <si>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</si>
  <si>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</si>
  <si>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</si>
  <si>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</si>
  <si>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</si>
  <si>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</si>
  <si>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</si>
  <si>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</si>
  <si>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</si>
  <si>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</si>
  <si>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</si>
  <si>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</si>
  <si>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</si>
  <si>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</si>
  <si>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</si>
  <si>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</si>
  <si>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</si>
  <si>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</si>
  <si>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</si>
  <si>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</si>
  <si>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</si>
  <si>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</si>
  <si>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</si>
  <si>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</si>
  <si>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</si>
  <si>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</si>
  <si>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</si>
  <si>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</si>
  <si>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</si>
  <si>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</si>
  <si>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</si>
  <si>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</si>
  <si>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</si>
  <si>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</si>
  <si>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</si>
  <si>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</si>
  <si>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</si>
  <si>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</si>
  <si>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</si>
  <si>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</si>
  <si>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</si>
  <si>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</si>
  <si>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</si>
  <si>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</si>
  <si>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</si>
  <si>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</si>
  <si>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</si>
  <si>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</si>
  <si>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</si>
  <si>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</si>
  <si>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</si>
  <si>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</si>
  <si>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</si>
  <si>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</si>
  <si>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</si>
  <si>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</si>
  <si>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</si>
  <si>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</si>
  <si>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</si>
  <si>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</si>
  <si>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</si>
  <si>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</si>
  <si>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</si>
  <si>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</si>
  <si>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</si>
  <si>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</si>
  <si>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</si>
  <si>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</si>
  <si>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</si>
  <si>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</si>
  <si>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</si>
  <si>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</si>
  <si>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</si>
  <si>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</si>
  <si>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</si>
  <si>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</si>
  <si>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</si>
  <si>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</si>
  <si>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</si>
  <si>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</si>
  <si>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</si>
  <si>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</si>
  <si>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</si>
  <si>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</si>
  <si>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</si>
  <si>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</si>
  <si>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</si>
  <si>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</si>
  <si>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</si>
  <si>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</si>
  <si>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</si>
  <si>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</si>
  <si>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</si>
  <si>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</si>
  <si>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</si>
  <si>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</si>
  <si>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</si>
  <si>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</si>
  <si>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</si>
  <si>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</si>
  <si>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</si>
  <si>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</si>
  <si>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</si>
  <si>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</si>
  <si>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</si>
  <si>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</si>
  <si>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</si>
  <si>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</si>
  <si>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</si>
  <si>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</si>
  <si>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</si>
  <si>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</si>
  <si>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</si>
  <si>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</si>
  <si>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</si>
  <si>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</si>
  <si>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</si>
  <si>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</si>
  <si>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</si>
  <si>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</si>
  <si>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</si>
  <si>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</si>
  <si>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</si>
  <si>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</si>
  <si>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</si>
  <si>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</si>
  <si>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</si>
  <si>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</si>
  <si>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</si>
  <si>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</si>
  <si>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</si>
  <si>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</si>
  <si>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</si>
  <si>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</si>
  <si>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</si>
  <si>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</si>
  <si>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</si>
  <si>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</si>
  <si>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</si>
  <si>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</si>
  <si>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</si>
  <si>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</si>
  <si>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</si>
  <si>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</si>
  <si>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</si>
  <si>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</si>
  <si>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</si>
  <si>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</si>
  <si>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</si>
  <si>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</si>
  <si>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</si>
  <si>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</si>
  <si>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</si>
  <si>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</si>
  <si>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</si>
  <si>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</si>
  <si>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</si>
  <si>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</si>
  <si>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</si>
  <si>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</si>
  <si>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</si>
  <si>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</si>
  <si>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</si>
  <si>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</si>
  <si>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</si>
  <si>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</si>
  <si>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</si>
  <si>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</si>
  <si>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</si>
  <si>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</si>
  <si>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</si>
  <si>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</si>
  <si>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</si>
  <si>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</si>
  <si>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</si>
  <si>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</si>
  <si>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</si>
  <si>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</si>
  <si>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</si>
  <si>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</si>
  <si>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</si>
  <si>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</si>
  <si>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</si>
  <si>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</si>
  <si>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</si>
  <si>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</si>
  <si>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</si>
  <si>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</si>
  <si>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</si>
  <si>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</si>
  <si>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</si>
  <si>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</si>
  <si>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</si>
  <si>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</si>
  <si>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</si>
  <si>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</si>
  <si>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</si>
  <si>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</si>
  <si>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</si>
  <si>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</si>
  <si>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</si>
  <si>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</si>
  <si>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</si>
  <si>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</si>
  <si>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</si>
  <si>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</si>
  <si>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</si>
  <si>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</si>
  <si>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</si>
  <si>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</si>
  <si>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</si>
  <si>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</si>
  <si>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</si>
  <si>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</si>
  <si>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</si>
  <si>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</si>
  <si>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</si>
  <si>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</si>
  <si>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</si>
  <si>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</si>
  <si>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</si>
  <si>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</si>
  <si>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</si>
  <si>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</si>
  <si>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</si>
  <si>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</si>
  <si>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</si>
  <si>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</si>
  <si>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</si>
  <si>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</si>
  <si>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</si>
  <si>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</si>
  <si>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</si>
  <si>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</si>
  <si>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</si>
  <si>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</si>
  <si>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</si>
  <si>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</si>
  <si>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</si>
  <si>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</si>
  <si>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</si>
  <si>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</si>
  <si>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</si>
  <si>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</si>
  <si>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</si>
  <si>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</si>
  <si>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</si>
  <si>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</si>
  <si>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</si>
  <si>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</si>
  <si>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</si>
  <si>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</si>
  <si>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</si>
  <si>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</si>
  <si>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</si>
  <si>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</si>
  <si>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</si>
  <si>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</si>
  <si>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</si>
  <si>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</si>
  <si>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</si>
  <si>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</si>
  <si>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</si>
  <si>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</si>
  <si>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</si>
  <si>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</si>
  <si>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</si>
  <si>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</si>
  <si>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</si>
  <si>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</si>
  <si>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</si>
  <si>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</si>
  <si>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</si>
  <si>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</si>
  <si>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</si>
  <si>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</si>
  <si>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</si>
  <si>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</si>
  <si>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</si>
  <si>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</si>
  <si>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</si>
  <si>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</si>
  <si>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</si>
  <si>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</si>
  <si>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</si>
  <si>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</si>
  <si>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</si>
  <si>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</si>
  <si>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</si>
  <si>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</si>
  <si>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</si>
  <si>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</si>
  <si>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</si>
  <si>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</si>
  <si>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</si>
  <si>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</si>
  <si>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</si>
  <si>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</si>
  <si>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</si>
  <si>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</si>
  <si>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</si>
  <si>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</si>
  <si>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</si>
  <si>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</si>
  <si>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</si>
  <si>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</si>
  <si>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</si>
  <si>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</si>
  <si>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</si>
  <si>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</si>
  <si>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</si>
  <si>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</si>
  <si>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</si>
  <si>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</si>
  <si>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</si>
  <si>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</si>
  <si>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</si>
  <si>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</si>
  <si>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</si>
  <si>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</si>
  <si>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</si>
  <si>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</si>
  <si>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</si>
  <si>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</si>
  <si>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</si>
  <si>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</si>
  <si>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</si>
  <si>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</si>
  <si>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</si>
  <si>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</si>
  <si>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</si>
  <si>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</si>
  <si>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</si>
  <si>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</si>
  <si>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</si>
  <si>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</si>
  <si>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</si>
  <si>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</si>
  <si>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</si>
  <si>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</si>
  <si>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</si>
  <si>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</si>
  <si>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</si>
  <si>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</si>
  <si>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</si>
  <si>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</si>
  <si>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</si>
  <si>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</si>
  <si>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</si>
  <si>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</si>
  <si>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</si>
  <si>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</si>
  <si>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</si>
  <si>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</si>
  <si>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</si>
  <si>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</si>
  <si>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</si>
  <si>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</si>
  <si>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</si>
  <si>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</si>
  <si>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</si>
  <si>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</si>
  <si>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</si>
  <si>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</si>
  <si>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</si>
  <si>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</si>
  <si>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</si>
  <si>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</si>
  <si>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</si>
  <si>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</si>
  <si>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</si>
  <si>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</si>
  <si>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</si>
  <si>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</si>
  <si>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</si>
  <si>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</si>
  <si>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</si>
  <si>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</si>
  <si>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</si>
  <si>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</si>
  <si>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</si>
  <si>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</si>
  <si>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</si>
  <si>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</si>
  <si>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</si>
  <si>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</si>
  <si>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</si>
  <si>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</si>
  <si>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</si>
  <si>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</si>
  <si>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</si>
  <si>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</si>
  <si>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</si>
  <si>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</si>
  <si>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</si>
  <si>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</si>
  <si>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</si>
  <si>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</si>
  <si>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</si>
  <si>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</si>
  <si>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</si>
  <si>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</si>
  <si>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</si>
  <si>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</si>
  <si>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</si>
  <si>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</si>
  <si>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</si>
  <si>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</si>
  <si>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</si>
  <si>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</si>
  <si>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</si>
  <si>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</si>
  <si>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</si>
  <si>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</si>
  <si>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</si>
  <si>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</si>
  <si>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</si>
  <si>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</si>
  <si>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</si>
  <si>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</si>
  <si>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</si>
  <si>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</si>
  <si>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</si>
  <si>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</si>
  <si>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</si>
  <si>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</si>
  <si>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</si>
  <si>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</si>
  <si>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</si>
  <si>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</si>
  <si>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</si>
  <si>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</si>
  <si>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</si>
  <si>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</si>
  <si>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</si>
  <si>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</si>
  <si>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</si>
  <si>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</si>
  <si>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</si>
  <si>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</si>
  <si>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</si>
  <si>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</si>
  <si>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</si>
  <si>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</si>
  <si>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</si>
  <si>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</si>
  <si>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</si>
  <si>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</si>
  <si>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</si>
  <si>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</si>
  <si>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</si>
  <si>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</si>
  <si>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</si>
  <si>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</si>
  <si>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</si>
  <si>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</si>
  <si>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</si>
  <si>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</si>
  <si>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</si>
  <si>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</si>
  <si>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</si>
  <si>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</si>
  <si>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</si>
  <si>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</si>
  <si>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</si>
  <si>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</si>
  <si>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</si>
  <si>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</si>
  <si>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</si>
  <si>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</si>
  <si>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</si>
  <si>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</si>
  <si>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</si>
  <si>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</si>
  <si>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</si>
  <si>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</si>
  <si>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</si>
  <si>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</si>
  <si>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</si>
  <si>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</si>
  <si>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</si>
  <si>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</si>
  <si>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</si>
  <si>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</si>
  <si>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</si>
  <si>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</si>
  <si>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</si>
  <si>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</si>
  <si>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</si>
  <si>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</si>
  <si>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</si>
  <si>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</si>
  <si>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</si>
  <si>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</si>
  <si>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</si>
  <si>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</si>
  <si>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</si>
  <si>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</si>
  <si>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</si>
  <si>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</si>
  <si>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</si>
  <si>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</si>
  <si>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</si>
  <si>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</si>
  <si>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</si>
  <si>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</si>
  <si>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</si>
  <si>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</si>
  <si>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</si>
  <si>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</si>
  <si>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</si>
  <si>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</si>
  <si>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</si>
  <si>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</si>
  <si>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</si>
  <si>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</si>
  <si>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</si>
  <si>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</si>
  <si>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</si>
  <si>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</si>
  <si>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</si>
  <si>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</si>
  <si>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</si>
  <si>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</si>
  <si>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</si>
  <si>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</si>
  <si>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</si>
  <si>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</si>
  <si>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</si>
  <si>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</si>
  <si>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</si>
  <si>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</si>
  <si>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</si>
  <si>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</si>
  <si>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</si>
  <si>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</si>
  <si>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</si>
  <si>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</si>
  <si>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</si>
  <si>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</si>
  <si>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</si>
  <si>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</si>
  <si>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</si>
  <si>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</si>
  <si>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</si>
  <si>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</si>
  <si>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</si>
  <si>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</si>
  <si>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</si>
  <si>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</si>
  <si>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</si>
  <si>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</si>
  <si>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</si>
  <si>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</si>
  <si>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</si>
  <si>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</si>
  <si>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</si>
  <si>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</si>
  <si>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</si>
  <si>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</si>
  <si>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</si>
  <si>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</si>
  <si>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</si>
  <si>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</si>
  <si>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</si>
  <si>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</si>
  <si>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</si>
  <si>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</si>
  <si>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</si>
  <si>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</si>
  <si>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</si>
  <si>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</si>
  <si>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</si>
  <si>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</si>
  <si>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</si>
  <si>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</si>
  <si>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</si>
  <si>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</si>
  <si>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</si>
  <si>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</si>
  <si>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</si>
  <si>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</si>
  <si>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</si>
  <si>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</si>
  <si>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</si>
  <si>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</si>
  <si>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</si>
  <si>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</si>
  <si>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</si>
  <si>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</si>
  <si>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</si>
  <si>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</si>
  <si>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</si>
  <si>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</si>
  <si>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</si>
  <si>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</si>
  <si>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</si>
  <si>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</si>
  <si>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</si>
  <si>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</si>
  <si>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</si>
  <si>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</si>
  <si>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</si>
  <si>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</si>
  <si>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</si>
  <si>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</si>
  <si>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</si>
  <si>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</si>
  <si>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</si>
  <si>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</si>
  <si>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</si>
  <si>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</si>
  <si>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</si>
  <si>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</si>
  <si>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</si>
  <si>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</si>
  <si>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</si>
  <si>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</si>
  <si>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</si>
  <si>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</si>
  <si>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</si>
  <si>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</si>
  <si>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</si>
  <si>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</si>
  <si>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</si>
  <si>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</si>
  <si>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</si>
  <si>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</si>
  <si>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</si>
  <si>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</si>
  <si>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</si>
  <si>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</si>
  <si>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</si>
  <si>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</si>
  <si>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</si>
  <si>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</si>
  <si>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</si>
  <si>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</si>
  <si>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</si>
  <si>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</si>
  <si>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</si>
  <si>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</si>
  <si>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</si>
  <si>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</si>
  <si>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</si>
  <si>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</si>
  <si>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</si>
  <si>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</si>
  <si>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</si>
  <si>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</si>
  <si>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</si>
  <si>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</si>
  <si>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</si>
  <si>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</si>
  <si>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</si>
  <si>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</si>
  <si>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</si>
  <si>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</si>
  <si>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</si>
  <si>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</si>
  <si>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</si>
  <si>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</si>
  <si>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</si>
  <si>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</si>
  <si>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</si>
  <si>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</si>
  <si>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</si>
  <si>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</si>
  <si>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</si>
  <si>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</si>
  <si>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</si>
  <si>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</si>
  <si>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</si>
  <si>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</si>
  <si>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</si>
  <si>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</si>
  <si>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</si>
  <si>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</si>
  <si>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</si>
  <si>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</si>
  <si>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</si>
  <si>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</si>
  <si>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</si>
  <si>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</si>
  <si>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</si>
  <si>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</si>
  <si>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</si>
  <si>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</si>
  <si>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</si>
  <si>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</si>
  <si>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</si>
  <si>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</si>
  <si>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</si>
  <si>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</si>
  <si>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</si>
  <si>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</si>
  <si>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</si>
  <si>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</si>
  <si>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</si>
  <si>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</si>
  <si>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</si>
  <si>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</si>
  <si>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</si>
  <si>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</si>
  <si>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</si>
  <si>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</si>
  <si>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</si>
  <si>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</si>
  <si>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</si>
  <si>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</si>
  <si>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</si>
  <si>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</si>
  <si>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</si>
  <si>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</si>
  <si>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</si>
  <si>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</si>
  <si>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</si>
  <si>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</si>
  <si>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</si>
  <si>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</si>
  <si>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</si>
  <si>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</si>
  <si>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</si>
  <si>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</si>
  <si>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</si>
  <si>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</si>
  <si>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</si>
  <si>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</si>
  <si>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</si>
  <si>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</si>
  <si>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</si>
  <si>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</si>
  <si>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</si>
  <si>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</si>
  <si>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</si>
  <si>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</si>
  <si>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</si>
  <si>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</si>
  <si>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</si>
  <si>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</si>
  <si>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</si>
  <si>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</si>
  <si>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</si>
  <si>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</si>
  <si>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</si>
  <si>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</si>
  <si>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</si>
  <si>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</si>
  <si>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</si>
  <si>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</si>
  <si>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</si>
  <si>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</si>
  <si>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</si>
  <si>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</si>
  <si>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</si>
  <si>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</si>
  <si>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</si>
  <si>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</si>
  <si>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</si>
  <si>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</si>
  <si>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</si>
  <si>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</si>
  <si>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</si>
  <si>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</si>
  <si>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</si>
  <si>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</si>
  <si>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</si>
  <si>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</si>
  <si>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</si>
  <si>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</si>
  <si>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</si>
  <si>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</si>
  <si>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</si>
  <si>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</si>
  <si>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</si>
  <si>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</si>
  <si>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</si>
  <si>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</si>
  <si>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</si>
  <si>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</si>
  <si>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</si>
  <si>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</si>
  <si>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</si>
  <si>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</si>
  <si>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</si>
  <si>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</si>
  <si>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</si>
  <si>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</si>
  <si>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</si>
  <si>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</si>
  <si>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</si>
  <si>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</si>
  <si>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</si>
  <si>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</si>
  <si>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</si>
  <si>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</si>
  <si>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</si>
  <si>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</si>
  <si>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</si>
  <si>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</si>
  <si>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</si>
  <si>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</si>
  <si>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</si>
  <si>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</si>
  <si>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</si>
  <si>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</si>
  <si>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</si>
  <si>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</si>
  <si>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</si>
  <si>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</si>
  <si>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</si>
  <si>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</si>
  <si>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</si>
  <si>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</si>
  <si>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</si>
  <si>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</si>
  <si>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</si>
  <si>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</si>
  <si>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</si>
  <si>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</si>
  <si>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</si>
  <si>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</si>
  <si>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</si>
  <si>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</si>
  <si>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</si>
  <si>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</si>
  <si>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</si>
  <si>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</si>
  <si>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</si>
  <si>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</si>
  <si>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</si>
  <si>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</si>
  <si>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</si>
  <si>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</si>
  <si>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</si>
  <si>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</si>
  <si>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</si>
  <si>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</si>
  <si>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</si>
  <si>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</si>
  <si>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</si>
  <si>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</si>
  <si>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</si>
  <si>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</si>
  <si>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</si>
  <si>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</si>
  <si>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</si>
  <si>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</si>
  <si>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</si>
  <si>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</si>
  <si>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</si>
  <si>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</si>
  <si>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</si>
  <si>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</si>
  <si>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</si>
  <si>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</si>
  <si>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</si>
  <si>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</si>
  <si>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</si>
  <si>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</si>
  <si>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</si>
  <si>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</si>
  <si>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</si>
  <si>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</si>
  <si>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</si>
  <si>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</si>
  <si>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</si>
  <si>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</si>
  <si>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</si>
  <si>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</si>
  <si>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</si>
  <si>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</si>
  <si>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</si>
  <si>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</si>
  <si>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</si>
  <si>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</si>
  <si>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</si>
  <si>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</si>
  <si>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</si>
  <si>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</si>
  <si>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</si>
  <si>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</si>
  <si>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</si>
  <si>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</si>
  <si>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</si>
  <si>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</si>
  <si>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</si>
  <si>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</si>
  <si>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</si>
  <si>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</si>
  <si>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</si>
  <si>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</si>
  <si>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</si>
  <si>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</si>
  <si>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</si>
  <si>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</si>
  <si>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</si>
  <si>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</si>
  <si>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</si>
  <si>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</si>
  <si>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</si>
  <si>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</si>
  <si>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</si>
  <si>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</si>
  <si>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</si>
  <si>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</si>
  <si>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</si>
  <si>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</si>
  <si>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</si>
  <si>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</si>
  <si>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</si>
  <si>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</si>
  <si>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</si>
  <si>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</si>
  <si>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</si>
  <si>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</si>
  <si>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</si>
  <si>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</si>
  <si>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</si>
  <si>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</si>
  <si>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</si>
  <si>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</si>
  <si>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</si>
  <si>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</si>
  <si>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</si>
  <si>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</si>
  <si>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</si>
  <si>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</si>
  <si>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</si>
  <si>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</si>
  <si>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</si>
  <si>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</si>
  <si>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</si>
  <si>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</si>
  <si>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</si>
  <si>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</si>
  <si>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</si>
  <si>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</si>
  <si>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</si>
  <si>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</si>
  <si>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</si>
  <si>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</si>
  <si>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</si>
  <si>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</si>
  <si>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</si>
  <si>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</si>
  <si>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</si>
  <si>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</si>
  <si>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</si>
  <si>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</si>
  <si>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</si>
  <si>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</si>
  <si>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</si>
  <si>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</si>
  <si>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</si>
  <si>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</si>
  <si>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</si>
  <si>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</si>
  <si>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</si>
  <si>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</si>
  <si>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</si>
  <si>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</si>
  <si>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</si>
  <si>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</si>
  <si>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</si>
  <si>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</si>
  <si>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</si>
  <si>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</si>
  <si>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</si>
  <si>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</si>
  <si>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</si>
  <si>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</si>
  <si>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</si>
  <si>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</si>
  <si>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</si>
  <si>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</si>
  <si>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</si>
  <si>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</si>
  <si>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</si>
  <si>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</si>
  <si>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</si>
  <si>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</si>
  <si>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</si>
  <si>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</si>
  <si>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</si>
  <si>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</si>
  <si>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</si>
  <si>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</si>
  <si>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</si>
  <si>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</si>
  <si>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</si>
  <si>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</si>
  <si>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</si>
  <si>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</si>
  <si>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</si>
  <si>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</si>
  <si>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</si>
  <si>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</si>
  <si>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</si>
  <si>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</si>
  <si>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</si>
  <si>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</si>
  <si>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</si>
  <si>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</si>
  <si>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</si>
  <si>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</si>
  <si>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</si>
  <si>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</si>
  <si>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</si>
  <si>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</si>
  <si>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</si>
  <si>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</si>
  <si>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</si>
  <si>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</si>
  <si>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</si>
  <si>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</si>
  <si>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</si>
  <si>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</si>
  <si>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</si>
  <si>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</si>
  <si>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</si>
  <si>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</si>
  <si>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</si>
  <si>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</si>
  <si>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</si>
  <si>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</si>
  <si>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</si>
  <si>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</si>
  <si>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</si>
  <si>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</si>
  <si>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</si>
  <si>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</si>
  <si>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</si>
  <si>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</si>
  <si>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</si>
  <si>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</si>
  <si>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</si>
  <si>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</si>
  <si>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</si>
  <si>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</si>
  <si>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</si>
  <si>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</si>
  <si>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</si>
  <si>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</si>
  <si>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</si>
  <si>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</si>
  <si>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</si>
  <si>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</si>
  <si>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</si>
  <si>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</si>
  <si>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</si>
  <si>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</si>
  <si>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</si>
  <si>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</si>
  <si>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</si>
  <si>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</si>
  <si>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</si>
  <si>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</si>
  <si>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</si>
  <si>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</si>
  <si>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</si>
  <si>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</si>
  <si>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</si>
  <si>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</si>
  <si>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</si>
  <si>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</si>
  <si>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</si>
  <si>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</si>
  <si>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</si>
  <si>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</si>
  <si>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</si>
  <si>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</si>
  <si>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</si>
  <si>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</si>
  <si>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</si>
  <si>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</si>
  <si>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</si>
  <si>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</si>
  <si>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</si>
  <si>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</si>
  <si>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</si>
  <si>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</si>
  <si>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</si>
  <si>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</si>
  <si>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</si>
  <si>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</si>
  <si>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</si>
  <si>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</si>
  <si>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</si>
  <si>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</si>
  <si>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</si>
  <si>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</si>
  <si>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</si>
  <si>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</si>
  <si>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</si>
  <si>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</si>
  <si>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</si>
  <si>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</si>
  <si>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</si>
  <si>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</si>
  <si>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</si>
  <si>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</si>
  <si>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</si>
  <si>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</si>
  <si>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</si>
  <si>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</si>
  <si>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</si>
  <si>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</si>
  <si>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</si>
  <si>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</si>
  <si>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</si>
  <si>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</si>
  <si>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</si>
  <si>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Wayne</t>
  </si>
  <si>
    <t>Geff CCSD 14</t>
  </si>
  <si>
    <t>201 East LaFayette St.</t>
  </si>
  <si>
    <t xml:space="preserve">Geff  </t>
  </si>
  <si>
    <t>jbarger@geffgs.org</t>
  </si>
  <si>
    <t>Jill Barger</t>
  </si>
  <si>
    <t>(618)897-2465</t>
  </si>
  <si>
    <t>(618)897-2565</t>
  </si>
  <si>
    <t>Caitlin M. Keepes, CPA</t>
  </si>
  <si>
    <t xml:space="preserve">Caitlin M. Keepes  </t>
  </si>
  <si>
    <t>114 South Walnut St.</t>
  </si>
  <si>
    <t>Carmi</t>
  </si>
  <si>
    <t>IL</t>
  </si>
  <si>
    <t>(618)382-3278</t>
  </si>
  <si>
    <t>(618)382-3279</t>
  </si>
  <si>
    <t>009/30/21</t>
  </si>
  <si>
    <t>c.keepes@darttandcompany.com</t>
  </si>
  <si>
    <t>#23 - The District prepared these financial statements using accounting practices prescribed by the Illinois State Board of Education, which differ from accounting principles generally accepted in the United States of America.  The report was also qualified due to the omission of the OPEB disclosure.</t>
  </si>
  <si>
    <t>Page 11, Line 107, Account No. 1999 - Other Local Revenues</t>
  </si>
  <si>
    <t>Educational Fund (10) - Refund/Reimbursement $2,194; Donation $472; Item Sales $425; Slot Fees $602</t>
  </si>
  <si>
    <t>Page 14, Line 265, Account No. 4999 - Other Restricted Revenue from Federal Sources</t>
  </si>
  <si>
    <t>Educational Fund (10) - REAP Program Funding $9,073</t>
  </si>
  <si>
    <t>Operations &amp; Maintenance Fund (20) - Miscellaneous $89</t>
  </si>
  <si>
    <t>Page 12, Line 154, Account No. 3599 - Transportation Other</t>
  </si>
  <si>
    <t>Transportation Fund (40) - Reimbursement $98</t>
  </si>
  <si>
    <t>Bus Lease #1 - (2) 65 Passenger Buses</t>
  </si>
  <si>
    <t>Capital Lease</t>
  </si>
  <si>
    <t>Wabash &amp; Ohio Valley Special Education District</t>
  </si>
  <si>
    <t>ED-Instruction-Purchased Services</t>
  </si>
  <si>
    <t>Miller Office Equipment</t>
  </si>
  <si>
    <t>ED-Support Services General Adm-Purchased Services</t>
  </si>
  <si>
    <t>Robbins Schwartz</t>
  </si>
  <si>
    <t>Bushue Human Resources</t>
  </si>
  <si>
    <t>Fairfield Community High School</t>
  </si>
  <si>
    <t>ED-Support Services Business-Purchased Services</t>
  </si>
  <si>
    <t>10-2560-300</t>
  </si>
  <si>
    <t>Brian Belangee</t>
  </si>
  <si>
    <t>O&amp;M-Support Services Business-Purchased Services</t>
  </si>
  <si>
    <t>20-2540-300</t>
  </si>
  <si>
    <t>Terminix Processing Center</t>
  </si>
  <si>
    <t>10-2540-300</t>
  </si>
  <si>
    <t>Johnston Sanitation</t>
  </si>
  <si>
    <t>TORT-Support Services General Adm-Purchased Services</t>
  </si>
  <si>
    <t>Page 25, Line 10 - Other Receipts</t>
  </si>
  <si>
    <t>Special Education - Mobile Home Privilege Tax $21</t>
  </si>
  <si>
    <t>Audit Check #8</t>
  </si>
  <si>
    <t>Total Long-Term Debt Issued (P24, Cell F49) $175,738 must = Principal on Long-Term Debt Sold (P8, Cells C33:K33 $0).</t>
  </si>
  <si>
    <t>The difference of $175,738 is the amount of capital leases executed in the current year.</t>
  </si>
  <si>
    <t>Total Long-Term Debt (Principal) Retired (P18, Cells H170) $0 must = Debt Service - Long-Term Debt (Principal) Retired (P24, Cells H49) $51,515.</t>
  </si>
  <si>
    <t>The difference of $51,515 is the bus lease amounts paid.</t>
  </si>
  <si>
    <t>FY18 Annual Statement of Affairs was filed on 01/14/2019, after the deadline of 12/15/2019.</t>
  </si>
  <si>
    <t>PDF pages 68-69 in Auditor's Report</t>
  </si>
  <si>
    <t>10-1000.300</t>
  </si>
  <si>
    <t>10-2300-300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</si>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</sst>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104775</xdr:rowOff>
        </xdr:from>
        <xdr:to>
          <xdr:col>1</xdr:col>
          <xdr:colOff>952500</xdr:colOff>
          <xdr:row>4</xdr:row>
          <xdr:rowOff>142875</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1285875</xdr:colOff>
          <xdr:row>0</xdr:row>
          <xdr:rowOff>104775</xdr:rowOff>
        </xdr:from>
        <xdr:to>
          <xdr:col>1</xdr:col>
          <xdr:colOff>2181225</xdr:colOff>
          <xdr:row>4</xdr:row>
          <xdr:rowOff>133350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1400-000005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2" t="s">
        <v>405</v>
      </c>
      <c r="J1" s="1983"/>
      <c r="K1" s="1983"/>
      <c r="L1" s="1983"/>
      <c r="M1" s="1983"/>
      <c r="N1" s="1983"/>
      <c r="O1" s="1983"/>
      <c r="P1" s="1983"/>
      <c r="Q1" s="1983"/>
      <c r="R1" s="1983"/>
      <c r="S1" s="1983"/>
    </row>
    <row r="2" spans="1:28" ht="12" customHeight="1" x14ac:dyDescent="0.2">
      <c r="A2" s="47" t="s">
        <v>1991</v>
      </c>
      <c r="D2" s="48"/>
      <c r="I2" s="1984" t="s">
        <v>979</v>
      </c>
      <c r="J2" s="1983"/>
      <c r="K2" s="1983"/>
      <c r="L2" s="1983"/>
      <c r="M2" s="1983"/>
      <c r="N2" s="1983"/>
      <c r="O2" s="1983"/>
      <c r="P2" s="1983"/>
      <c r="Q2" s="1983"/>
      <c r="R2" s="1983"/>
      <c r="S2" s="1983"/>
    </row>
    <row r="3" spans="1:28" ht="12" customHeight="1" x14ac:dyDescent="0.2">
      <c r="A3" s="155" t="s">
        <v>1943</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2064</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20096014004</v>
      </c>
      <c r="B13" s="2018"/>
      <c r="C13" s="2018"/>
      <c r="D13" s="2018"/>
      <c r="E13" s="2018"/>
      <c r="F13" s="2018"/>
      <c r="G13" s="2018"/>
      <c r="H13" s="2019"/>
      <c r="I13" s="31"/>
      <c r="J13" s="30"/>
      <c r="K13" s="28"/>
      <c r="L13" s="30"/>
      <c r="M13" s="30"/>
      <c r="N13" s="30"/>
      <c r="O13" s="30"/>
      <c r="P13" s="30"/>
      <c r="Q13" s="30"/>
      <c r="R13" s="30"/>
      <c r="S13" s="30"/>
      <c r="T13" s="2022" t="s">
        <v>2073</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2065</v>
      </c>
      <c r="B15" s="2020"/>
      <c r="C15" s="2020"/>
      <c r="D15" s="2020"/>
      <c r="E15" s="2020"/>
      <c r="F15" s="2020"/>
      <c r="G15" s="2020"/>
      <c r="H15" s="2021"/>
      <c r="T15" s="2026" t="s">
        <v>2074</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2066</v>
      </c>
      <c r="B17" s="1977"/>
      <c r="C17" s="1977"/>
      <c r="D17" s="1977"/>
      <c r="E17" s="1977"/>
      <c r="F17" s="1977"/>
      <c r="G17" s="1977"/>
      <c r="H17" s="2002"/>
      <c r="T17" s="2033" t="s">
        <v>2075</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2067</v>
      </c>
      <c r="B19" s="1962"/>
      <c r="C19" s="1962"/>
      <c r="D19" s="1962"/>
      <c r="E19" s="1962"/>
      <c r="F19" s="1962"/>
      <c r="G19" s="1962"/>
      <c r="H19" s="1942"/>
      <c r="I19" s="30"/>
      <c r="J19" s="99"/>
      <c r="K19" s="40"/>
      <c r="L19" s="38"/>
      <c r="M19" s="112" t="s">
        <v>315</v>
      </c>
      <c r="P19" s="27"/>
      <c r="Q19" s="27"/>
      <c r="R19" s="27"/>
      <c r="S19" s="31"/>
      <c r="T19" s="2016" t="s">
        <v>2076</v>
      </c>
      <c r="U19" s="1941"/>
      <c r="V19" s="1941"/>
      <c r="W19" s="1942"/>
      <c r="X19" s="2031" t="s">
        <v>2077</v>
      </c>
      <c r="Y19" s="2032"/>
      <c r="Z19" s="2029">
        <v>62821</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2068</v>
      </c>
      <c r="B21" s="1941"/>
      <c r="C21" s="1941"/>
      <c r="D21" s="1941"/>
      <c r="E21" s="1941"/>
      <c r="F21" s="1941"/>
      <c r="G21" s="1941"/>
      <c r="H21" s="1942"/>
      <c r="I21" s="1996" t="s">
        <v>678</v>
      </c>
      <c r="J21" s="1991"/>
      <c r="K21" s="1991"/>
      <c r="L21" s="1991"/>
      <c r="M21" s="1991"/>
      <c r="N21" s="1991"/>
      <c r="O21" s="1991"/>
      <c r="P21" s="1991"/>
      <c r="Q21" s="1991"/>
      <c r="R21" s="1991"/>
      <c r="S21" s="1997"/>
      <c r="T21" s="2040" t="s">
        <v>2078</v>
      </c>
      <c r="U21" s="2041"/>
      <c r="V21" s="2041"/>
      <c r="W21" s="2041"/>
      <c r="X21" s="2046" t="s">
        <v>2079</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2069</v>
      </c>
      <c r="B23" s="1994"/>
      <c r="C23" s="1994"/>
      <c r="D23" s="1994"/>
      <c r="E23" s="1994"/>
      <c r="F23" s="1994"/>
      <c r="G23" s="1994"/>
      <c r="H23" s="1995"/>
      <c r="T23" s="1976">
        <v>65044039</v>
      </c>
      <c r="U23" s="2039"/>
      <c r="V23" s="2039"/>
      <c r="W23" s="2039"/>
      <c r="X23" s="2043" t="s">
        <v>2080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62842</v>
      </c>
      <c r="B25" s="1941"/>
      <c r="C25" s="1941"/>
      <c r="D25" s="1941"/>
      <c r="E25" s="1941"/>
      <c r="F25" s="1941"/>
      <c r="G25" s="1941"/>
      <c r="H25" s="1942"/>
      <c r="I25" s="113"/>
      <c r="J25" s="1965"/>
      <c r="K25" s="1965"/>
      <c r="L25" s="1965"/>
      <c r="M25" s="1965"/>
      <c r="N25" s="1965"/>
      <c r="O25" s="1965"/>
      <c r="P25" s="1965"/>
      <c r="Q25" s="1965"/>
      <c r="R25" s="1965"/>
      <c r="S25" s="1966"/>
      <c r="T25" s="2036" t="s">
        <v>2081</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2070</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2069</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2071</v>
      </c>
      <c r="B42" s="1960"/>
      <c r="C42" s="1961"/>
      <c r="D42" s="1959" t="s">
        <v>2072</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H26" sqref="H2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9">
        <f>'Revenues 9-14'!C5</f>
        <v>103396</v>
      </c>
      <c r="C4" s="1524"/>
      <c r="D4" s="1752">
        <f>B4-C4</f>
        <v>103396</v>
      </c>
      <c r="E4" s="1524">
        <v>103431</v>
      </c>
      <c r="F4" s="1752">
        <f>E4-C4</f>
        <v>103431</v>
      </c>
    </row>
    <row r="5" spans="1:6" ht="13.7" customHeight="1" x14ac:dyDescent="0.2">
      <c r="A5" s="715" t="s">
        <v>870</v>
      </c>
      <c r="B5" s="1750">
        <f>'Revenues 9-14'!D5</f>
        <v>25849</v>
      </c>
      <c r="C5" s="585"/>
      <c r="D5" s="1753">
        <f t="shared" ref="D5:D18" si="0">B5-C5</f>
        <v>25849</v>
      </c>
      <c r="E5" s="585">
        <v>25858</v>
      </c>
      <c r="F5" s="1753">
        <f>E5-C5</f>
        <v>25858</v>
      </c>
    </row>
    <row r="6" spans="1:6" ht="13.7" customHeight="1" x14ac:dyDescent="0.2">
      <c r="A6" s="715" t="s">
        <v>411</v>
      </c>
      <c r="B6" s="1750">
        <f>'Revenues 9-14'!E5</f>
        <v>0</v>
      </c>
      <c r="C6" s="585"/>
      <c r="D6" s="1753">
        <f t="shared" si="0"/>
        <v>0</v>
      </c>
      <c r="E6" s="585">
        <v>0</v>
      </c>
      <c r="F6" s="1753">
        <f t="shared" ref="F6:F18" si="1">E6-C6</f>
        <v>0</v>
      </c>
    </row>
    <row r="7" spans="1:6" ht="13.7" customHeight="1" x14ac:dyDescent="0.2">
      <c r="A7" s="715" t="s">
        <v>155</v>
      </c>
      <c r="B7" s="1750">
        <f>'Revenues 9-14'!F5</f>
        <v>13786</v>
      </c>
      <c r="C7" s="585"/>
      <c r="D7" s="1753">
        <f t="shared" si="0"/>
        <v>13786</v>
      </c>
      <c r="E7" s="585">
        <v>13791</v>
      </c>
      <c r="F7" s="1753">
        <f t="shared" si="1"/>
        <v>13791</v>
      </c>
    </row>
    <row r="8" spans="1:6" ht="13.7" customHeight="1" x14ac:dyDescent="0.2">
      <c r="A8" s="715" t="s">
        <v>1179</v>
      </c>
      <c r="B8" s="1750">
        <f>'Revenues 9-14'!G5</f>
        <v>8997</v>
      </c>
      <c r="C8" s="585"/>
      <c r="D8" s="1753">
        <f t="shared" si="0"/>
        <v>8997</v>
      </c>
      <c r="E8" s="585">
        <v>8999.89</v>
      </c>
      <c r="F8" s="1753">
        <f t="shared" si="1"/>
        <v>8999.89</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3447</v>
      </c>
      <c r="C10" s="585"/>
      <c r="D10" s="1753">
        <f t="shared" si="0"/>
        <v>3447</v>
      </c>
      <c r="E10" s="585">
        <v>3448</v>
      </c>
      <c r="F10" s="1753">
        <f t="shared" si="1"/>
        <v>3448</v>
      </c>
    </row>
    <row r="11" spans="1:6" x14ac:dyDescent="0.2">
      <c r="A11" s="715" t="s">
        <v>409</v>
      </c>
      <c r="B11" s="1750">
        <f>'Revenues 9-14'!J5</f>
        <v>28490</v>
      </c>
      <c r="C11" s="585"/>
      <c r="D11" s="1753">
        <f t="shared" si="0"/>
        <v>28490</v>
      </c>
      <c r="E11" s="585">
        <v>28500</v>
      </c>
      <c r="F11" s="1753">
        <f t="shared" si="1"/>
        <v>28500</v>
      </c>
    </row>
    <row r="12" spans="1:6" ht="13.7" customHeight="1" x14ac:dyDescent="0.2">
      <c r="A12" s="715" t="s">
        <v>157</v>
      </c>
      <c r="B12" s="1750">
        <f>'Revenues 9-14'!K5</f>
        <v>3447</v>
      </c>
      <c r="C12" s="585"/>
      <c r="D12" s="1753">
        <f t="shared" si="0"/>
        <v>3447</v>
      </c>
      <c r="E12" s="585">
        <v>3447</v>
      </c>
      <c r="F12" s="1753">
        <f t="shared" si="1"/>
        <v>3447</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1379</v>
      </c>
      <c r="C14" s="585"/>
      <c r="D14" s="1753">
        <f t="shared" si="0"/>
        <v>1379</v>
      </c>
      <c r="E14" s="585">
        <v>1379</v>
      </c>
      <c r="F14" s="1753">
        <f t="shared" si="1"/>
        <v>1379</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8997</v>
      </c>
      <c r="C16" s="585"/>
      <c r="D16" s="1753">
        <f t="shared" si="0"/>
        <v>8997</v>
      </c>
      <c r="E16" s="585">
        <v>8999.89</v>
      </c>
      <c r="F16" s="1753">
        <f t="shared" si="1"/>
        <v>8999.89</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197788</v>
      </c>
      <c r="C19" s="1751">
        <f>SUM(C4:C18)</f>
        <v>0</v>
      </c>
      <c r="D19" s="1751">
        <f>SUM(D4:D18)</f>
        <v>197788</v>
      </c>
      <c r="E19" s="1751">
        <f>SUM(E4:E18)</f>
        <v>197853.78000000003</v>
      </c>
      <c r="F19" s="1751">
        <f>SUM(F4:F18)</f>
        <v>197853.78000000003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F49" sqref="F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1954</v>
      </c>
      <c r="D2" s="723" t="s">
        <v>1955</v>
      </c>
      <c r="E2" s="723" t="s">
        <v>1956</v>
      </c>
      <c r="F2" s="1884" t="s">
        <v>1957</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2090</v>
      </c>
      <c r="B31" s="733">
        <v>43465</v>
      </c>
      <c r="C31" s="734">
        <v>175738</v>
      </c>
      <c r="D31" s="735">
        <v>7</v>
      </c>
      <c r="E31" s="734"/>
      <c r="F31" s="734">
        <v>175738</v>
      </c>
      <c r="G31" s="734"/>
      <c r="H31" s="734">
        <v>51515</v>
      </c>
      <c r="I31" s="1756">
        <f>((E31+F31)-H31)+G31</f>
        <v>124223</v>
      </c>
      <c r="J31" s="734">
        <v>124223</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175738</v>
      </c>
      <c r="D49" s="745"/>
      <c r="E49" s="1756">
        <f t="shared" ref="E49:J49" si="2">SUM(E31:E48)</f>
        <v>0</v>
      </c>
      <c r="F49" s="1756">
        <f t="shared" si="2"/>
        <v>175738</v>
      </c>
      <c r="G49" s="1756">
        <f t="shared" si="2"/>
        <v>0</v>
      </c>
      <c r="H49" s="1756">
        <f t="shared" si="2"/>
        <v>51515</v>
      </c>
      <c r="I49" s="1756">
        <f t="shared" si="2"/>
        <v>124223</v>
      </c>
      <c r="J49" s="1756">
        <f t="shared" si="2"/>
        <v>124223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2091</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N30" sqref="N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1962</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1379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v>21</v>
      </c>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1400</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0</v>
      </c>
      <c r="I23" s="1758">
        <f>SUM(I14:I16,I21,I22)</f>
        <v>0</v>
      </c>
      <c r="J23" s="1758">
        <f>SUM(J14:J16,J21,J22)</f>
        <v>0</v>
      </c>
      <c r="K23" s="1758">
        <f>SUM(K14:K16,K21,K22)</f>
        <v>0</v>
      </c>
    </row>
    <row r="24" spans="1:11" ht="14.25" thickTop="1" thickBot="1" x14ac:dyDescent="0.25">
      <c r="A24" s="2247" t="s">
        <v>1963</v>
      </c>
      <c r="B24" s="2246"/>
      <c r="C24" s="2246"/>
      <c r="D24" s="2246"/>
      <c r="E24" s="2246"/>
      <c r="F24" s="1762"/>
      <c r="G24" s="1763">
        <f>SUM(G3,G12)-G23</f>
        <v>0</v>
      </c>
      <c r="H24" s="1763">
        <f>SUM(H3,H12)-H23</f>
        <v>1400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1400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K26" sqref="K2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6317</v>
      </c>
      <c r="D5" s="841"/>
      <c r="E5" s="841"/>
      <c r="F5" s="1760">
        <f>(C5+D5)-E5</f>
        <v>6317</v>
      </c>
      <c r="G5" s="837"/>
      <c r="H5" s="842"/>
      <c r="I5" s="842"/>
      <c r="J5" s="842"/>
      <c r="K5" s="793"/>
      <c r="L5" s="1769">
        <f>F5-K5</f>
        <v>6317</v>
      </c>
    </row>
    <row r="6" spans="1:14" ht="14.25" thickTop="1" thickBot="1" x14ac:dyDescent="0.25">
      <c r="A6" s="778" t="s">
        <v>1117</v>
      </c>
      <c r="B6" s="840">
        <v>222</v>
      </c>
      <c r="C6" s="765">
        <v>13700</v>
      </c>
      <c r="D6" s="765"/>
      <c r="E6" s="765"/>
      <c r="F6" s="1760">
        <f>(C6+D6)-E6</f>
        <v>13700</v>
      </c>
      <c r="G6" s="837">
        <v>50</v>
      </c>
      <c r="H6" s="765">
        <v>964</v>
      </c>
      <c r="I6" s="765">
        <v>274</v>
      </c>
      <c r="J6" s="765"/>
      <c r="K6" s="1769">
        <f>(H6+I6)-J6</f>
        <v>1238</v>
      </c>
      <c r="L6" s="1769">
        <f>F6-K6</f>
        <v>12462</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448304</v>
      </c>
      <c r="D8" s="844">
        <v>5116</v>
      </c>
      <c r="E8" s="844"/>
      <c r="F8" s="1760">
        <f>(C8+D8)-E8</f>
        <v>453420</v>
      </c>
      <c r="G8" s="843">
        <v>50</v>
      </c>
      <c r="H8" s="765">
        <v>230303</v>
      </c>
      <c r="I8" s="765">
        <v>5918</v>
      </c>
      <c r="J8" s="765"/>
      <c r="K8" s="1769">
        <f>(H8+I8)-J8</f>
        <v>236221</v>
      </c>
      <c r="L8" s="1769">
        <f>F8-K8</f>
        <v>217199</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181416</v>
      </c>
      <c r="D10" s="846"/>
      <c r="E10" s="846"/>
      <c r="F10" s="1764">
        <f>(C10+D10)-E10</f>
        <v>181416</v>
      </c>
      <c r="G10" s="843">
        <v>20</v>
      </c>
      <c r="H10" s="847">
        <v>102916</v>
      </c>
      <c r="I10" s="847">
        <v>8967</v>
      </c>
      <c r="J10" s="847"/>
      <c r="K10" s="1769">
        <f>(H10+I10)-J10</f>
        <v>111883</v>
      </c>
      <c r="L10" s="1769">
        <f>F10-K10</f>
        <v>69533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254623</v>
      </c>
      <c r="D12" s="844">
        <v>6132</v>
      </c>
      <c r="E12" s="844"/>
      <c r="F12" s="1760">
        <f>(C12+D12)-E12</f>
        <v>260755</v>
      </c>
      <c r="G12" s="843">
        <v>10</v>
      </c>
      <c r="H12" s="765">
        <v>125911</v>
      </c>
      <c r="I12" s="765">
        <v>20569</v>
      </c>
      <c r="J12" s="765"/>
      <c r="K12" s="1769">
        <f>(H12+I12)-J12</f>
        <v>146480</v>
      </c>
      <c r="L12" s="1769">
        <f>F12-K12</f>
        <v>114275</v>
      </c>
    </row>
    <row r="13" spans="1:14" ht="14.25" thickTop="1" thickBot="1" x14ac:dyDescent="0.25">
      <c r="A13" s="848" t="s">
        <v>1122</v>
      </c>
      <c r="B13" s="840">
        <v>252</v>
      </c>
      <c r="C13" s="844">
        <v>182939</v>
      </c>
      <c r="D13" s="844">
        <v>175738</v>
      </c>
      <c r="E13" s="844">
        <v>125390</v>
      </c>
      <c r="F13" s="1760">
        <f>(C13+D13)-E13</f>
        <v>233287</v>
      </c>
      <c r="G13" s="843">
        <v>5</v>
      </c>
      <c r="H13" s="765">
        <v>182938</v>
      </c>
      <c r="I13" s="765">
        <v>17574</v>
      </c>
      <c r="J13" s="765">
        <v>125390</v>
      </c>
      <c r="K13" s="1769">
        <f>(H13+I13)-J13</f>
        <v>75122</v>
      </c>
      <c r="L13" s="1769">
        <f>F13-K13</f>
        <v>158165</v>
      </c>
    </row>
    <row r="14" spans="1:14" ht="14.25" thickTop="1" thickBot="1" x14ac:dyDescent="0.25">
      <c r="A14" s="848" t="s">
        <v>1123</v>
      </c>
      <c r="B14" s="840">
        <v>253</v>
      </c>
      <c r="C14" s="765">
        <v>0</v>
      </c>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1087299</v>
      </c>
      <c r="D16" s="1760">
        <f>SUM(D3,D5:D6,D8:D10,D12:D15)</f>
        <v>186986</v>
      </c>
      <c r="E16" s="1760">
        <f>SUM(E3,E5:E6,E8:E10,E12:E15)</f>
        <v>125390</v>
      </c>
      <c r="F16" s="1760">
        <f>SUM(F3,F5:F6,F8:F10,F12:F15)</f>
        <v>1148895</v>
      </c>
      <c r="G16" s="843"/>
      <c r="H16" s="1760">
        <f>SUM(H3,H6,H8:H10,H12:H14,)</f>
        <v>643032</v>
      </c>
      <c r="I16" s="1760">
        <f>SUM(I3,I6,I8:I10,I12:I14,)</f>
        <v>53302</v>
      </c>
      <c r="J16" s="1760">
        <f>SUM(J3,J6,J8:J10,J12:J14,)</f>
        <v>125390</v>
      </c>
      <c r="K16" s="1760">
        <f>(H16+I16)-J16</f>
        <v>570944</v>
      </c>
      <c r="L16" s="1760">
        <f>F16-K16</f>
        <v>577951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53302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0" activePane="bottomLeft" state="frozen"/>
      <selection activeCell="A47" sqref="A47"/>
      <selection pane="bottomLeft" activeCell="K32" sqref="K3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847936</v>
      </c>
      <c r="G8" s="865"/>
    </row>
    <row r="9" spans="1:7" x14ac:dyDescent="0.2">
      <c r="A9" s="869" t="s">
        <v>460</v>
      </c>
      <c r="B9" s="870" t="s">
        <v>1876</v>
      </c>
      <c r="C9" s="871"/>
      <c r="D9" s="869" t="s">
        <v>501</v>
      </c>
      <c r="E9" s="868"/>
      <c r="F9" s="1909">
        <f>'Expenditures 15-22'!K151</f>
        <v>69105</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87995</v>
      </c>
      <c r="G11" s="872"/>
    </row>
    <row r="12" spans="1:7" x14ac:dyDescent="0.2">
      <c r="A12" s="869" t="s">
        <v>462</v>
      </c>
      <c r="B12" s="870" t="s">
        <v>1879</v>
      </c>
      <c r="C12" s="871"/>
      <c r="D12" s="869" t="s">
        <v>501</v>
      </c>
      <c r="E12" s="868"/>
      <c r="F12" s="1909">
        <f>'Expenditures 15-22'!K295</f>
        <v>33135</v>
      </c>
      <c r="G12" s="872"/>
    </row>
    <row r="13" spans="1:7" x14ac:dyDescent="0.2">
      <c r="A13" s="869" t="s">
        <v>106</v>
      </c>
      <c r="B13" s="870" t="s">
        <v>1880</v>
      </c>
      <c r="C13" s="871"/>
      <c r="D13" s="869" t="s">
        <v>501</v>
      </c>
      <c r="E13" s="868"/>
      <c r="F13" s="1909">
        <f>'Expenditures 15-22'!K342</f>
        <v>20774</v>
      </c>
      <c r="G13" s="873"/>
    </row>
    <row r="14" spans="1:7" ht="12" customHeight="1" thickBot="1" x14ac:dyDescent="0.25">
      <c r="A14" s="1770"/>
      <c r="B14" s="1771"/>
      <c r="C14" s="1772"/>
      <c r="D14" s="1773" t="s">
        <v>501</v>
      </c>
      <c r="E14" s="1774" t="s">
        <v>958</v>
      </c>
      <c r="F14" s="1775">
        <f>SUM(F8:F13)</f>
        <v>1058945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9500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11248</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51515</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72263</v>
      </c>
      <c r="G76" s="865"/>
    </row>
    <row r="77" spans="1:8" s="893" customFormat="1" ht="12" customHeight="1" thickTop="1" thickBot="1" x14ac:dyDescent="0.25">
      <c r="A77" s="1779"/>
      <c r="B77" s="1776"/>
      <c r="C77" s="1772"/>
      <c r="D77" s="1777" t="s">
        <v>1899</v>
      </c>
      <c r="E77" s="1774"/>
      <c r="F77" s="1780">
        <f>(F14-F76)</f>
        <v>986682</v>
      </c>
      <c r="G77" s="869"/>
    </row>
    <row r="78" spans="1:8" s="893" customFormat="1" ht="12" customHeight="1" thickTop="1" x14ac:dyDescent="0.2">
      <c r="A78" s="1781"/>
      <c r="B78" s="1776"/>
      <c r="C78" s="1772"/>
      <c r="D78" s="1777" t="s">
        <v>2060</v>
      </c>
      <c r="E78" s="1774"/>
      <c r="F78" s="898">
        <v>90.638999999999996</v>
      </c>
      <c r="G78" s="899"/>
      <c r="H78" s="869"/>
    </row>
    <row r="79" spans="1:8" s="893" customFormat="1" ht="12" customHeight="1" thickBot="1" x14ac:dyDescent="0.25">
      <c r="A79" s="1782"/>
      <c r="B79" s="1776"/>
      <c r="C79" s="1772"/>
      <c r="D79" s="1777" t="s">
        <v>1900</v>
      </c>
      <c r="E79" s="1774" t="s">
        <v>958</v>
      </c>
      <c r="F79" s="1783">
        <f>IF(F78&gt;0,F77/F78," Complete Line 78")</f>
        <v>10885.843842054745</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15566</v>
      </c>
      <c r="G94" s="912"/>
    </row>
    <row r="95" spans="1:7" x14ac:dyDescent="0.2">
      <c r="A95" s="908" t="s">
        <v>140</v>
      </c>
      <c r="B95" s="908" t="s">
        <v>175</v>
      </c>
      <c r="C95" s="910">
        <v>1700</v>
      </c>
      <c r="D95" s="918" t="str">
        <f>'Revenues 9-14'!A82</f>
        <v>Total District/School Activity Income</v>
      </c>
      <c r="E95" s="906"/>
      <c r="F95" s="1789">
        <f>SUM('Revenues 9-14'!C82,'Revenues 9-14'!D82)</f>
        <v>2636</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604</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49155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36468</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19367</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1122</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7026</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1696</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8354</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9073</v>
      </c>
      <c r="G170" s="927"/>
    </row>
    <row r="171" spans="1:7" x14ac:dyDescent="0.2">
      <c r="A171" s="1918" t="s">
        <v>5</v>
      </c>
      <c r="B171" s="1919" t="s">
        <v>1919</v>
      </c>
      <c r="C171" s="1920">
        <v>3100</v>
      </c>
      <c r="D171" s="1921" t="s">
        <v>1921</v>
      </c>
      <c r="E171" s="906"/>
      <c r="F171" s="1906">
        <v>34826</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185893</v>
      </c>
    </row>
    <row r="175" spans="1:7" ht="12" customHeight="1" x14ac:dyDescent="0.2">
      <c r="A175" s="1770"/>
      <c r="B175" s="1784"/>
      <c r="C175" s="1785"/>
      <c r="D175" s="1786" t="s">
        <v>2055</v>
      </c>
      <c r="E175" s="1787"/>
      <c r="F175" s="1789">
        <f>'PCTC-OEPP 27-28'!F77-F174</f>
        <v>800789</v>
      </c>
    </row>
    <row r="176" spans="1:7" ht="12" customHeight="1" x14ac:dyDescent="0.2">
      <c r="A176" s="1770"/>
      <c r="B176" s="1784"/>
      <c r="C176" s="1785"/>
      <c r="D176" s="1786" t="s">
        <v>1817</v>
      </c>
      <c r="E176" s="1787"/>
      <c r="F176" s="1789">
        <f>'Cap Outlay Deprec 26'!I18</f>
        <v>53302</v>
      </c>
    </row>
    <row r="177" spans="1:7" ht="12" customHeight="1" x14ac:dyDescent="0.2">
      <c r="A177" s="1770"/>
      <c r="B177" s="1784"/>
      <c r="C177" s="1785"/>
      <c r="D177" s="1786" t="s">
        <v>2056</v>
      </c>
      <c r="E177" s="1787"/>
      <c r="F177" s="1789">
        <f>F175+F176</f>
        <v>854091</v>
      </c>
    </row>
    <row r="178" spans="1:7" ht="12" customHeight="1" x14ac:dyDescent="0.2">
      <c r="A178" s="1770"/>
      <c r="B178" s="1790"/>
      <c r="C178" s="1785"/>
      <c r="D178" s="1786" t="str">
        <f>D78</f>
        <v>9 Month ADA from District Average Daily Attendance/Prior General State Aid Inquiry 2018-2019</v>
      </c>
      <c r="E178" s="1787"/>
      <c r="F178" s="1791">
        <f>'PCTC-OEPP 27-28'!F78</f>
        <v>90.638999999999996</v>
      </c>
      <c r="G178" s="930"/>
    </row>
    <row r="179" spans="1:7" ht="12" customHeight="1" thickBot="1" x14ac:dyDescent="0.25">
      <c r="A179" s="1770"/>
      <c r="B179" s="1790"/>
      <c r="C179" s="1785"/>
      <c r="D179" s="1786" t="s">
        <v>2057</v>
      </c>
      <c r="E179" s="1787" t="s">
        <v>1545</v>
      </c>
      <c r="F179" s="1792">
        <f>F177/F178</f>
        <v>9422.9967232648196</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B27" sqref="B2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2063</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1974</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2093</v>
      </c>
      <c r="B17" s="2486" t="s">
        <v>2117</v>
      </c>
      <c r="C17" s="1939" t="s">
        <v>2094</v>
      </c>
      <c r="D17" s="1844">
        <v>2520</v>
      </c>
      <c r="E17" s="1540">
        <f t="shared" ref="E17:E141" si="0">IF(D17&lt;=25000,D17,IF(D17&gt;25000,25000,0))</f>
        <v>2520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7" t="s">
        <v>2095</v>
      </c>
      <c r="B18" s="2486" t="s">
        <v>2118</v>
      </c>
      <c r="C18" s="1939" t="s">
        <v>2096</v>
      </c>
      <c r="D18" s="1844">
        <v>1870</v>
      </c>
      <c r="E18" s="1540">
        <f t="shared" ref="E18:E140" si="2">IF(D18&lt;=25000,D18,IF(D18&gt;25000,25000,0))</f>
        <v>1870</v>
      </c>
      <c r="F18" s="1932">
        <f t="shared" si="1"/>
        <v>1870</v>
      </c>
      <c r="G18" s="1793">
        <f t="shared" ref="G18:G140" si="3">IF(F18=0,0,D18-F18)</f>
        <v>0</v>
      </c>
    </row>
    <row r="19" spans="1:8" x14ac:dyDescent="0.25">
      <c r="A19" s="1937" t="s">
        <v>2095</v>
      </c>
      <c r="B19" s="2486" t="s">
        <v>2118</v>
      </c>
      <c r="C19" s="1939" t="s">
        <v>2097</v>
      </c>
      <c r="D19" s="1844">
        <v>5580</v>
      </c>
      <c r="E19" s="1540">
        <f t="shared" si="2"/>
        <v>5580</v>
      </c>
      <c r="F19" s="1932">
        <f t="shared" si="1"/>
        <v>5580</v>
      </c>
      <c r="G19" s="1793">
        <f t="shared" si="3"/>
        <v>0</v>
      </c>
    </row>
    <row r="20" spans="1:8" x14ac:dyDescent="0.25">
      <c r="A20" s="1937" t="s">
        <v>2095</v>
      </c>
      <c r="B20" s="2486" t="s">
        <v>2118</v>
      </c>
      <c r="C20" s="1939" t="s">
        <v>2073</v>
      </c>
      <c r="D20" s="1844">
        <v>6000</v>
      </c>
      <c r="E20" s="1540">
        <f t="shared" si="2"/>
        <v>6000</v>
      </c>
      <c r="F20" s="1932">
        <f t="shared" si="1"/>
        <v>6000</v>
      </c>
      <c r="G20" s="1793">
        <f t="shared" si="3"/>
        <v>0</v>
      </c>
    </row>
    <row r="21" spans="1:8" x14ac:dyDescent="0.25">
      <c r="A21" s="1937" t="s">
        <v>2095</v>
      </c>
      <c r="B21" s="2486" t="s">
        <v>2118</v>
      </c>
      <c r="C21" s="1939" t="s">
        <v>2098</v>
      </c>
      <c r="D21" s="1844">
        <v>295</v>
      </c>
      <c r="E21" s="1540">
        <f t="shared" si="2"/>
        <v>295</v>
      </c>
      <c r="F21" s="1932">
        <f t="shared" si="1"/>
        <v>295</v>
      </c>
      <c r="G21" s="1793">
        <f t="shared" si="3"/>
        <v>0</v>
      </c>
    </row>
    <row r="22" spans="1:8" x14ac:dyDescent="0.25">
      <c r="A22" s="1937" t="s">
        <v>2099</v>
      </c>
      <c r="B22" s="1938" t="s">
        <v>2100</v>
      </c>
      <c r="C22" s="1939" t="s">
        <v>2101</v>
      </c>
      <c r="D22" s="1844">
        <v>125</v>
      </c>
      <c r="E22" s="1540">
        <f t="shared" si="2"/>
        <v>125</v>
      </c>
      <c r="F22" s="1932">
        <f t="shared" si="1"/>
        <v>125</v>
      </c>
      <c r="G22" s="1793">
        <f t="shared" si="3"/>
        <v>0</v>
      </c>
    </row>
    <row r="23" spans="1:8" x14ac:dyDescent="0.25">
      <c r="A23" s="1937" t="s">
        <v>2099</v>
      </c>
      <c r="B23" s="1938" t="s">
        <v>2105</v>
      </c>
      <c r="C23" s="1939" t="s">
        <v>2106</v>
      </c>
      <c r="D23" s="1844">
        <v>960</v>
      </c>
      <c r="E23" s="1540">
        <f t="shared" si="2"/>
        <v>960</v>
      </c>
      <c r="F23" s="1932">
        <f t="shared" si="1"/>
        <v>960</v>
      </c>
      <c r="G23" s="1793">
        <f t="shared" si="3"/>
        <v>0</v>
      </c>
    </row>
    <row r="24" spans="1:8" x14ac:dyDescent="0.25">
      <c r="A24" s="1937" t="s">
        <v>2099</v>
      </c>
      <c r="B24" s="1938" t="s">
        <v>2105</v>
      </c>
      <c r="C24" s="1939" t="s">
        <v>2104</v>
      </c>
      <c r="D24" s="1844">
        <v>160</v>
      </c>
      <c r="E24" s="1540">
        <f t="shared" si="2"/>
        <v>160</v>
      </c>
      <c r="F24" s="1932">
        <f t="shared" si="1"/>
        <v>160</v>
      </c>
      <c r="G24" s="1793">
        <f t="shared" si="3"/>
        <v>0</v>
      </c>
    </row>
    <row r="25" spans="1:8" x14ac:dyDescent="0.25">
      <c r="A25" s="1937" t="s">
        <v>2102</v>
      </c>
      <c r="B25" s="1938" t="s">
        <v>2103</v>
      </c>
      <c r="C25" s="1939" t="s">
        <v>2104</v>
      </c>
      <c r="D25" s="1844">
        <v>264</v>
      </c>
      <c r="E25" s="1540">
        <f t="shared" si="2"/>
        <v>264</v>
      </c>
      <c r="F25" s="1932">
        <f t="shared" si="1"/>
        <v>264</v>
      </c>
      <c r="G25" s="1793">
        <f t="shared" si="3"/>
        <v>0</v>
      </c>
    </row>
    <row r="26" spans="1:8" x14ac:dyDescent="0.25">
      <c r="A26" s="1937" t="s">
        <v>2107</v>
      </c>
      <c r="B26" s="2486" t="s">
        <v>2119</v>
      </c>
      <c r="C26" s="1939" t="s">
        <v>2097</v>
      </c>
      <c r="D26" s="1844">
        <v>5700</v>
      </c>
      <c r="E26" s="1540">
        <f t="shared" si="2"/>
        <v>5700</v>
      </c>
      <c r="F26" s="1932">
        <f t="shared" si="1"/>
        <v>5700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23474</v>
      </c>
      <c r="E141" s="1541">
        <f t="shared" si="0"/>
        <v>23474</v>
      </c>
      <c r="F141" s="1933">
        <f>SUM(F17:F140)</f>
        <v>20954</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6" colorId="8" zoomScale="110" zoomScaleNormal="110" workbookViewId="0">
      <selection activeCell="D29" sqref="D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29184</v>
      </c>
      <c r="F10" s="974"/>
      <c r="G10" s="975"/>
      <c r="H10" s="162"/>
      <c r="I10" s="162"/>
    </row>
    <row r="11" spans="1:9" s="668" customFormat="1" ht="22.5" customHeight="1" x14ac:dyDescent="0.2">
      <c r="A11" s="2286" t="s">
        <v>1975</v>
      </c>
      <c r="B11" s="2287"/>
      <c r="C11" s="2287"/>
      <c r="D11" s="2288"/>
      <c r="E11" s="977">
        <v>3896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615331</v>
      </c>
      <c r="F19" s="1799"/>
      <c r="G19" s="1801">
        <f>'Expenditures 15-22'!K33-SUM('Expenditures 15-22'!G33,'Expenditures 15-22'!I33)+'Expenditures 15-22'!D229</f>
        <v>615331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15742</v>
      </c>
      <c r="F22" s="1802"/>
      <c r="G22" s="1805">
        <f>'Expenditures 15-22'!K47-SUM('Expenditures 15-22'!G47,'Expenditures 15-22'!I47)+'Expenditures 15-22'!D243</f>
        <v>15742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84740</v>
      </c>
      <c r="F23" s="1802"/>
      <c r="G23" s="1804">
        <f>'Expenditures 15-22'!K53-SUM('Expenditures 15-22'!G53,'Expenditures 15-22'!I53)+'Expenditures 15-22'!D257+'Expenditures 15-22'!K330-SUM('Expenditures 15-22'!G330,'Expenditures 15-22'!I330)</f>
        <v>84740</v>
      </c>
      <c r="H23" s="987"/>
      <c r="I23" s="162"/>
    </row>
    <row r="24" spans="1:9" s="668" customFormat="1" ht="12" customHeight="1" x14ac:dyDescent="0.2">
      <c r="A24" s="994" t="s">
        <v>566</v>
      </c>
      <c r="B24" s="995"/>
      <c r="C24" s="993">
        <v>2400</v>
      </c>
      <c r="D24" s="1802"/>
      <c r="E24" s="1804">
        <f>'Expenditures 15-22'!K57-SUM('Expenditures 15-22'!G57,'Expenditures 15-22'!I57)+'Expenditures 15-22'!D261</f>
        <v>68657</v>
      </c>
      <c r="F24" s="1802"/>
      <c r="G24" s="1805">
        <f>'Expenditures 15-22'!K57-SUM('Expenditures 15-22'!G57,'Expenditures 15-22'!I57)+'Expenditures 15-22'!D261</f>
        <v>68657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16586</v>
      </c>
      <c r="E27" s="1804">
        <f>E8</f>
        <v>0</v>
      </c>
      <c r="F27" s="1804">
        <f>'Expenditures 15-22'!K60-SUM('Expenditures 15-22'!G60,'Expenditures 15-22'!I60)+'Expenditures 15-22'!D264-E8</f>
        <v>16586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93306</v>
      </c>
      <c r="F28" s="1806">
        <f>'Expenditures 15-22'!K61-SUM('Expenditures 15-22'!G61,'Expenditures 15-22'!I61)+'Expenditures 15-22'!K124-SUM('Expenditures 15-22'!G124,'Expenditures 15-22'!I124)+'Expenditures 15-22'!D266-E9</f>
        <v>93306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35184</v>
      </c>
      <c r="F29" s="1802"/>
      <c r="G29" s="1805">
        <f>'Expenditures 15-22'!K62-SUM('Expenditures 15-22'!G62,'Expenditures 15-22'!I62)+'Expenditures 15-22'!K125-SUM('Expenditures 15-22'!G125,'Expenditures 15-22'!I125)+'Expenditures 15-22'!K182-SUM('Expenditures 15-22'!G182,'Expenditures 15-22'!I182)+'Expenditures 15-22'!D267</f>
        <v>35184</v>
      </c>
      <c r="H29" s="985"/>
    </row>
    <row r="30" spans="1:9" ht="12" customHeight="1" x14ac:dyDescent="0.2">
      <c r="A30" s="994" t="s">
        <v>100</v>
      </c>
      <c r="B30" s="997"/>
      <c r="C30" s="993">
        <v>2560</v>
      </c>
      <c r="D30" s="1802"/>
      <c r="E30" s="1804">
        <f>'Expenditures 15-22'!K63-SUM('Expenditures 15-22'!G63,'Expenditures 15-22'!I63)+'Expenditures 15-22'!D268-E10</f>
        <v>33575</v>
      </c>
      <c r="F30" s="1802"/>
      <c r="G30" s="1804">
        <f>'Expenditures 15-22'!K63-SUM('Expenditures 15-22'!G63,'Expenditures 15-22'!I63)+'Expenditures 15-22'!D268-E10</f>
        <v>33575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16586</v>
      </c>
      <c r="E41" s="1806">
        <f>SUM(E19:E40)</f>
        <v>946535</v>
      </c>
      <c r="F41" s="1806">
        <f>SUM(F19:F39)</f>
        <v>109892</v>
      </c>
      <c r="G41" s="1806">
        <f>SUM(G19:G40)</f>
        <v>853229</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16586</v>
      </c>
      <c r="F43" s="1807" t="s">
        <v>473</v>
      </c>
      <c r="G43" s="1808">
        <f>F41</f>
        <v>109892</v>
      </c>
    </row>
    <row r="44" spans="1:7" ht="12" customHeight="1" x14ac:dyDescent="0.2">
      <c r="A44" s="987"/>
      <c r="B44" s="162"/>
      <c r="C44" s="1001"/>
      <c r="D44" s="1807" t="s">
        <v>474</v>
      </c>
      <c r="E44" s="1808">
        <f>E41</f>
        <v>946535</v>
      </c>
      <c r="F44" s="1807" t="s">
        <v>474</v>
      </c>
      <c r="G44" s="1808">
        <f>G41</f>
        <v>853229</v>
      </c>
    </row>
    <row r="45" spans="1:7" ht="12" customHeight="1" x14ac:dyDescent="0.2">
      <c r="A45" s="987"/>
      <c r="B45" s="162"/>
      <c r="C45" s="162"/>
      <c r="D45" s="1809" t="s">
        <v>1006</v>
      </c>
      <c r="E45" s="1810">
        <f>(E43/E44)</f>
        <v>1.752285969351371E-2</v>
      </c>
      <c r="F45" s="1809" t="s">
        <v>1006</v>
      </c>
      <c r="G45" s="1810">
        <f>(G43/G44)</f>
        <v>0.12879543475432739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7" activePane="bottomLeft" state="frozen"/>
      <selection activeCell="A47" sqref="A47"/>
      <selection pane="bottomLeft" activeCell="D27" sqref="D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Geff CCSD 14</v>
      </c>
      <c r="D6" s="2307"/>
      <c r="E6" s="2307"/>
      <c r="F6" s="1852"/>
    </row>
    <row r="7" spans="1:10" ht="11.25" customHeight="1" thickBot="1" x14ac:dyDescent="0.3">
      <c r="A7" s="1850"/>
      <c r="B7" s="1851"/>
      <c r="C7" s="2308">
        <f>COVER!A13</f>
        <v>20096014004</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2092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E11" sqref="E11:J2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Geff CCSD 14</v>
      </c>
      <c r="J6" s="2317"/>
      <c r="Q6" s="1664"/>
    </row>
    <row r="7" spans="1:17" x14ac:dyDescent="0.2">
      <c r="A7" s="2318" t="s">
        <v>869</v>
      </c>
      <c r="B7" s="2319"/>
      <c r="C7" s="2319"/>
      <c r="D7" s="2319"/>
      <c r="E7" s="2320"/>
      <c r="F7" s="1017"/>
      <c r="G7" s="1009"/>
      <c r="H7" s="1016" t="s">
        <v>372</v>
      </c>
      <c r="I7" s="2321">
        <f>COVER!A13</f>
        <v>20096014004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29533</v>
      </c>
      <c r="F12" s="1039"/>
      <c r="G12" s="1811">
        <f t="shared" ref="G12:G18" si="0">SUM(E12:F12)</f>
        <v>29533</v>
      </c>
      <c r="H12" s="1040">
        <v>30900</v>
      </c>
      <c r="I12" s="1039"/>
      <c r="J12" s="1811">
        <f t="shared" ref="J12:J18" si="1">SUM(H12:I12)</f>
        <v>30900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29533</v>
      </c>
      <c r="F19" s="1813">
        <f t="shared" si="2"/>
        <v>0</v>
      </c>
      <c r="G19" s="1813">
        <f t="shared" si="2"/>
        <v>29533</v>
      </c>
      <c r="H19" s="1813">
        <f t="shared" si="2"/>
        <v>30900</v>
      </c>
      <c r="I19" s="1813">
        <f t="shared" si="2"/>
        <v>0</v>
      </c>
      <c r="J19" s="1813">
        <f t="shared" si="2"/>
        <v>30900</v>
      </c>
    </row>
    <row r="20" spans="1:10" ht="13.5" thickTop="1" x14ac:dyDescent="0.2">
      <c r="A20" s="1035">
        <v>9</v>
      </c>
      <c r="B20" s="2328" t="s">
        <v>1979</v>
      </c>
      <c r="C20" s="2328"/>
      <c r="D20" s="2329"/>
      <c r="E20" s="1046"/>
      <c r="F20" s="1046"/>
      <c r="G20" s="1046"/>
      <c r="H20" s="1046"/>
      <c r="I20" s="1046"/>
      <c r="J20" s="1814">
        <f>IF(AND(G19&gt;0,J19&gt;0),(((J19-G19)/G19)),"Enter Budget Data")</f>
        <v>4.6287204144516307E-2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70"/>
  <sheetViews>
    <sheetView showGridLines="0" zoomScale="110" zoomScaleNormal="110" workbookViewId="0">
      <selection activeCell="B13" sqref="B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89" t="s">
        <v>2083</v>
      </c>
    </row>
    <row r="6" spans="1:2" x14ac:dyDescent="0.2">
      <c r="A6" s="1068"/>
      <c r="B6" s="329" t="s">
        <v>2084</v>
      </c>
    </row>
    <row r="7" spans="1:2" x14ac:dyDescent="0.2">
      <c r="A7" s="1068"/>
      <c r="B7" s="329" t="s">
        <v>2087</v>
      </c>
    </row>
    <row r="8" spans="1:2" x14ac:dyDescent="0.2">
      <c r="A8" s="1068">
        <v>2</v>
      </c>
      <c r="B8" s="389" t="s">
        <v>2085</v>
      </c>
    </row>
    <row r="9" spans="1:2" x14ac:dyDescent="0.2">
      <c r="A9" s="1068"/>
      <c r="B9" s="329" t="s">
        <v>2086</v>
      </c>
    </row>
    <row r="10" spans="1:2" x14ac:dyDescent="0.2">
      <c r="A10" s="1068">
        <v>3</v>
      </c>
      <c r="B10" s="389" t="s">
        <v>2088</v>
      </c>
    </row>
    <row r="11" spans="1:2" x14ac:dyDescent="0.2">
      <c r="A11" s="1068"/>
      <c r="B11" s="329" t="s">
        <v>2089</v>
      </c>
    </row>
    <row r="12" spans="1:2" x14ac:dyDescent="0.2">
      <c r="A12" s="1068">
        <v>4</v>
      </c>
      <c r="B12" s="389" t="s">
        <v>2108</v>
      </c>
    </row>
    <row r="13" spans="1:2" x14ac:dyDescent="0.2">
      <c r="A13" s="1069"/>
      <c r="B13" s="329" t="s">
        <v>2109</v>
      </c>
    </row>
    <row r="14" spans="1:2" x14ac:dyDescent="0.2">
      <c r="A14" s="1068">
        <v>5</v>
      </c>
      <c r="B14" s="389" t="s">
        <v>2110</v>
      </c>
    </row>
    <row r="15" spans="1:2" x14ac:dyDescent="0.2">
      <c r="A15" s="1069"/>
      <c r="B15" s="329" t="s">
        <v>2111</v>
      </c>
    </row>
    <row r="16" spans="1:2" x14ac:dyDescent="0.2">
      <c r="A16" s="1069"/>
      <c r="B16" s="329" t="s">
        <v>2112</v>
      </c>
    </row>
    <row r="17" spans="1:2" x14ac:dyDescent="0.2">
      <c r="A17" s="1069"/>
      <c r="B17" s="329" t="s">
        <v>2113</v>
      </c>
    </row>
    <row r="18" spans="1:2" x14ac:dyDescent="0.2">
      <c r="A18" s="1069"/>
      <c r="B18" s="329" t="s">
        <v>2114</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row>
    <row r="69" spans="1:2" x14ac:dyDescent="0.2">
      <c r="A69" s="1069"/>
      <c r="B69" s="258" t="str">
        <f>COVER!A17</f>
        <v>Geff CCSD 14</v>
      </c>
    </row>
    <row r="70" spans="1:2" x14ac:dyDescent="0.2">
      <c r="B70" s="1070">
        <f>COVER!A13</f>
        <v>20096014004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19" zoomScale="110" zoomScaleNormal="110" workbookViewId="0">
      <selection activeCell="B54" sqref="B5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9" r:id="rId4">
          <objectPr defaultSize="0" r:id="rId5">
            <anchor moveWithCells="1">
              <from>
                <xdr:col>1</xdr:col>
                <xdr:colOff>38100</xdr:colOff>
                <xdr:row>0</xdr:row>
                <xdr:rowOff>104775</xdr:rowOff>
              </from>
              <to>
                <xdr:col>1</xdr:col>
                <xdr:colOff>952500</xdr:colOff>
                <xdr:row>4</xdr:row>
                <xdr:rowOff>142875</xdr:rowOff>
              </to>
            </anchor>
          </objectPr>
        </oleObject>
      </mc:Choice>
      <mc:Fallback>
        <oleObject progId="AcroExch.Document.DC" dvAspect="DVASPECT_ICON" shapeId="50179" r:id="rId4"/>
      </mc:Fallback>
    </mc:AlternateContent>
    <mc:AlternateContent xmlns:mc="http://schemas.openxmlformats.org/markup-compatibility/2006">
      <mc:Choice Requires="x14">
        <oleObject progId="AcroExch.Document.DC" dvAspect="DVASPECT_ICON" shapeId="50180"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80" r:id="rId6"/>
      </mc:Fallback>
    </mc:AlternateContent>
    <mc:AlternateContent xmlns:mc="http://schemas.openxmlformats.org/markup-compatibility/2006">
      <mc:Choice Requires="x14">
        <oleObject progId="AcroExch.Document.DC" dvAspect="DVASPECT_ICON" shapeId="50181" r:id="rId8">
          <objectPr defaultSize="0" r:id="rId9">
            <anchor moveWithCells="1">
              <from>
                <xdr:col>1</xdr:col>
                <xdr:colOff>1285875</xdr:colOff>
                <xdr:row>0</xdr:row>
                <xdr:rowOff>104775</xdr:rowOff>
              </from>
              <to>
                <xdr:col>1</xdr:col>
                <xdr:colOff>2181225</xdr:colOff>
                <xdr:row>4</xdr:row>
                <xdr:rowOff>133350</xdr:rowOff>
              </to>
            </anchor>
          </objectPr>
        </oleObject>
      </mc:Choice>
      <mc:Fallback>
        <oleObject progId="AcroExch.Document.DC" dvAspect="DVASPECT_ICON" shapeId="5018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H22" sqref="H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861761</v>
      </c>
      <c r="C8" s="1815">
        <f>'Acct Summary 7-8'!D8</f>
        <v>86658</v>
      </c>
      <c r="D8" s="1815">
        <f>'Acct Summary 7-8'!F8</f>
        <v>83316</v>
      </c>
      <c r="E8" s="1815">
        <f>'Acct Summary 7-8'!I8</f>
        <v>3562</v>
      </c>
      <c r="F8" s="1815">
        <f>SUM(B8:E8)</f>
        <v>1035297</v>
      </c>
    </row>
    <row r="9" spans="1:8" s="1079" customFormat="1" ht="14.25" customHeight="1" thickBot="1" x14ac:dyDescent="0.25">
      <c r="A9" s="1078" t="s">
        <v>1369</v>
      </c>
      <c r="B9" s="1816">
        <f>'Acct Summary 7-8'!C17</f>
        <v>847936</v>
      </c>
      <c r="C9" s="1816">
        <f>'Acct Summary 7-8'!D17</f>
        <v>69105</v>
      </c>
      <c r="D9" s="1816">
        <f>'Acct Summary 7-8'!F17</f>
        <v>87995</v>
      </c>
      <c r="E9" s="1815"/>
      <c r="F9" s="1815">
        <f>SUM(B9:E9)</f>
        <v>1005036</v>
      </c>
    </row>
    <row r="10" spans="1:8" s="1079" customFormat="1" ht="14.25" thickTop="1" thickBot="1" x14ac:dyDescent="0.25">
      <c r="A10" s="1080" t="s">
        <v>1370</v>
      </c>
      <c r="B10" s="1817">
        <f>(B8-B9)</f>
        <v>13825</v>
      </c>
      <c r="C10" s="1817">
        <f>(C8-C9)</f>
        <v>17553</v>
      </c>
      <c r="D10" s="1817">
        <f>(D8-D9)</f>
        <v>-4679</v>
      </c>
      <c r="E10" s="1816">
        <f>(E8-E9)</f>
        <v>3562</v>
      </c>
      <c r="F10" s="1818">
        <f>SUM(F8-F9)</f>
        <v>30261</v>
      </c>
    </row>
    <row r="11" spans="1:8" s="1079" customFormat="1" ht="14.25" thickTop="1" thickBot="1" x14ac:dyDescent="0.25">
      <c r="A11" s="1081" t="s">
        <v>1983</v>
      </c>
      <c r="B11" s="1819">
        <f>'Acct Summary 7-8'!C81</f>
        <v>1481778</v>
      </c>
      <c r="C11" s="1819">
        <f>'Acct Summary 7-8'!D81</f>
        <v>601604</v>
      </c>
      <c r="D11" s="1819">
        <f>'Acct Summary 7-8'!F81</f>
        <v>502484</v>
      </c>
      <c r="E11" s="1819">
        <f>'Acct Summary 7-8'!I81</f>
        <v>69305</v>
      </c>
      <c r="F11" s="1820">
        <f>SUM(B11:E11)</f>
        <v>2655171</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9" colorId="8" zoomScale="110" zoomScaleNormal="110" workbookViewId="0">
      <selection activeCell="C69" sqref="C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20096014004</v>
      </c>
    </row>
    <row r="3" spans="1:2" x14ac:dyDescent="0.2">
      <c r="A3" t="s">
        <v>956</v>
      </c>
      <c r="B3" s="138" t="str">
        <f>COVER!A15</f>
        <v>Wayne</v>
      </c>
    </row>
    <row r="4" spans="1:2" x14ac:dyDescent="0.2">
      <c r="A4" t="s">
        <v>1007</v>
      </c>
      <c r="B4" s="138" t="str">
        <f>COVER!A17</f>
        <v>Geff CCSD 14</v>
      </c>
    </row>
    <row r="5" spans="1:2" x14ac:dyDescent="0.2">
      <c r="A5" t="s">
        <v>704</v>
      </c>
      <c r="B5" s="138" t="str">
        <f>COVER!A38</f>
        <v>Jill Barger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f>COVER!T23</f>
        <v>65044039</v>
      </c>
    </row>
    <row r="16" spans="1:2" x14ac:dyDescent="0.2">
      <c r="A16" t="s">
        <v>422</v>
      </c>
      <c r="B16" s="138" t="str">
        <f>COVER!T13</f>
        <v>Caitlin M. Keepes, CPA</v>
      </c>
    </row>
    <row r="17" spans="1:2" x14ac:dyDescent="0.2">
      <c r="A17" t="s">
        <v>884</v>
      </c>
      <c r="B17" s="138" t="str">
        <f>COVER!T15</f>
        <v xml:space="preserve">Caitlin M. Keepes  </v>
      </c>
    </row>
    <row r="18" spans="1:2" x14ac:dyDescent="0.2">
      <c r="A18" t="s">
        <v>1150</v>
      </c>
      <c r="B18" s="138" t="str">
        <f>COVER!T17</f>
        <v>114 South Walnut St.</v>
      </c>
    </row>
    <row r="19" spans="1:2" x14ac:dyDescent="0.2">
      <c r="A19" t="s">
        <v>886</v>
      </c>
      <c r="B19" s="138" t="str">
        <f>COVER!T25</f>
        <v>c.keepes@darttandcompany.com</v>
      </c>
    </row>
    <row r="20" spans="1:2" x14ac:dyDescent="0.2">
      <c r="A20" t="s">
        <v>887</v>
      </c>
      <c r="B20" s="138" t="str">
        <f>COVER!T19</f>
        <v>Carmi</v>
      </c>
    </row>
    <row r="21" spans="1:2" x14ac:dyDescent="0.2">
      <c r="A21" t="s">
        <v>479</v>
      </c>
      <c r="B21" s="138" t="str">
        <f>COVER!X19</f>
        <v>IL</v>
      </c>
    </row>
    <row r="22" spans="1:2" x14ac:dyDescent="0.2">
      <c r="A22" t="s">
        <v>888</v>
      </c>
      <c r="B22" s="138">
        <f>COVER!Z19</f>
        <v>62821</v>
      </c>
    </row>
    <row r="23" spans="1:2" x14ac:dyDescent="0.2">
      <c r="A23" t="s">
        <v>1152</v>
      </c>
      <c r="B23" s="138" t="str">
        <f>COVER!T21</f>
        <v>(618)382-3278</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1481778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1481778</v>
      </c>
      <c r="D92" s="2" t="str">
        <f t="shared" si="0"/>
        <v>Error?</v>
      </c>
    </row>
    <row r="93" spans="1:4" x14ac:dyDescent="0.2">
      <c r="A93" s="5">
        <v>32</v>
      </c>
      <c r="B93" s="138">
        <f>'Assets-Liab 5-6'!C41</f>
        <v>1481778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601604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601604</v>
      </c>
      <c r="D123" s="2" t="str">
        <f t="shared" si="0"/>
        <v>Error?</v>
      </c>
    </row>
    <row r="124" spans="1:4" x14ac:dyDescent="0.2">
      <c r="A124" s="5">
        <v>63</v>
      </c>
      <c r="B124" s="138">
        <f>'Assets-Liab 5-6'!D41</f>
        <v>601604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502484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502484</v>
      </c>
      <c r="D170" s="2" t="str">
        <f t="shared" si="1"/>
        <v>Error?</v>
      </c>
    </row>
    <row r="171" spans="1:4" x14ac:dyDescent="0.2">
      <c r="A171" s="5">
        <v>110</v>
      </c>
      <c r="B171" s="138">
        <f>'Assets-Liab 5-6'!F41</f>
        <v>502484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135126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135126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20017</v>
      </c>
      <c r="D273" s="2" t="str">
        <f t="shared" si="3"/>
        <v>Error?</v>
      </c>
    </row>
    <row r="274" spans="1:4" x14ac:dyDescent="0.2">
      <c r="A274" s="5">
        <v>213</v>
      </c>
      <c r="B274" s="138">
        <f>'Assets-Liab 5-6'!M17</f>
        <v>453420</v>
      </c>
      <c r="D274" s="2" t="str">
        <f t="shared" si="3"/>
        <v>Error?</v>
      </c>
    </row>
    <row r="275" spans="1:4" x14ac:dyDescent="0.2">
      <c r="A275" s="5">
        <v>214</v>
      </c>
      <c r="B275" s="138">
        <f>'Assets-Liab 5-6'!M18</f>
        <v>181416</v>
      </c>
      <c r="D275" s="2" t="str">
        <f t="shared" si="3"/>
        <v>Error?</v>
      </c>
    </row>
    <row r="276" spans="1:4" x14ac:dyDescent="0.2">
      <c r="A276" s="5">
        <v>215</v>
      </c>
      <c r="B276" s="138">
        <f>'Assets-Liab 5-6'!M19</f>
        <v>494042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1148895</v>
      </c>
      <c r="C279" s="2" t="s">
        <v>573</v>
      </c>
      <c r="D279" s="2" t="str">
        <f t="shared" si="3"/>
        <v>Error?</v>
      </c>
    </row>
    <row r="280" spans="1:4" x14ac:dyDescent="0.2">
      <c r="A280" s="5">
        <v>219</v>
      </c>
      <c r="B280" s="138">
        <f>'Assets-Liab 5-6'!M40</f>
        <v>1148895</v>
      </c>
      <c r="D280" s="2" t="str">
        <f t="shared" si="3"/>
        <v>Error?</v>
      </c>
    </row>
    <row r="281" spans="1:4" x14ac:dyDescent="0.2">
      <c r="A281" s="5">
        <v>220</v>
      </c>
      <c r="B281" s="138">
        <f>'Assets-Liab 5-6'!M41</f>
        <v>1148895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124223</v>
      </c>
      <c r="D283" s="2" t="str">
        <f t="shared" si="3"/>
        <v>Error?</v>
      </c>
    </row>
    <row r="284" spans="1:4" x14ac:dyDescent="0.2">
      <c r="A284" s="5">
        <v>223</v>
      </c>
      <c r="B284" s="138">
        <f>'Assets-Liab 5-6'!N23</f>
        <v>124223</v>
      </c>
      <c r="C284" s="2" t="s">
        <v>573</v>
      </c>
      <c r="D284" s="2" t="str">
        <f t="shared" si="3"/>
        <v>Error?</v>
      </c>
    </row>
    <row r="285" spans="1:4" x14ac:dyDescent="0.2">
      <c r="A285" s="5">
        <v>224</v>
      </c>
      <c r="B285" s="138">
        <f>'Assets-Liab 5-6'!N36</f>
        <v>124223</v>
      </c>
      <c r="D285" s="2" t="str">
        <f t="shared" si="3"/>
        <v>Error?</v>
      </c>
    </row>
    <row r="286" spans="1:4" x14ac:dyDescent="0.2">
      <c r="A286" s="10">
        <v>225</v>
      </c>
      <c r="D286" s="2" t="str">
        <f t="shared" si="3"/>
        <v>OK</v>
      </c>
    </row>
    <row r="287" spans="1:4" x14ac:dyDescent="0.2">
      <c r="A287" s="5">
        <v>226</v>
      </c>
      <c r="B287" s="138">
        <f>'Assets-Liab 5-6'!N37</f>
        <v>124223</v>
      </c>
      <c r="C287" s="2" t="s">
        <v>573</v>
      </c>
      <c r="D287" s="2" t="str">
        <f t="shared" si="3"/>
        <v>Error?</v>
      </c>
    </row>
    <row r="288" spans="1:4" x14ac:dyDescent="0.2">
      <c r="A288" s="5">
        <v>227</v>
      </c>
      <c r="B288" s="138">
        <f>'Assets-Liab 5-6'!N41</f>
        <v>124223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437482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7206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527280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1853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1853</v>
      </c>
      <c r="C731" s="2" t="s">
        <v>573</v>
      </c>
      <c r="D731" s="2" t="str">
        <f t="shared" si="10"/>
        <v>Error?</v>
      </c>
    </row>
    <row r="732" spans="1:4" x14ac:dyDescent="0.2">
      <c r="A732" s="5">
        <v>671</v>
      </c>
      <c r="B732" s="138">
        <f>'Expenditures 15-22'!C49</f>
        <v>7156</v>
      </c>
      <c r="D732" s="2" t="str">
        <f t="shared" si="10"/>
        <v>Error?</v>
      </c>
    </row>
    <row r="733" spans="1:4" x14ac:dyDescent="0.2">
      <c r="A733" s="5">
        <v>672</v>
      </c>
      <c r="B733" s="138">
        <f>'Expenditures 15-22'!C50</f>
        <v>28034</v>
      </c>
      <c r="D733" s="2" t="str">
        <f t="shared" si="10"/>
        <v>Error?</v>
      </c>
    </row>
    <row r="734" spans="1:4" x14ac:dyDescent="0.2">
      <c r="A734" s="5">
        <v>673</v>
      </c>
      <c r="B734" s="138">
        <f>'Expenditures 15-22'!C53</f>
        <v>35190</v>
      </c>
      <c r="C734" s="2" t="s">
        <v>573</v>
      </c>
      <c r="D734" s="2" t="str">
        <f t="shared" si="10"/>
        <v>Error?</v>
      </c>
    </row>
    <row r="735" spans="1:4" x14ac:dyDescent="0.2">
      <c r="A735" s="5">
        <v>674</v>
      </c>
      <c r="B735" s="138">
        <f>'Expenditures 15-22'!C55</f>
        <v>63031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63031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14313</v>
      </c>
      <c r="D739" s="2" t="str">
        <f t="shared" si="10"/>
        <v>Error?</v>
      </c>
    </row>
    <row r="740" spans="1:4" x14ac:dyDescent="0.2">
      <c r="A740" s="5">
        <v>679</v>
      </c>
      <c r="B740" s="138">
        <f>'Expenditures 15-22'!C61</f>
        <v>5313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29162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48788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148862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676142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23389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26561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1499</v>
      </c>
      <c r="D791" s="2" t="str">
        <f t="shared" si="11"/>
        <v>Error?</v>
      </c>
    </row>
    <row r="792" spans="1:4" x14ac:dyDescent="0.2">
      <c r="A792" s="5">
        <v>731</v>
      </c>
      <c r="B792" s="138">
        <f>'Expenditures 15-22'!D53</f>
        <v>1499</v>
      </c>
      <c r="C792" s="2" t="s">
        <v>573</v>
      </c>
      <c r="D792" s="2" t="str">
        <f t="shared" si="11"/>
        <v>Error?</v>
      </c>
    </row>
    <row r="793" spans="1:4" x14ac:dyDescent="0.2">
      <c r="A793" s="5">
        <v>732</v>
      </c>
      <c r="B793" s="138">
        <f>'Expenditures 15-22'!D55</f>
        <v>2688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2688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4187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30748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4737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12946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4634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4634</v>
      </c>
      <c r="C847" s="2" t="s">
        <v>573</v>
      </c>
      <c r="D847" s="2" t="str">
        <f t="shared" si="12"/>
        <v>Error?</v>
      </c>
    </row>
    <row r="848" spans="1:4" x14ac:dyDescent="0.2">
      <c r="A848" s="5">
        <v>787</v>
      </c>
      <c r="B848" s="138">
        <f>'Expenditures 15-22'!E49</f>
        <v>23731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23731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22589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23085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51450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64396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9148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25801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9223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9223</v>
      </c>
      <c r="C905" s="2" t="s">
        <v>573</v>
      </c>
      <c r="D905" s="2" t="str">
        <f t="shared" si="13"/>
        <v>Error?</v>
      </c>
    </row>
    <row r="906" spans="1:4" x14ac:dyDescent="0.2">
      <c r="A906" s="5">
        <v>845</v>
      </c>
      <c r="B906" s="138">
        <f>'Expenditures 15-22'!F49</f>
        <v>1940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1940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1498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28688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30186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41349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67150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9500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9500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474104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12009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602088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15710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15710</v>
      </c>
      <c r="C1119" s="2" t="s">
        <v>573</v>
      </c>
      <c r="D1119" s="2" t="str">
        <f t="shared" si="16"/>
        <v>Error?</v>
      </c>
    </row>
    <row r="1120" spans="1:4" x14ac:dyDescent="0.2">
      <c r="A1120" s="5">
        <v>1059</v>
      </c>
      <c r="B1120" s="138">
        <f>'Expenditures 15-22'!K49</f>
        <v>32827</v>
      </c>
      <c r="C1120" s="2" t="s">
        <v>573</v>
      </c>
      <c r="D1120" s="2" t="str">
        <f t="shared" si="16"/>
        <v>Error?</v>
      </c>
    </row>
    <row r="1121" spans="1:4" x14ac:dyDescent="0.2">
      <c r="A1121" s="5">
        <v>1060</v>
      </c>
      <c r="B1121" s="138">
        <f>'Expenditures 15-22'!K50</f>
        <v>29533</v>
      </c>
      <c r="C1121" s="2" t="s">
        <v>573</v>
      </c>
      <c r="D1121" s="2" t="str">
        <f t="shared" si="16"/>
        <v>Error?</v>
      </c>
    </row>
    <row r="1122" spans="1:4" x14ac:dyDescent="0.2">
      <c r="A1122" s="5">
        <v>1061</v>
      </c>
      <c r="B1122" s="138">
        <f>'Expenditures 15-22'!K53</f>
        <v>62360</v>
      </c>
      <c r="C1122" s="2" t="s">
        <v>573</v>
      </c>
      <c r="D1122" s="2" t="str">
        <f t="shared" si="16"/>
        <v>Error?</v>
      </c>
    </row>
    <row r="1123" spans="1:4" x14ac:dyDescent="0.2">
      <c r="A1123" s="5">
        <v>1062</v>
      </c>
      <c r="B1123" s="138">
        <f>'Expenditures 15-22'!K55</f>
        <v>65719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65719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14313</v>
      </c>
      <c r="C1127" s="2" t="s">
        <v>573</v>
      </c>
      <c r="D1127" s="2" t="str">
        <f t="shared" si="16"/>
        <v>Error?</v>
      </c>
    </row>
    <row r="1128" spans="1:4" x14ac:dyDescent="0.2">
      <c r="A1128" s="5">
        <v>1067</v>
      </c>
      <c r="B1128" s="138">
        <f>'Expenditures 15-22'!K61</f>
        <v>29400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58346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102059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245848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847936</v>
      </c>
      <c r="C1152" s="2" t="s">
        <v>573</v>
      </c>
      <c r="D1152" s="2" t="str">
        <f t="shared" si="17"/>
        <v>Error?</v>
      </c>
    </row>
    <row r="1153" spans="1:4" x14ac:dyDescent="0.2">
      <c r="A1153" s="5">
        <v>1092</v>
      </c>
      <c r="B1153" s="138">
        <f>'Expenditures 15-22'!K115</f>
        <v>13825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35997</v>
      </c>
      <c r="D1221" s="2" t="str">
        <f t="shared" si="18"/>
        <v>Error?</v>
      </c>
    </row>
    <row r="1222" spans="1:4" x14ac:dyDescent="0.2">
      <c r="A1222" s="10">
        <v>1161</v>
      </c>
      <c r="D1222" s="2" t="str">
        <f t="shared" si="18"/>
        <v>OK</v>
      </c>
    </row>
    <row r="1223" spans="1:4" x14ac:dyDescent="0.2">
      <c r="A1223" s="5">
        <v>1162</v>
      </c>
      <c r="B1223" s="138">
        <f>'Expenditures 15-22'!C127</f>
        <v>35997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35997</v>
      </c>
      <c r="C1225" s="2" t="s">
        <v>573</v>
      </c>
      <c r="D1225" s="2" t="str">
        <f t="shared" si="18"/>
        <v>Error?</v>
      </c>
    </row>
    <row r="1226" spans="1:4" x14ac:dyDescent="0.2">
      <c r="A1226" s="5">
        <v>1165</v>
      </c>
      <c r="B1226" s="138">
        <f>'Expenditures 15-22'!C151</f>
        <v>35997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9261</v>
      </c>
      <c r="D1237" s="2" t="str">
        <f t="shared" si="18"/>
        <v>Error?</v>
      </c>
    </row>
    <row r="1238" spans="1:4" x14ac:dyDescent="0.2">
      <c r="A1238" s="10">
        <v>1177</v>
      </c>
      <c r="D1238" s="2" t="str">
        <f t="shared" si="18"/>
        <v>OK</v>
      </c>
    </row>
    <row r="1239" spans="1:4" x14ac:dyDescent="0.2">
      <c r="A1239" s="5">
        <v>1178</v>
      </c>
      <c r="B1239" s="138">
        <f>'Expenditures 15-22'!E127</f>
        <v>9261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9261</v>
      </c>
      <c r="C1241" s="2" t="s">
        <v>573</v>
      </c>
      <c r="D1241" s="2" t="str">
        <f t="shared" si="18"/>
        <v>Error?</v>
      </c>
    </row>
    <row r="1242" spans="1:4" x14ac:dyDescent="0.2">
      <c r="A1242" s="5">
        <v>1181</v>
      </c>
      <c r="B1242" s="138">
        <f>'Expenditures 15-22'!E151</f>
        <v>9261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12599</v>
      </c>
      <c r="D1245" s="2" t="str">
        <f t="shared" si="18"/>
        <v>Error?</v>
      </c>
    </row>
    <row r="1246" spans="1:4" x14ac:dyDescent="0.2">
      <c r="A1246" s="10">
        <v>1185</v>
      </c>
      <c r="D1246" s="2" t="str">
        <f t="shared" si="18"/>
        <v>OK</v>
      </c>
    </row>
    <row r="1247" spans="1:4" x14ac:dyDescent="0.2">
      <c r="A1247" s="5">
        <v>1186</v>
      </c>
      <c r="B1247" s="138">
        <f>'Expenditures 15-22'!F127</f>
        <v>12599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12599</v>
      </c>
      <c r="C1249" s="2" t="s">
        <v>573</v>
      </c>
      <c r="D1249" s="2" t="str">
        <f t="shared" si="18"/>
        <v>Error?</v>
      </c>
    </row>
    <row r="1250" spans="1:4" x14ac:dyDescent="0.2">
      <c r="A1250" s="5">
        <v>1189</v>
      </c>
      <c r="B1250" s="138">
        <f>'Expenditures 15-22'!F151</f>
        <v>12599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11248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11248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11248</v>
      </c>
      <c r="C1258" s="2" t="s">
        <v>573</v>
      </c>
      <c r="D1258" s="2" t="str">
        <f t="shared" si="18"/>
        <v>Error?</v>
      </c>
    </row>
    <row r="1259" spans="1:4" x14ac:dyDescent="0.2">
      <c r="A1259" s="5">
        <v>1198</v>
      </c>
      <c r="B1259" s="138">
        <f>'Expenditures 15-22'!G151</f>
        <v>11248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69105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69105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69105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69105</v>
      </c>
      <c r="C1288" s="2" t="s">
        <v>573</v>
      </c>
      <c r="D1288" s="2" t="str">
        <f t="shared" si="19"/>
        <v>Error?</v>
      </c>
    </row>
    <row r="1289" spans="1:4" x14ac:dyDescent="0.2">
      <c r="A1289" s="5">
        <v>1228</v>
      </c>
      <c r="B1289" s="138">
        <f>'Expenditures 15-22'!K152</f>
        <v>17553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16578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16578</v>
      </c>
      <c r="C1339" s="2" t="s">
        <v>573</v>
      </c>
      <c r="D1339" s="2" t="str">
        <f t="shared" si="19"/>
        <v>Error?</v>
      </c>
    </row>
    <row r="1340" spans="1:4" x14ac:dyDescent="0.2">
      <c r="A1340" s="5">
        <v>1279</v>
      </c>
      <c r="B1340" s="138">
        <f>'Expenditures 15-22'!C210</f>
        <v>16578</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8124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8124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8124</v>
      </c>
      <c r="C1353" s="2" t="s">
        <v>573</v>
      </c>
      <c r="D1353" s="2" t="str">
        <f t="shared" si="20"/>
        <v>Error?</v>
      </c>
    </row>
    <row r="1354" spans="1:4" x14ac:dyDescent="0.2">
      <c r="A1354" s="5">
        <v>1293</v>
      </c>
      <c r="B1354" s="138">
        <f>'Expenditures 15-22'!F182</f>
        <v>7901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7901</v>
      </c>
      <c r="C1358" s="2" t="s">
        <v>573</v>
      </c>
      <c r="D1358" s="2" t="str">
        <f t="shared" si="20"/>
        <v>Error?</v>
      </c>
    </row>
    <row r="1359" spans="1:4" x14ac:dyDescent="0.2">
      <c r="A1359" s="5">
        <v>1298</v>
      </c>
      <c r="B1359" s="138">
        <f>'Expenditures 15-22'!F210</f>
        <v>7901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55392</v>
      </c>
      <c r="C1375" s="2" t="s">
        <v>573</v>
      </c>
      <c r="D1375" s="2" t="str">
        <f t="shared" si="20"/>
        <v>Error?</v>
      </c>
    </row>
    <row r="1376" spans="1:4" x14ac:dyDescent="0.2">
      <c r="A1376" s="5">
        <v>1315</v>
      </c>
      <c r="B1376" s="138">
        <f>'Expenditures 15-22'!H210</f>
        <v>55392</v>
      </c>
      <c r="C1376" s="2" t="s">
        <v>573</v>
      </c>
      <c r="D1376" s="2" t="str">
        <f t="shared" si="20"/>
        <v>Error?</v>
      </c>
    </row>
    <row r="1377" spans="1:4" x14ac:dyDescent="0.2">
      <c r="A1377" s="5">
        <v>1316</v>
      </c>
      <c r="B1377" s="138">
        <f>'Expenditures 15-22'!K182</f>
        <v>32603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32603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55392</v>
      </c>
      <c r="C1387" s="2" t="s">
        <v>573</v>
      </c>
      <c r="D1387" s="2" t="str">
        <f t="shared" si="20"/>
        <v>Error?</v>
      </c>
    </row>
    <row r="1388" spans="1:4" x14ac:dyDescent="0.2">
      <c r="A1388" s="5">
        <v>1327</v>
      </c>
      <c r="B1388" s="138">
        <f>'Expenditures 15-22'!K210</f>
        <v>87995</v>
      </c>
      <c r="C1388" s="2" t="s">
        <v>573</v>
      </c>
      <c r="D1388" s="2" t="str">
        <f t="shared" si="20"/>
        <v>Error?</v>
      </c>
    </row>
    <row r="1389" spans="1:4" x14ac:dyDescent="0.2">
      <c r="A1389" s="5">
        <v>1328</v>
      </c>
      <c r="B1389" s="138">
        <f>'Expenditures 15-22'!K211</f>
        <v>-4679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227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13243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32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v>
      </c>
      <c r="C1421" s="2" t="s">
        <v>573</v>
      </c>
      <c r="D1421" s="2" t="str">
        <f t="shared" si="21"/>
        <v>Error?</v>
      </c>
    </row>
    <row r="1422" spans="1:4" x14ac:dyDescent="0.2">
      <c r="A1422" s="5">
        <v>1361</v>
      </c>
      <c r="B1422" s="138">
        <f>'Expenditures 15-22'!D245</f>
        <v>1136</v>
      </c>
      <c r="D1422" s="2" t="str">
        <f t="shared" si="21"/>
        <v>Error?</v>
      </c>
    </row>
    <row r="1423" spans="1:4" x14ac:dyDescent="0.2">
      <c r="A1423" s="5">
        <v>1362</v>
      </c>
      <c r="B1423" s="138">
        <f>'Expenditures 15-22'!D246</f>
        <v>470</v>
      </c>
      <c r="D1423" s="2" t="str">
        <f t="shared" si="21"/>
        <v>Error?</v>
      </c>
    </row>
    <row r="1424" spans="1:4" x14ac:dyDescent="0.2">
      <c r="A1424" s="5">
        <v>1363</v>
      </c>
      <c r="B1424" s="138">
        <f>'Expenditures 15-22'!D257</f>
        <v>1606</v>
      </c>
      <c r="C1424" s="2" t="s">
        <v>573</v>
      </c>
      <c r="D1424" s="2" t="str">
        <f t="shared" si="21"/>
        <v>Error?</v>
      </c>
    </row>
    <row r="1425" spans="1:4" x14ac:dyDescent="0.2">
      <c r="A1425" s="5">
        <v>1364</v>
      </c>
      <c r="B1425" s="138">
        <f>'Expenditures 15-22'!D259</f>
        <v>2938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2938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6049</v>
      </c>
      <c r="D1431" s="2" t="str">
        <f t="shared" si="21"/>
        <v>Error?</v>
      </c>
    </row>
    <row r="1432" spans="1:4" x14ac:dyDescent="0.2">
      <c r="A1432" s="5">
        <v>1371</v>
      </c>
      <c r="B1432" s="138">
        <f>'Expenditures 15-22'!D267</f>
        <v>2581</v>
      </c>
      <c r="D1432" s="2" t="str">
        <f t="shared" si="21"/>
        <v>Error?</v>
      </c>
    </row>
    <row r="1433" spans="1:4" x14ac:dyDescent="0.2">
      <c r="A1433" s="5">
        <v>1372</v>
      </c>
      <c r="B1433" s="138">
        <f>'Expenditures 15-22'!D268</f>
        <v>4413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15316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19892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33135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227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13243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32</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32</v>
      </c>
      <c r="C1485" s="2" t="s">
        <v>573</v>
      </c>
      <c r="D1485" s="2" t="str">
        <f t="shared" si="22"/>
        <v>Error?</v>
      </c>
    </row>
    <row r="1486" spans="1:4" x14ac:dyDescent="0.2">
      <c r="A1486" s="5">
        <v>1425</v>
      </c>
      <c r="B1486" s="138">
        <f>'Expenditures 15-22'!K245</f>
        <v>1136</v>
      </c>
      <c r="C1486" s="2" t="s">
        <v>573</v>
      </c>
      <c r="D1486" s="2" t="str">
        <f t="shared" si="22"/>
        <v>Error?</v>
      </c>
    </row>
    <row r="1487" spans="1:4" x14ac:dyDescent="0.2">
      <c r="A1487" s="5">
        <v>1426</v>
      </c>
      <c r="B1487" s="138">
        <f>'Expenditures 15-22'!K246</f>
        <v>470</v>
      </c>
      <c r="C1487" s="2" t="s">
        <v>573</v>
      </c>
      <c r="D1487" s="2" t="str">
        <f t="shared" si="22"/>
        <v>Error?</v>
      </c>
    </row>
    <row r="1488" spans="1:4" x14ac:dyDescent="0.2">
      <c r="A1488" s="5">
        <v>1427</v>
      </c>
      <c r="B1488" s="138">
        <f>'Expenditures 15-22'!K257</f>
        <v>1606</v>
      </c>
      <c r="C1488" s="2" t="s">
        <v>573</v>
      </c>
      <c r="D1488" s="2" t="str">
        <f t="shared" si="22"/>
        <v>Error?</v>
      </c>
    </row>
    <row r="1489" spans="1:4" x14ac:dyDescent="0.2">
      <c r="A1489" s="5">
        <v>1428</v>
      </c>
      <c r="B1489" s="138">
        <f>'Expenditures 15-22'!K259</f>
        <v>2938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2938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2273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6049</v>
      </c>
      <c r="C1495" s="2" t="s">
        <v>573</v>
      </c>
      <c r="D1495" s="2" t="str">
        <f t="shared" si="22"/>
        <v>Error?</v>
      </c>
    </row>
    <row r="1496" spans="1:4" x14ac:dyDescent="0.2">
      <c r="A1496" s="5">
        <v>1435</v>
      </c>
      <c r="B1496" s="138">
        <f>'Expenditures 15-22'!K267</f>
        <v>2581</v>
      </c>
      <c r="C1496" s="2" t="s">
        <v>573</v>
      </c>
      <c r="D1496" s="2" t="str">
        <f t="shared" si="22"/>
        <v>Error?</v>
      </c>
    </row>
    <row r="1497" spans="1:4" x14ac:dyDescent="0.2">
      <c r="A1497" s="5">
        <v>1436</v>
      </c>
      <c r="B1497" s="138">
        <f>'Expenditures 15-22'!K268</f>
        <v>4413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15316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19892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33135</v>
      </c>
      <c r="C1517" s="2" t="s">
        <v>573</v>
      </c>
      <c r="D1517" s="2" t="str">
        <f t="shared" si="22"/>
        <v>Error?</v>
      </c>
    </row>
    <row r="1518" spans="1:4" x14ac:dyDescent="0.2">
      <c r="A1518" s="5">
        <v>1457</v>
      </c>
      <c r="B1518" s="138">
        <f>'Expenditures 15-22'!K296</f>
        <v>-5682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1583304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1481778</v>
      </c>
      <c r="C1630" s="2" t="s">
        <v>573</v>
      </c>
      <c r="D1630" s="2" t="str">
        <f t="shared" si="24"/>
        <v>Error?</v>
      </c>
    </row>
    <row r="1631" spans="1:4" x14ac:dyDescent="0.2">
      <c r="A1631" s="5">
        <v>1570</v>
      </c>
      <c r="B1631" s="138">
        <f>'Acct Summary 7-8'!D79</f>
        <v>468700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601604</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462163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502484</v>
      </c>
      <c r="C1672" s="2" t="s">
        <v>573</v>
      </c>
      <c r="D1672" s="2" t="str">
        <f t="shared" si="25"/>
        <v>Error?</v>
      </c>
    </row>
    <row r="1673" spans="1:4" x14ac:dyDescent="0.2">
      <c r="A1673" s="5">
        <v>1612</v>
      </c>
      <c r="B1673" s="138">
        <f>'Acct Summary 7-8'!G79</f>
        <v>140808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135126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103396</v>
      </c>
      <c r="C1744" s="2" t="s">
        <v>573</v>
      </c>
      <c r="D1744" s="2" t="str">
        <f t="shared" si="26"/>
        <v>Error?</v>
      </c>
    </row>
    <row r="1745" spans="1:5" x14ac:dyDescent="0.2">
      <c r="A1745" s="5">
        <v>1684</v>
      </c>
      <c r="B1745" s="138">
        <f>'Tax Sched 23'!B5</f>
        <v>25849</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13786</v>
      </c>
      <c r="C1747" s="2" t="s">
        <v>573</v>
      </c>
      <c r="D1747" s="2" t="str">
        <f t="shared" si="26"/>
        <v>Error?</v>
      </c>
    </row>
    <row r="1748" spans="1:5" x14ac:dyDescent="0.2">
      <c r="A1748" s="5">
        <v>1687</v>
      </c>
      <c r="B1748" s="138">
        <f>'Tax Sched 23'!B8</f>
        <v>8997</v>
      </c>
      <c r="C1748" s="2" t="s">
        <v>573</v>
      </c>
      <c r="D1748" s="2" t="str">
        <f t="shared" si="26"/>
        <v>Error?</v>
      </c>
    </row>
    <row r="1749" spans="1:5" x14ac:dyDescent="0.2">
      <c r="A1749" s="5">
        <v>1688</v>
      </c>
      <c r="B1749" s="138">
        <f>'Tax Sched 23'!B10</f>
        <v>3447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28490</v>
      </c>
      <c r="C1752" s="2" t="s">
        <v>573</v>
      </c>
      <c r="D1752" s="2" t="str">
        <f t="shared" si="26"/>
        <v>Error?</v>
      </c>
    </row>
    <row r="1753" spans="1:5" x14ac:dyDescent="0.2">
      <c r="A1753" s="5">
        <v>1692</v>
      </c>
      <c r="B1753" s="138">
        <f>'Tax Sched 23'!B12</f>
        <v>3447</v>
      </c>
      <c r="C1753" s="2" t="s">
        <v>573</v>
      </c>
      <c r="D1753" s="2" t="str">
        <f t="shared" si="26"/>
        <v>Error?</v>
      </c>
    </row>
    <row r="1754" spans="1:5" x14ac:dyDescent="0.2">
      <c r="A1754" s="5">
        <v>1693</v>
      </c>
      <c r="B1754" s="138">
        <f>'Tax Sched 23'!B14</f>
        <v>1379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197788</v>
      </c>
      <c r="C1759" s="2" t="s">
        <v>573</v>
      </c>
      <c r="D1759" s="2" t="str">
        <f t="shared" si="26"/>
        <v>Error?</v>
      </c>
    </row>
    <row r="1760" spans="1:5" x14ac:dyDescent="0.2">
      <c r="A1760" s="5">
        <v>1699</v>
      </c>
      <c r="B1760" s="138">
        <f>'Tax Sched 23'!D4</f>
        <v>103396</v>
      </c>
      <c r="C1760" s="2" t="s">
        <v>573</v>
      </c>
      <c r="D1760" s="2" t="str">
        <f t="shared" si="26"/>
        <v>Error?</v>
      </c>
    </row>
    <row r="1761" spans="1:5" x14ac:dyDescent="0.2">
      <c r="A1761" s="5">
        <v>1700</v>
      </c>
      <c r="B1761" s="138">
        <f>'Tax Sched 23'!D5</f>
        <v>25849</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13786</v>
      </c>
      <c r="C1763" s="2" t="s">
        <v>573</v>
      </c>
      <c r="D1763" s="2" t="str">
        <f t="shared" si="26"/>
        <v>Error?</v>
      </c>
    </row>
    <row r="1764" spans="1:5" x14ac:dyDescent="0.2">
      <c r="A1764" s="5">
        <v>1703</v>
      </c>
      <c r="B1764" s="138">
        <f>'Tax Sched 23'!D8</f>
        <v>8997</v>
      </c>
      <c r="C1764" s="2" t="s">
        <v>573</v>
      </c>
      <c r="D1764" s="2" t="str">
        <f t="shared" si="26"/>
        <v>Error?</v>
      </c>
    </row>
    <row r="1765" spans="1:5" x14ac:dyDescent="0.2">
      <c r="A1765" s="5">
        <v>1704</v>
      </c>
      <c r="B1765" s="138">
        <f>'Tax Sched 23'!D10</f>
        <v>3447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28490</v>
      </c>
      <c r="C1768" s="2" t="s">
        <v>573</v>
      </c>
      <c r="D1768" s="2" t="str">
        <f t="shared" si="26"/>
        <v>Error?</v>
      </c>
    </row>
    <row r="1769" spans="1:5" x14ac:dyDescent="0.2">
      <c r="A1769" s="5">
        <v>1708</v>
      </c>
      <c r="B1769" s="138">
        <f>'Tax Sched 23'!D12</f>
        <v>3447</v>
      </c>
      <c r="C1769" s="2" t="s">
        <v>573</v>
      </c>
      <c r="D1769" s="2" t="str">
        <f t="shared" si="26"/>
        <v>Error?</v>
      </c>
    </row>
    <row r="1770" spans="1:5" x14ac:dyDescent="0.2">
      <c r="A1770" s="5">
        <v>1709</v>
      </c>
      <c r="B1770" s="138">
        <f>'Tax Sched 23'!D14</f>
        <v>1379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197788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103431</v>
      </c>
      <c r="C1792" s="2" t="s">
        <v>573</v>
      </c>
      <c r="D1792" s="2" t="str">
        <f t="shared" si="27"/>
        <v>Error?</v>
      </c>
    </row>
    <row r="1793" spans="1:4" x14ac:dyDescent="0.2">
      <c r="A1793" s="5">
        <v>1732</v>
      </c>
      <c r="B1793" s="138">
        <f>'Tax Sched 23'!F5</f>
        <v>25858</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13791</v>
      </c>
      <c r="C1795" s="2" t="s">
        <v>573</v>
      </c>
      <c r="D1795" s="2" t="str">
        <f t="shared" si="27"/>
        <v>Error?</v>
      </c>
    </row>
    <row r="1796" spans="1:4" x14ac:dyDescent="0.2">
      <c r="A1796" s="5">
        <v>1735</v>
      </c>
      <c r="B1796" s="138">
        <f>'Tax Sched 23'!F8</f>
        <v>8999.89</v>
      </c>
      <c r="C1796" s="2" t="s">
        <v>573</v>
      </c>
      <c r="D1796" s="2" t="str">
        <f t="shared" si="27"/>
        <v>Error?</v>
      </c>
    </row>
    <row r="1797" spans="1:4" x14ac:dyDescent="0.2">
      <c r="A1797" s="5">
        <v>1736</v>
      </c>
      <c r="B1797" s="138">
        <f>'Tax Sched 23'!F10</f>
        <v>3448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28500</v>
      </c>
      <c r="C1800" s="2" t="s">
        <v>573</v>
      </c>
      <c r="D1800" s="2" t="str">
        <f t="shared" si="27"/>
        <v>Error?</v>
      </c>
    </row>
    <row r="1801" spans="1:4" x14ac:dyDescent="0.2">
      <c r="A1801" s="5">
        <v>1740</v>
      </c>
      <c r="B1801" s="138">
        <f>'Tax Sched 23'!F12</f>
        <v>3447</v>
      </c>
      <c r="C1801" s="2" t="s">
        <v>573</v>
      </c>
      <c r="D1801" s="2" t="str">
        <f t="shared" si="27"/>
        <v>Error?</v>
      </c>
    </row>
    <row r="1802" spans="1:4" x14ac:dyDescent="0.2">
      <c r="A1802" s="5">
        <v>1741</v>
      </c>
      <c r="B1802" s="138">
        <f>'Tax Sched 23'!F14</f>
        <v>1379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197853.78000000003</v>
      </c>
      <c r="C1807" s="2" t="s">
        <v>573</v>
      </c>
      <c r="D1807" s="2" t="str">
        <f t="shared" si="27"/>
        <v>Error?</v>
      </c>
    </row>
    <row r="1808" spans="1:4" x14ac:dyDescent="0.2">
      <c r="A1808" s="5">
        <v>1747</v>
      </c>
      <c r="B1808" s="138">
        <f>'Tax Sched 23'!E4</f>
        <v>103431</v>
      </c>
      <c r="D1808" s="2" t="str">
        <f t="shared" si="27"/>
        <v>Error?</v>
      </c>
    </row>
    <row r="1809" spans="1:4" x14ac:dyDescent="0.2">
      <c r="A1809" s="5">
        <v>1748</v>
      </c>
      <c r="B1809" s="138">
        <f>'Tax Sched 23'!E5</f>
        <v>25858</v>
      </c>
      <c r="D1809" s="2" t="str">
        <f t="shared" si="27"/>
        <v>Error?</v>
      </c>
    </row>
    <row r="1810" spans="1:4" x14ac:dyDescent="0.2">
      <c r="A1810" s="5">
        <v>1749</v>
      </c>
      <c r="B1810" s="138">
        <f>'Tax Sched 23'!E6</f>
        <v>0</v>
      </c>
      <c r="D1810" s="2" t="str">
        <f t="shared" si="27"/>
        <v>Error?</v>
      </c>
    </row>
    <row r="1811" spans="1:4" x14ac:dyDescent="0.2">
      <c r="A1811" s="5">
        <v>1750</v>
      </c>
      <c r="B1811" s="138">
        <f>'Tax Sched 23'!E7</f>
        <v>13791</v>
      </c>
      <c r="D1811" s="2" t="str">
        <f t="shared" si="27"/>
        <v>Error?</v>
      </c>
    </row>
    <row r="1812" spans="1:4" x14ac:dyDescent="0.2">
      <c r="A1812" s="5">
        <v>1751</v>
      </c>
      <c r="B1812" s="138">
        <f>'Tax Sched 23'!E8</f>
        <v>8999.89</v>
      </c>
      <c r="D1812" s="2" t="str">
        <f t="shared" si="27"/>
        <v>Error?</v>
      </c>
    </row>
    <row r="1813" spans="1:4" x14ac:dyDescent="0.2">
      <c r="A1813" s="5">
        <v>1752</v>
      </c>
      <c r="B1813" s="138">
        <f>'Tax Sched 23'!E10</f>
        <v>3448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28500</v>
      </c>
      <c r="D1816" s="2" t="str">
        <f t="shared" si="27"/>
        <v>Error?</v>
      </c>
    </row>
    <row r="1817" spans="1:4" x14ac:dyDescent="0.2">
      <c r="A1817" s="5">
        <v>1756</v>
      </c>
      <c r="B1817" s="138">
        <f>'Tax Sched 23'!E12</f>
        <v>3447</v>
      </c>
      <c r="D1817" s="2" t="str">
        <f t="shared" si="27"/>
        <v>Error?</v>
      </c>
    </row>
    <row r="1818" spans="1:4" x14ac:dyDescent="0.2">
      <c r="A1818" s="5">
        <v>1757</v>
      </c>
      <c r="B1818" s="138">
        <f>'Tax Sched 23'!E14</f>
        <v>1379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197853.78000000003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175738</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21</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1400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6317</v>
      </c>
      <c r="D2008" s="2" t="str">
        <f t="shared" si="30"/>
        <v>Error?</v>
      </c>
    </row>
    <row r="2009" spans="1:4" x14ac:dyDescent="0.2">
      <c r="A2009" s="5">
        <v>1948</v>
      </c>
      <c r="B2009" s="138">
        <f>'Cap Outlay Deprec 26'!C8</f>
        <v>448304</v>
      </c>
      <c r="D2009" s="2" t="str">
        <f t="shared" si="30"/>
        <v>Error?</v>
      </c>
    </row>
    <row r="2010" spans="1:4" x14ac:dyDescent="0.2">
      <c r="A2010" s="5">
        <v>1949</v>
      </c>
      <c r="B2010" s="138">
        <f>'Cap Outlay Deprec 26'!C10</f>
        <v>181416</v>
      </c>
      <c r="D2010" s="2" t="str">
        <f t="shared" si="30"/>
        <v>Error?</v>
      </c>
    </row>
    <row r="2011" spans="1:4" x14ac:dyDescent="0.2">
      <c r="A2011" s="5">
        <v>1950</v>
      </c>
      <c r="B2011" s="138">
        <f>'Cap Outlay Deprec 26'!C12</f>
        <v>254623</v>
      </c>
      <c r="D2011" s="2" t="str">
        <f t="shared" si="30"/>
        <v>Error?</v>
      </c>
    </row>
    <row r="2012" spans="1:4" x14ac:dyDescent="0.2">
      <c r="A2012" s="5">
        <v>1951</v>
      </c>
      <c r="B2012" s="138">
        <f>'Cap Outlay Deprec 26'!C13</f>
        <v>182939</v>
      </c>
      <c r="D2012" s="2" t="str">
        <f t="shared" si="30"/>
        <v>Error?</v>
      </c>
    </row>
    <row r="2013" spans="1:4" x14ac:dyDescent="0.2">
      <c r="A2013" s="5">
        <v>1952</v>
      </c>
      <c r="B2013" s="138">
        <f>'Cap Outlay Deprec 26'!C16</f>
        <v>1087299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5116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6132</v>
      </c>
      <c r="D2017" s="2" t="str">
        <f t="shared" si="30"/>
        <v>Error?</v>
      </c>
    </row>
    <row r="2018" spans="1:4" x14ac:dyDescent="0.2">
      <c r="A2018" s="5">
        <v>1957</v>
      </c>
      <c r="B2018" s="138">
        <f>'Cap Outlay Deprec 26'!D13</f>
        <v>175738</v>
      </c>
      <c r="D2018" s="2" t="str">
        <f t="shared" si="30"/>
        <v>Error?</v>
      </c>
    </row>
    <row r="2019" spans="1:4" x14ac:dyDescent="0.2">
      <c r="A2019" s="5">
        <v>1958</v>
      </c>
      <c r="B2019" s="138">
        <f>'Cap Outlay Deprec 26'!D16</f>
        <v>186986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125390</v>
      </c>
      <c r="D2024" s="2" t="str">
        <f t="shared" si="30"/>
        <v>Error?</v>
      </c>
    </row>
    <row r="2025" spans="1:4" x14ac:dyDescent="0.2">
      <c r="A2025" s="5">
        <v>1964</v>
      </c>
      <c r="B2025" s="138">
        <f>'Cap Outlay Deprec 26'!E16</f>
        <v>125390</v>
      </c>
      <c r="C2025" s="2" t="s">
        <v>573</v>
      </c>
      <c r="D2025" s="2" t="str">
        <f t="shared" si="30"/>
        <v>Error?</v>
      </c>
    </row>
    <row r="2026" spans="1:4" x14ac:dyDescent="0.2">
      <c r="A2026" s="5">
        <v>1965</v>
      </c>
      <c r="B2026" s="138">
        <f>'Cap Outlay Deprec 26'!F5</f>
        <v>6317</v>
      </c>
      <c r="C2026" s="2" t="s">
        <v>573</v>
      </c>
      <c r="D2026" s="2" t="str">
        <f t="shared" si="30"/>
        <v>Error?</v>
      </c>
    </row>
    <row r="2027" spans="1:4" x14ac:dyDescent="0.2">
      <c r="A2027" s="5">
        <v>1966</v>
      </c>
      <c r="B2027" s="138">
        <f>'Cap Outlay Deprec 26'!F8</f>
        <v>453420</v>
      </c>
      <c r="C2027" s="2" t="s">
        <v>573</v>
      </c>
      <c r="D2027" s="2" t="str">
        <f t="shared" si="30"/>
        <v>Error?</v>
      </c>
    </row>
    <row r="2028" spans="1:4" x14ac:dyDescent="0.2">
      <c r="A2028" s="5">
        <v>1967</v>
      </c>
      <c r="B2028" s="138">
        <f>'Cap Outlay Deprec 26'!F10</f>
        <v>181416</v>
      </c>
      <c r="C2028" s="2" t="s">
        <v>573</v>
      </c>
      <c r="D2028" s="2" t="str">
        <f t="shared" si="30"/>
        <v>Error?</v>
      </c>
    </row>
    <row r="2029" spans="1:4" x14ac:dyDescent="0.2">
      <c r="A2029" s="5">
        <v>1968</v>
      </c>
      <c r="B2029" s="138">
        <f>'Cap Outlay Deprec 26'!F12</f>
        <v>260755</v>
      </c>
      <c r="C2029" s="2" t="s">
        <v>573</v>
      </c>
      <c r="D2029" s="2" t="str">
        <f t="shared" si="30"/>
        <v>Error?</v>
      </c>
    </row>
    <row r="2030" spans="1:4" x14ac:dyDescent="0.2">
      <c r="A2030" s="5">
        <v>1969</v>
      </c>
      <c r="B2030" s="138">
        <f>'Cap Outlay Deprec 26'!F13</f>
        <v>233287</v>
      </c>
      <c r="C2030" s="2" t="s">
        <v>573</v>
      </c>
      <c r="D2030" s="2" t="str">
        <f t="shared" si="30"/>
        <v>Error?</v>
      </c>
    </row>
    <row r="2031" spans="1:4" x14ac:dyDescent="0.2">
      <c r="A2031" s="5">
        <v>1970</v>
      </c>
      <c r="B2031" s="138">
        <f>'Cap Outlay Deprec 26'!F16</f>
        <v>1148895</v>
      </c>
      <c r="C2031" s="2" t="s">
        <v>573</v>
      </c>
      <c r="D2031" s="2" t="str">
        <f t="shared" si="30"/>
        <v>Error?</v>
      </c>
    </row>
    <row r="2032" spans="1:4" x14ac:dyDescent="0.2">
      <c r="A2032" s="10">
        <v>1971</v>
      </c>
      <c r="D2032" s="2" t="str">
        <f t="shared" si="30"/>
        <v>OK</v>
      </c>
    </row>
    <row r="2033" spans="1:4" x14ac:dyDescent="0.2">
      <c r="A2033" s="5">
        <v>1972</v>
      </c>
      <c r="B2033" s="138">
        <f>'Cap Outlay Deprec 26'!H8</f>
        <v>230303</v>
      </c>
      <c r="D2033" s="2" t="str">
        <f t="shared" si="30"/>
        <v>Error?</v>
      </c>
    </row>
    <row r="2034" spans="1:4" x14ac:dyDescent="0.2">
      <c r="A2034" s="5">
        <v>1973</v>
      </c>
      <c r="B2034" s="138">
        <f>'Cap Outlay Deprec 26'!H10</f>
        <v>102916</v>
      </c>
      <c r="D2034" s="2" t="str">
        <f t="shared" si="30"/>
        <v>Error?</v>
      </c>
    </row>
    <row r="2035" spans="1:4" x14ac:dyDescent="0.2">
      <c r="A2035" s="5">
        <v>1974</v>
      </c>
      <c r="B2035" s="138">
        <f>'Cap Outlay Deprec 26'!H12</f>
        <v>125911</v>
      </c>
      <c r="D2035" s="2" t="str">
        <f t="shared" si="30"/>
        <v>Error?</v>
      </c>
    </row>
    <row r="2036" spans="1:4" x14ac:dyDescent="0.2">
      <c r="A2036" s="5">
        <v>1975</v>
      </c>
      <c r="B2036" s="138">
        <f>'Cap Outlay Deprec 26'!H13</f>
        <v>182938</v>
      </c>
      <c r="D2036" s="2" t="str">
        <f t="shared" si="30"/>
        <v>Error?</v>
      </c>
    </row>
    <row r="2037" spans="1:4" x14ac:dyDescent="0.2">
      <c r="A2037" s="5">
        <v>1976</v>
      </c>
      <c r="B2037" s="138">
        <f>'Cap Outlay Deprec 26'!H16</f>
        <v>643032</v>
      </c>
      <c r="C2037" s="2" t="s">
        <v>573</v>
      </c>
      <c r="D2037" s="2" t="str">
        <f t="shared" si="30"/>
        <v>Error?</v>
      </c>
    </row>
    <row r="2038" spans="1:4" x14ac:dyDescent="0.2">
      <c r="A2038" s="10">
        <v>1977</v>
      </c>
      <c r="D2038" s="2" t="str">
        <f t="shared" si="30"/>
        <v>OK</v>
      </c>
    </row>
    <row r="2039" spans="1:4" x14ac:dyDescent="0.2">
      <c r="A2039" s="5">
        <v>1978</v>
      </c>
      <c r="B2039" s="138">
        <f>'Cap Outlay Deprec 26'!I8</f>
        <v>5918</v>
      </c>
      <c r="D2039" s="2" t="str">
        <f t="shared" si="30"/>
        <v>Error?</v>
      </c>
    </row>
    <row r="2040" spans="1:4" x14ac:dyDescent="0.2">
      <c r="A2040" s="5">
        <v>1979</v>
      </c>
      <c r="B2040" s="138">
        <f>'Cap Outlay Deprec 26'!I10</f>
        <v>8967</v>
      </c>
      <c r="D2040" s="2" t="str">
        <f t="shared" si="30"/>
        <v>Error?</v>
      </c>
    </row>
    <row r="2041" spans="1:4" x14ac:dyDescent="0.2">
      <c r="A2041" s="5">
        <v>1980</v>
      </c>
      <c r="B2041" s="138">
        <f>'Cap Outlay Deprec 26'!I12</f>
        <v>20569</v>
      </c>
      <c r="D2041" s="2" t="str">
        <f t="shared" si="30"/>
        <v>Error?</v>
      </c>
    </row>
    <row r="2042" spans="1:4" x14ac:dyDescent="0.2">
      <c r="A2042" s="5">
        <v>1981</v>
      </c>
      <c r="B2042" s="138">
        <f>'Cap Outlay Deprec 26'!I13</f>
        <v>17574</v>
      </c>
      <c r="D2042" s="2" t="str">
        <f t="shared" si="30"/>
        <v>Error?</v>
      </c>
    </row>
    <row r="2043" spans="1:4" x14ac:dyDescent="0.2">
      <c r="A2043" s="5">
        <v>1982</v>
      </c>
      <c r="B2043" s="138">
        <f>'Cap Outlay Deprec 26'!I16</f>
        <v>53302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125390</v>
      </c>
      <c r="D2048" s="2" t="str">
        <f t="shared" si="31"/>
        <v>Error?</v>
      </c>
    </row>
    <row r="2049" spans="1:4" x14ac:dyDescent="0.2">
      <c r="A2049" s="5">
        <v>1988</v>
      </c>
      <c r="B2049" s="138">
        <f>'Cap Outlay Deprec 26'!J16</f>
        <v>125390</v>
      </c>
      <c r="C2049" s="2" t="s">
        <v>573</v>
      </c>
      <c r="D2049" s="2" t="str">
        <f t="shared" si="31"/>
        <v>Error?</v>
      </c>
    </row>
    <row r="2050" spans="1:4" x14ac:dyDescent="0.2">
      <c r="A2050" s="10">
        <v>1989</v>
      </c>
      <c r="D2050" s="2" t="str">
        <f t="shared" si="31"/>
        <v>OK</v>
      </c>
    </row>
    <row r="2051" spans="1:4" x14ac:dyDescent="0.2">
      <c r="A2051" s="5">
        <v>1990</v>
      </c>
      <c r="B2051" s="138">
        <f>'Cap Outlay Deprec 26'!K8</f>
        <v>236221</v>
      </c>
      <c r="C2051" s="2" t="s">
        <v>573</v>
      </c>
      <c r="D2051" s="2" t="str">
        <f t="shared" si="31"/>
        <v>Error?</v>
      </c>
    </row>
    <row r="2052" spans="1:4" x14ac:dyDescent="0.2">
      <c r="A2052" s="5">
        <v>1991</v>
      </c>
      <c r="B2052" s="138">
        <f>'Cap Outlay Deprec 26'!K10</f>
        <v>111883</v>
      </c>
      <c r="C2052" s="2" t="s">
        <v>573</v>
      </c>
      <c r="D2052" s="2" t="str">
        <f t="shared" si="31"/>
        <v>Error?</v>
      </c>
    </row>
    <row r="2053" spans="1:4" x14ac:dyDescent="0.2">
      <c r="A2053" s="5">
        <v>1992</v>
      </c>
      <c r="B2053" s="138">
        <f>'Cap Outlay Deprec 26'!K12</f>
        <v>146480</v>
      </c>
      <c r="C2053" s="2" t="s">
        <v>573</v>
      </c>
      <c r="D2053" s="2" t="str">
        <f t="shared" si="31"/>
        <v>Error?</v>
      </c>
    </row>
    <row r="2054" spans="1:4" x14ac:dyDescent="0.2">
      <c r="A2054" s="5">
        <v>1993</v>
      </c>
      <c r="B2054" s="138">
        <f>'Cap Outlay Deprec 26'!K13</f>
        <v>75122</v>
      </c>
      <c r="C2054" s="2" t="s">
        <v>573</v>
      </c>
      <c r="D2054" s="2" t="str">
        <f t="shared" si="31"/>
        <v>Error?</v>
      </c>
    </row>
    <row r="2055" spans="1:4" x14ac:dyDescent="0.2">
      <c r="A2055" s="5">
        <v>1994</v>
      </c>
      <c r="B2055" s="138">
        <f>'Cap Outlay Deprec 26'!K16</f>
        <v>570944</v>
      </c>
      <c r="C2055" s="2" t="s">
        <v>573</v>
      </c>
      <c r="D2055" s="2" t="str">
        <f t="shared" si="31"/>
        <v>Error?</v>
      </c>
    </row>
    <row r="2056" spans="1:4" x14ac:dyDescent="0.2">
      <c r="A2056" s="5">
        <v>1995</v>
      </c>
      <c r="B2056" s="138">
        <f>'Cap Outlay Deprec 26'!L5</f>
        <v>6317</v>
      </c>
      <c r="C2056" s="2" t="s">
        <v>573</v>
      </c>
      <c r="D2056" s="2" t="str">
        <f t="shared" si="31"/>
        <v>Error?</v>
      </c>
    </row>
    <row r="2057" spans="1:4" x14ac:dyDescent="0.2">
      <c r="A2057" s="5">
        <v>1996</v>
      </c>
      <c r="B2057" s="138">
        <f>'Cap Outlay Deprec 26'!L8</f>
        <v>217199</v>
      </c>
      <c r="C2057" s="2" t="s">
        <v>573</v>
      </c>
      <c r="D2057" s="2" t="str">
        <f t="shared" si="31"/>
        <v>Error?</v>
      </c>
    </row>
    <row r="2058" spans="1:4" x14ac:dyDescent="0.2">
      <c r="A2058" s="5">
        <v>1997</v>
      </c>
      <c r="B2058" s="138">
        <f>'Cap Outlay Deprec 26'!L10</f>
        <v>69533</v>
      </c>
      <c r="C2058" s="2" t="s">
        <v>573</v>
      </c>
      <c r="D2058" s="2" t="str">
        <f t="shared" si="31"/>
        <v>Error?</v>
      </c>
    </row>
    <row r="2059" spans="1:4" x14ac:dyDescent="0.2">
      <c r="A2059" s="5">
        <v>1998</v>
      </c>
      <c r="B2059" s="138">
        <f>'Cap Outlay Deprec 26'!L12</f>
        <v>114275</v>
      </c>
      <c r="C2059" s="2" t="s">
        <v>573</v>
      </c>
      <c r="D2059" s="2" t="str">
        <f t="shared" si="31"/>
        <v>Error?</v>
      </c>
    </row>
    <row r="2060" spans="1:4" x14ac:dyDescent="0.2">
      <c r="A2060" s="5">
        <v>1999</v>
      </c>
      <c r="B2060" s="138">
        <f>'Cap Outlay Deprec 26'!L13</f>
        <v>158165</v>
      </c>
      <c r="C2060" s="2" t="s">
        <v>573</v>
      </c>
      <c r="D2060" s="2" t="str">
        <f t="shared" si="31"/>
        <v>Error?</v>
      </c>
    </row>
    <row r="2061" spans="1:4" x14ac:dyDescent="0.2">
      <c r="A2061" s="5">
        <v>2000</v>
      </c>
      <c r="B2061" s="138">
        <f>'Cap Outlay Deprec 26'!L16</f>
        <v>577951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135126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161455</v>
      </c>
      <c r="C2551" s="2" t="s">
        <v>573</v>
      </c>
      <c r="D2551" s="2" t="str">
        <f t="shared" si="38"/>
        <v>Error?</v>
      </c>
    </row>
    <row r="2552" spans="1:4" x14ac:dyDescent="0.2">
      <c r="A2552" s="10">
        <v>2491</v>
      </c>
      <c r="D2552" s="2" t="str">
        <f t="shared" si="38"/>
        <v>OK</v>
      </c>
    </row>
    <row r="2553" spans="1:4" x14ac:dyDescent="0.2">
      <c r="A2553" s="5">
        <v>2492</v>
      </c>
      <c r="B2553" s="138">
        <f>'Acct Summary 7-8'!C6</f>
        <v>617200</v>
      </c>
      <c r="C2553" s="2" t="s">
        <v>573</v>
      </c>
      <c r="D2553" s="2" t="str">
        <f t="shared" si="38"/>
        <v>Error?</v>
      </c>
    </row>
    <row r="2554" spans="1:4" x14ac:dyDescent="0.2">
      <c r="A2554" s="5">
        <v>2493</v>
      </c>
      <c r="B2554" s="138">
        <f>'Acct Summary 7-8'!C7</f>
        <v>83106</v>
      </c>
      <c r="C2554" s="2" t="s">
        <v>573</v>
      </c>
      <c r="D2554" s="2" t="str">
        <f t="shared" si="38"/>
        <v>Error?</v>
      </c>
    </row>
    <row r="2555" spans="1:4" x14ac:dyDescent="0.2">
      <c r="A2555" s="5">
        <v>2494</v>
      </c>
      <c r="B2555" s="138">
        <f>'Acct Summary 7-8'!C8</f>
        <v>861761</v>
      </c>
      <c r="C2555" s="2" t="s">
        <v>573</v>
      </c>
      <c r="D2555" s="2" t="str">
        <f t="shared" si="38"/>
        <v>Error?</v>
      </c>
    </row>
    <row r="2556" spans="1:4" x14ac:dyDescent="0.2">
      <c r="A2556" s="5">
        <v>2495</v>
      </c>
      <c r="B2556" s="138">
        <f>'Acct Summary 7-8'!C12</f>
        <v>602088</v>
      </c>
      <c r="C2556" s="2" t="s">
        <v>573</v>
      </c>
      <c r="D2556" s="2" t="str">
        <f t="shared" si="38"/>
        <v>Error?</v>
      </c>
    </row>
    <row r="2557" spans="1:4" x14ac:dyDescent="0.2">
      <c r="A2557" s="5">
        <v>2496</v>
      </c>
      <c r="B2557" s="138">
        <f>'Acct Summary 7-8'!C13</f>
        <v>245848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847936</v>
      </c>
      <c r="C2561" s="2" t="s">
        <v>573</v>
      </c>
      <c r="D2561" s="2" t="str">
        <f t="shared" si="39"/>
        <v>Error?</v>
      </c>
    </row>
    <row r="2562" spans="1:4" x14ac:dyDescent="0.2">
      <c r="A2562" s="5">
        <v>2501</v>
      </c>
      <c r="B2562" s="138">
        <f>'Acct Summary 7-8'!C20</f>
        <v>13825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26658</v>
      </c>
      <c r="C2564" s="2" t="s">
        <v>573</v>
      </c>
      <c r="D2564" s="2" t="str">
        <f t="shared" si="39"/>
        <v>Error?</v>
      </c>
    </row>
    <row r="2565" spans="1:4" x14ac:dyDescent="0.2">
      <c r="A2565" s="10">
        <v>2504</v>
      </c>
      <c r="D2565" s="2" t="str">
        <f t="shared" si="39"/>
        <v>OK</v>
      </c>
    </row>
    <row r="2566" spans="1:4" x14ac:dyDescent="0.2">
      <c r="A2566" s="5">
        <v>2505</v>
      </c>
      <c r="B2566" s="138">
        <f>'Acct Summary 7-8'!D6</f>
        <v>60000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86658</v>
      </c>
      <c r="C2568" s="2" t="s">
        <v>573</v>
      </c>
      <c r="D2568" s="2" t="str">
        <f t="shared" si="39"/>
        <v>Error?</v>
      </c>
    </row>
    <row r="2569" spans="1:4" x14ac:dyDescent="0.2">
      <c r="A2569" s="5">
        <v>2508</v>
      </c>
      <c r="B2569" s="138">
        <f>'Acct Summary 7-8'!D13</f>
        <v>69105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69105</v>
      </c>
      <c r="C2573" s="2" t="s">
        <v>573</v>
      </c>
      <c r="D2573" s="2" t="str">
        <f t="shared" si="39"/>
        <v>Error?</v>
      </c>
    </row>
    <row r="2574" spans="1:4" x14ac:dyDescent="0.2">
      <c r="A2574" s="5">
        <v>2513</v>
      </c>
      <c r="B2574" s="138">
        <f>'Acct Summary 7-8'!D20</f>
        <v>17553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14161</v>
      </c>
      <c r="C2591" s="2" t="s">
        <v>573</v>
      </c>
      <c r="D2591" s="2" t="str">
        <f t="shared" si="39"/>
        <v>Error?</v>
      </c>
    </row>
    <row r="2592" spans="1:4" x14ac:dyDescent="0.2">
      <c r="A2592" s="10">
        <v>2531</v>
      </c>
      <c r="D2592" s="2" t="str">
        <f t="shared" si="39"/>
        <v>OK</v>
      </c>
    </row>
    <row r="2593" spans="1:4" x14ac:dyDescent="0.2">
      <c r="A2593" s="5">
        <v>2532</v>
      </c>
      <c r="B2593" s="138">
        <f>'Acct Summary 7-8'!F6</f>
        <v>69155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83316</v>
      </c>
      <c r="C2595" s="2" t="s">
        <v>573</v>
      </c>
      <c r="D2595" s="2" t="str">
        <f t="shared" si="39"/>
        <v>Error?</v>
      </c>
    </row>
    <row r="2596" spans="1:4" x14ac:dyDescent="0.2">
      <c r="A2596" s="5">
        <v>2535</v>
      </c>
      <c r="B2596" s="138">
        <f>'Acct Summary 7-8'!F13</f>
        <v>32603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55392</v>
      </c>
      <c r="C2599" s="2" t="s">
        <v>573</v>
      </c>
      <c r="D2599" s="2" t="str">
        <f t="shared" si="39"/>
        <v>Error?</v>
      </c>
    </row>
    <row r="2600" spans="1:4" x14ac:dyDescent="0.2">
      <c r="A2600" s="5">
        <v>2539</v>
      </c>
      <c r="B2600" s="138">
        <f>'Acct Summary 7-8'!F17</f>
        <v>87995</v>
      </c>
      <c r="C2600" s="2" t="s">
        <v>573</v>
      </c>
      <c r="D2600" s="2" t="str">
        <f t="shared" si="39"/>
        <v>Error?</v>
      </c>
    </row>
    <row r="2601" spans="1:4" x14ac:dyDescent="0.2">
      <c r="A2601" s="5">
        <v>2540</v>
      </c>
      <c r="B2601" s="138">
        <f>'Acct Summary 7-8'!F20</f>
        <v>-4679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27453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27453</v>
      </c>
      <c r="C2606" s="2" t="s">
        <v>573</v>
      </c>
      <c r="D2606" s="2" t="str">
        <f t="shared" si="39"/>
        <v>Error?</v>
      </c>
    </row>
    <row r="2607" spans="1:4" x14ac:dyDescent="0.2">
      <c r="A2607" s="5">
        <v>2546</v>
      </c>
      <c r="B2607" s="138">
        <f>'Acct Summary 7-8'!G12</f>
        <v>13243</v>
      </c>
      <c r="C2607" s="2" t="s">
        <v>573</v>
      </c>
      <c r="D2607" s="2" t="str">
        <f t="shared" si="39"/>
        <v>Error?</v>
      </c>
    </row>
    <row r="2608" spans="1:4" x14ac:dyDescent="0.2">
      <c r="A2608" s="5">
        <v>2547</v>
      </c>
      <c r="B2608" s="138">
        <f>'Acct Summary 7-8'!G13</f>
        <v>19892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33135</v>
      </c>
      <c r="C2612" s="2" t="s">
        <v>573</v>
      </c>
      <c r="D2612" s="2" t="str">
        <f t="shared" si="39"/>
        <v>Error?</v>
      </c>
    </row>
    <row r="2613" spans="1:4" x14ac:dyDescent="0.2">
      <c r="A2613" s="5">
        <v>2552</v>
      </c>
      <c r="B2613" s="138">
        <f>'Acct Summary 7-8'!G20</f>
        <v>-5682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69305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15273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69305</v>
      </c>
      <c r="D2912" s="2" t="str">
        <f t="shared" si="44"/>
        <v>Error?</v>
      </c>
    </row>
    <row r="2913" spans="1:4" x14ac:dyDescent="0.2">
      <c r="A2913" s="5">
        <v>2852</v>
      </c>
      <c r="B2913" s="138">
        <f>'Assets-Liab 5-6'!I41</f>
        <v>69305</v>
      </c>
      <c r="C2913" s="2" t="s">
        <v>573</v>
      </c>
      <c r="D2913" s="2" t="str">
        <f t="shared" si="44"/>
        <v>Error?</v>
      </c>
    </row>
    <row r="2914" spans="1:4" x14ac:dyDescent="0.2">
      <c r="A2914" s="5">
        <v>2853</v>
      </c>
      <c r="B2914" s="138">
        <f>'Assets-Liab 5-6'!L33</f>
        <v>15273</v>
      </c>
      <c r="D2914" s="2" t="str">
        <f t="shared" si="44"/>
        <v>Error?</v>
      </c>
    </row>
    <row r="2915" spans="1:4" x14ac:dyDescent="0.2">
      <c r="A2915" s="10">
        <v>2854</v>
      </c>
      <c r="D2915" s="2" t="str">
        <f t="shared" si="44"/>
        <v>OK</v>
      </c>
    </row>
    <row r="2916" spans="1:4" x14ac:dyDescent="0.2">
      <c r="A2916" s="5">
        <v>2855</v>
      </c>
      <c r="B2916" s="138">
        <f>'Assets-Liab 5-6'!L34</f>
        <v>15273</v>
      </c>
      <c r="C2916" s="2" t="s">
        <v>573</v>
      </c>
      <c r="D2916" s="2" t="str">
        <f t="shared" si="44"/>
        <v>Error?</v>
      </c>
    </row>
    <row r="2917" spans="1:4" x14ac:dyDescent="0.2">
      <c r="A2917" s="5">
        <v>2856</v>
      </c>
      <c r="B2917" s="138">
        <f>'Assets-Liab 5-6'!L41</f>
        <v>15273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2714</v>
      </c>
      <c r="D3057" s="2" t="str">
        <f t="shared" si="46"/>
        <v>Error?</v>
      </c>
    </row>
    <row r="3058" spans="1:4" x14ac:dyDescent="0.2">
      <c r="A3058" s="5">
        <v>2997</v>
      </c>
      <c r="B3058" s="138">
        <f>'Expenditures 15-22'!F10</f>
        <v>16653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19367</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3562</v>
      </c>
      <c r="C3225" s="2" t="s">
        <v>573</v>
      </c>
      <c r="D3225" s="2" t="str">
        <f t="shared" si="49"/>
        <v>Error?</v>
      </c>
    </row>
    <row r="3226" spans="1:4" x14ac:dyDescent="0.2">
      <c r="A3226" s="5">
        <v>3165</v>
      </c>
      <c r="B3226" s="138">
        <f>'Acct Summary 7-8'!I8</f>
        <v>3562</v>
      </c>
      <c r="C3226" s="2" t="s">
        <v>573</v>
      </c>
      <c r="D3226" s="2" t="str">
        <f t="shared" si="49"/>
        <v>Error?</v>
      </c>
    </row>
    <row r="3227" spans="1:4" x14ac:dyDescent="0.2">
      <c r="A3227" s="5">
        <v>3166</v>
      </c>
      <c r="B3227" s="138">
        <f>'Acct Summary 7-8'!I20</f>
        <v>3562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115351</v>
      </c>
      <c r="C3231" s="2" t="s">
        <v>573</v>
      </c>
      <c r="D3231" s="2" t="str">
        <f t="shared" si="49"/>
        <v>Error?</v>
      </c>
    </row>
    <row r="3232" spans="1:4" x14ac:dyDescent="0.2">
      <c r="A3232" s="5">
        <v>3171</v>
      </c>
      <c r="B3232" s="138">
        <f>'Acct Summary 7-8'!C77</f>
        <v>-115351</v>
      </c>
      <c r="C3232" s="2" t="s">
        <v>573</v>
      </c>
      <c r="D3232" s="2" t="str">
        <f t="shared" si="49"/>
        <v>Error?</v>
      </c>
    </row>
    <row r="3233" spans="1:4" x14ac:dyDescent="0.2">
      <c r="A3233" s="5">
        <v>3172</v>
      </c>
      <c r="B3233" s="138">
        <f>'Acct Summary 7-8'!C78</f>
        <v>-101526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115351</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115351</v>
      </c>
      <c r="C3238" s="2" t="s">
        <v>573</v>
      </c>
      <c r="D3238" s="2" t="str">
        <f t="shared" si="49"/>
        <v>Error?</v>
      </c>
    </row>
    <row r="3239" spans="1:4" x14ac:dyDescent="0.2">
      <c r="A3239" s="5">
        <v>3178</v>
      </c>
      <c r="B3239" s="138">
        <f>'Acct Summary 7-8'!D78</f>
        <v>132904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45000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45000</v>
      </c>
      <c r="C3255" s="2" t="s">
        <v>573</v>
      </c>
      <c r="D3255" s="2" t="str">
        <f t="shared" si="49"/>
        <v>Error?</v>
      </c>
    </row>
    <row r="3256" spans="1:4" x14ac:dyDescent="0.2">
      <c r="A3256" s="5">
        <v>3195</v>
      </c>
      <c r="B3256" s="138">
        <f>'Acct Summary 7-8'!F78</f>
        <v>40321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-5682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3562</v>
      </c>
      <c r="C3320" s="2" t="s">
        <v>573</v>
      </c>
      <c r="D3320" s="2" t="str">
        <f t="shared" si="50"/>
        <v>Error?</v>
      </c>
    </row>
    <row r="3321" spans="1:4" x14ac:dyDescent="0.2">
      <c r="A3321" s="5">
        <v>3260</v>
      </c>
      <c r="B3321" s="138">
        <f>'Acct Summary 7-8'!I79</f>
        <v>65743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69305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82592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87108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7782</v>
      </c>
      <c r="D3387" s="2" t="str">
        <f t="shared" si="51"/>
        <v>Error?</v>
      </c>
    </row>
    <row r="3388" spans="1:4" x14ac:dyDescent="0.2">
      <c r="A3388" s="5">
        <v>3327</v>
      </c>
      <c r="B3388" s="138">
        <f>'Expenditures 15-22'!D217</f>
        <v>5234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7782</v>
      </c>
      <c r="C3390" s="2" t="s">
        <v>573</v>
      </c>
      <c r="D3390" s="2" t="str">
        <f t="shared" si="51"/>
        <v>Error?</v>
      </c>
    </row>
    <row r="3391" spans="1:4" x14ac:dyDescent="0.2">
      <c r="A3391" s="5">
        <v>3330</v>
      </c>
      <c r="B3391" s="138">
        <f>'Expenditures 15-22'!K217</f>
        <v>5234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1481778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601604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502484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135126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69305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15273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8997</v>
      </c>
      <c r="C3446" s="2" t="s">
        <v>573</v>
      </c>
      <c r="D3446" s="2" t="str">
        <f t="shared" si="52"/>
        <v>Error?</v>
      </c>
    </row>
    <row r="3447" spans="1:4" x14ac:dyDescent="0.2">
      <c r="A3447" s="5">
        <v>3386</v>
      </c>
      <c r="B3447" s="138">
        <f>'Tax Sched 23'!D16</f>
        <v>8997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8999.89</v>
      </c>
      <c r="C3449" s="2" t="s">
        <v>573</v>
      </c>
      <c r="D3449" s="2" t="str">
        <f t="shared" si="52"/>
        <v>Error?</v>
      </c>
    </row>
    <row r="3450" spans="1:4" x14ac:dyDescent="0.2">
      <c r="A3450" s="5">
        <v>3389</v>
      </c>
      <c r="B3450" s="138">
        <f>'Tax Sched 23'!E16</f>
        <v>8999.89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45000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86500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86500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86500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86500</v>
      </c>
      <c r="C3568" s="2" t="s">
        <v>573</v>
      </c>
      <c r="D3568" s="2" t="str">
        <f t="shared" si="54"/>
        <v>Error?</v>
      </c>
    </row>
    <row r="3569" spans="1:4" x14ac:dyDescent="0.2">
      <c r="A3569" s="5">
        <v>3508</v>
      </c>
      <c r="B3569" s="138">
        <f>'Acct Summary 7-8'!K4</f>
        <v>3501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3501</v>
      </c>
      <c r="C3571" s="2" t="s">
        <v>573</v>
      </c>
      <c r="D3571" s="2" t="str">
        <f t="shared" si="54"/>
        <v>Error?</v>
      </c>
    </row>
    <row r="3572" spans="1:4" x14ac:dyDescent="0.2">
      <c r="A3572" s="5">
        <v>3511</v>
      </c>
      <c r="B3572" s="138">
        <f>'Acct Summary 7-8'!K13</f>
        <v>1489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1489</v>
      </c>
      <c r="C3575" s="2" t="s">
        <v>573</v>
      </c>
      <c r="D3575" s="2" t="str">
        <f t="shared" si="54"/>
        <v>Error?</v>
      </c>
    </row>
    <row r="3576" spans="1:4" x14ac:dyDescent="0.2">
      <c r="A3576" s="5">
        <v>3515</v>
      </c>
      <c r="B3576" s="138">
        <f>'Acct Summary 7-8'!K20</f>
        <v>2012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2012</v>
      </c>
      <c r="C3588" s="2" t="s">
        <v>573</v>
      </c>
      <c r="D3588" s="2" t="str">
        <f t="shared" si="55"/>
        <v>Error?</v>
      </c>
    </row>
    <row r="3589" spans="1:4" x14ac:dyDescent="0.2">
      <c r="A3589" s="5">
        <v>3528</v>
      </c>
      <c r="B3589" s="138">
        <f>'Acct Summary 7-8'!K79</f>
        <v>84488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86500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86</v>
      </c>
      <c r="D3632" s="2" t="str">
        <f t="shared" si="55"/>
        <v>Error?</v>
      </c>
    </row>
    <row r="3633" spans="1:4" x14ac:dyDescent="0.2">
      <c r="A3633" s="5">
        <v>3572</v>
      </c>
      <c r="B3633" s="138">
        <f>'Expenditures 15-22'!E350</f>
        <v>86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1403</v>
      </c>
      <c r="D3639" s="2" t="str">
        <f t="shared" si="55"/>
        <v>Error?</v>
      </c>
    </row>
    <row r="3640" spans="1:4" x14ac:dyDescent="0.2">
      <c r="A3640" s="5">
        <v>3579</v>
      </c>
      <c r="B3640" s="138">
        <f>'Expenditures 15-22'!F350</f>
        <v>1403</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1403</v>
      </c>
      <c r="C3642" s="2" t="s">
        <v>573</v>
      </c>
      <c r="D3642" s="2" t="str">
        <f t="shared" si="55"/>
        <v>Error?</v>
      </c>
    </row>
    <row r="3643" spans="1:4" x14ac:dyDescent="0.2">
      <c r="A3643" s="5">
        <v>3582</v>
      </c>
      <c r="B3643" s="138">
        <f>'Expenditures 15-22'!F367</f>
        <v>1403</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1489</v>
      </c>
      <c r="C3669" s="2" t="s">
        <v>573</v>
      </c>
      <c r="D3669" s="2" t="str">
        <f t="shared" si="56"/>
        <v>Error?</v>
      </c>
    </row>
    <row r="3670" spans="1:4" x14ac:dyDescent="0.2">
      <c r="A3670" s="5">
        <v>3609</v>
      </c>
      <c r="B3670" s="138">
        <f>'Expenditures 15-22'!K350</f>
        <v>1489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1489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1489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2012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29184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421891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1283652</v>
      </c>
      <c r="C4122" s="2" t="s">
        <v>573</v>
      </c>
      <c r="D4122" s="2" t="str">
        <f t="shared" si="63"/>
        <v>Error?</v>
      </c>
    </row>
    <row r="4123" spans="1:4" x14ac:dyDescent="0.2">
      <c r="A4123" s="5">
        <v>4062</v>
      </c>
      <c r="B4123" s="138">
        <f>'Acct Summary 7-8'!D10</f>
        <v>86658</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83316</v>
      </c>
      <c r="C4125" s="2" t="s">
        <v>573</v>
      </c>
      <c r="D4125" s="2" t="str">
        <f t="shared" si="63"/>
        <v>Error?</v>
      </c>
    </row>
    <row r="4126" spans="1:4" x14ac:dyDescent="0.2">
      <c r="A4126" s="5">
        <v>4065</v>
      </c>
      <c r="B4126" s="138">
        <f>'Acct Summary 7-8'!G10</f>
        <v>27453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3562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3501</v>
      </c>
      <c r="C4130" s="2" t="s">
        <v>573</v>
      </c>
      <c r="D4130" s="2" t="str">
        <f t="shared" si="63"/>
        <v>Error?</v>
      </c>
    </row>
    <row r="4131" spans="1:4" x14ac:dyDescent="0.2">
      <c r="A4131" s="5">
        <v>4070</v>
      </c>
      <c r="B4131" s="138">
        <f>'Acct Summary 7-8'!C18</f>
        <v>421891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1269827</v>
      </c>
      <c r="C4136" s="2" t="s">
        <v>573</v>
      </c>
      <c r="D4136" s="2" t="str">
        <f t="shared" si="63"/>
        <v>Error?</v>
      </c>
    </row>
    <row r="4137" spans="1:4" x14ac:dyDescent="0.2">
      <c r="A4137" s="5">
        <v>4076</v>
      </c>
      <c r="B4137" s="138">
        <f>'Acct Summary 7-8'!D19</f>
        <v>69105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87995</v>
      </c>
      <c r="C4139" s="2" t="s">
        <v>573</v>
      </c>
      <c r="D4139" s="2" t="str">
        <f t="shared" si="63"/>
        <v>Error?</v>
      </c>
    </row>
    <row r="4140" spans="1:4" x14ac:dyDescent="0.2">
      <c r="A4140" s="5">
        <v>4079</v>
      </c>
      <c r="B4140" s="138">
        <f>'Acct Summary 7-8'!G19</f>
        <v>33135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1489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124223</v>
      </c>
      <c r="C4171" s="2" t="s">
        <v>573</v>
      </c>
      <c r="D4171" s="2" t="str">
        <f t="shared" si="64"/>
        <v>Error?</v>
      </c>
    </row>
    <row r="4172" spans="1:4" x14ac:dyDescent="0.2">
      <c r="A4172" s="5">
        <v>4111</v>
      </c>
      <c r="B4172" s="138">
        <f>'Short-Term Long-Term Debt 24'!J49</f>
        <v>124223</v>
      </c>
      <c r="C4172" s="2" t="s">
        <v>573</v>
      </c>
      <c r="D4172" s="2" t="str">
        <f t="shared" si="64"/>
        <v>Error?</v>
      </c>
    </row>
    <row r="4173" spans="1:4" x14ac:dyDescent="0.2">
      <c r="A4173" s="5">
        <v>4112</v>
      </c>
      <c r="B4173" s="138">
        <f>'Short-Term Long-Term Debt 24'!H49</f>
        <v>51515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51515</v>
      </c>
      <c r="D4210" s="2" t="str">
        <f t="shared" si="64"/>
        <v>Error?</v>
      </c>
    </row>
    <row r="4211" spans="1:4" x14ac:dyDescent="0.2">
      <c r="A4211" s="5">
        <v>4150</v>
      </c>
      <c r="B4211" s="138">
        <f>'Expenditures 15-22'!K206</f>
        <v>51515</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1500</v>
      </c>
      <c r="C4265" s="2" t="s">
        <v>573</v>
      </c>
      <c r="D4265" s="2" t="str">
        <f t="shared" si="65"/>
        <v>Error?</v>
      </c>
      <c r="E4265" s="128"/>
    </row>
    <row r="4266" spans="1:5" x14ac:dyDescent="0.2">
      <c r="A4266" s="12">
        <v>4205</v>
      </c>
      <c r="B4266" s="138">
        <f>('FP Info 3'!F10)*100000</f>
        <v>375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2075</v>
      </c>
      <c r="C4268" s="2" t="s">
        <v>573</v>
      </c>
      <c r="D4268" s="2" t="str">
        <f t="shared" si="65"/>
        <v>Error?</v>
      </c>
    </row>
    <row r="4269" spans="1:5" x14ac:dyDescent="0.2">
      <c r="A4269" s="12">
        <v>4208</v>
      </c>
      <c r="B4269" s="138">
        <f>'FP Info 3'!J16</f>
        <v>2655171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98</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1696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8354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1122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7026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9073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7398742</v>
      </c>
      <c r="D4995" s="2" t="str">
        <f t="shared" si="77"/>
        <v>Error?</v>
      </c>
    </row>
    <row r="4996" spans="1:4" x14ac:dyDescent="0.2">
      <c r="A4996" s="12">
        <v>4935</v>
      </c>
      <c r="B4996" s="138">
        <f>'FP Info 3'!H31</f>
        <v>510513.19800000003</v>
      </c>
      <c r="D4996" s="2" t="str">
        <f t="shared" si="77"/>
        <v>Error?</v>
      </c>
    </row>
    <row r="4997" spans="1:4" x14ac:dyDescent="0.2">
      <c r="A4997" s="12">
        <v>4936</v>
      </c>
      <c r="B4997" s="138">
        <f>'FP Info 3'!H37</f>
        <v>124223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115351</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115351</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103396</v>
      </c>
      <c r="D5061" s="2" t="str">
        <f t="shared" si="78"/>
        <v>Error?</v>
      </c>
    </row>
    <row r="5062" spans="1:4" x14ac:dyDescent="0.2">
      <c r="A5062" s="10">
        <v>5001</v>
      </c>
      <c r="D5062" s="2" t="str">
        <f t="shared" si="78"/>
        <v>OK</v>
      </c>
    </row>
    <row r="5063" spans="1:4" x14ac:dyDescent="0.2">
      <c r="A5063" s="5">
        <v>5002</v>
      </c>
      <c r="B5063" s="138">
        <f>'Revenues 9-14'!C7</f>
        <v>1379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104775</v>
      </c>
      <c r="C5066" s="2" t="s">
        <v>573</v>
      </c>
      <c r="D5066" s="2" t="str">
        <f t="shared" si="78"/>
        <v>Error?</v>
      </c>
    </row>
    <row r="5067" spans="1:4" x14ac:dyDescent="0.2">
      <c r="A5067" s="5">
        <v>5006</v>
      </c>
      <c r="B5067" s="138">
        <f>'Revenues 9-14'!C14</f>
        <v>1588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1588</v>
      </c>
      <c r="C5071" s="2" t="s">
        <v>573</v>
      </c>
      <c r="D5071" s="2" t="str">
        <f t="shared" si="78"/>
        <v>Error?</v>
      </c>
    </row>
    <row r="5072" spans="1:4" x14ac:dyDescent="0.2">
      <c r="A5072" s="5">
        <v>5011</v>
      </c>
      <c r="B5072" s="138">
        <f>'Revenues 9-14'!C20</f>
        <v>3788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3788</v>
      </c>
      <c r="C5087" s="2" t="s">
        <v>573</v>
      </c>
      <c r="D5087" s="2" t="str">
        <f t="shared" si="78"/>
        <v>Error?</v>
      </c>
    </row>
    <row r="5088" spans="1:4" x14ac:dyDescent="0.2">
      <c r="A5088" s="5">
        <v>5027</v>
      </c>
      <c r="B5088" s="138">
        <f>'Revenues 9-14'!C65</f>
        <v>29409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29409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1570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15566</v>
      </c>
      <c r="C5096" s="2" t="s">
        <v>573</v>
      </c>
      <c r="D5096" s="2" t="str">
        <f t="shared" si="78"/>
        <v>Error?</v>
      </c>
    </row>
    <row r="5097" spans="1:4" x14ac:dyDescent="0.2">
      <c r="A5097" s="5">
        <v>5036</v>
      </c>
      <c r="B5097" s="138">
        <f>'Revenues 9-14'!C77</f>
        <v>2636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2636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3693</v>
      </c>
      <c r="D5119" s="2" t="str">
        <f t="shared" ref="D5119:D5182" si="79">IF(ISBLANK(B5119),"OK",IF(A5119-B5119=0,"OK","Error?"))</f>
        <v>Error?</v>
      </c>
    </row>
    <row r="5120" spans="1:4" x14ac:dyDescent="0.2">
      <c r="A5120" s="5">
        <v>5059</v>
      </c>
      <c r="B5120" s="138">
        <f>'Revenues 9-14'!C108</f>
        <v>3693</v>
      </c>
      <c r="C5120" s="2" t="s">
        <v>573</v>
      </c>
      <c r="D5120" s="2" t="str">
        <f t="shared" si="79"/>
        <v>Error?</v>
      </c>
    </row>
    <row r="5121" spans="1:4" x14ac:dyDescent="0.2">
      <c r="A5121" s="5">
        <v>5060</v>
      </c>
      <c r="B5121" s="138">
        <f>'Revenues 9-14'!C109</f>
        <v>161455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616596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616596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604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604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617200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25169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11299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36468</v>
      </c>
      <c r="C5246" s="2" t="s">
        <v>573</v>
      </c>
      <c r="D5246" s="2" t="str">
        <f t="shared" si="80"/>
        <v>Error?</v>
      </c>
    </row>
    <row r="5247" spans="1:4" x14ac:dyDescent="0.2">
      <c r="A5247" s="5">
        <v>5186</v>
      </c>
      <c r="B5247" s="138">
        <f>'Revenues 9-14'!C200</f>
        <v>19367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1122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19367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83106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83106</v>
      </c>
      <c r="C5326" s="2" t="s">
        <v>573</v>
      </c>
      <c r="D5326" s="2" t="str">
        <f t="shared" si="82"/>
        <v>Error?</v>
      </c>
    </row>
    <row r="5327" spans="1:5" x14ac:dyDescent="0.2">
      <c r="A5327" s="5">
        <v>5266</v>
      </c>
      <c r="B5327" s="138">
        <f>'Revenues 9-14'!C268</f>
        <v>861761</v>
      </c>
      <c r="C5327" s="2" t="s">
        <v>573</v>
      </c>
      <c r="D5327" s="2" t="str">
        <f t="shared" si="82"/>
        <v>Error?</v>
      </c>
    </row>
    <row r="5328" spans="1:5" x14ac:dyDescent="0.2">
      <c r="A5328" s="5">
        <v>5267</v>
      </c>
      <c r="B5328" s="138">
        <f>'Revenues 9-14'!D5</f>
        <v>25849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25849</v>
      </c>
      <c r="C5334" s="2" t="s">
        <v>573</v>
      </c>
      <c r="D5334" s="2" t="str">
        <f t="shared" si="82"/>
        <v>Error?</v>
      </c>
    </row>
    <row r="5335" spans="1:4" x14ac:dyDescent="0.2">
      <c r="A5335" s="5">
        <v>5274</v>
      </c>
      <c r="B5335" s="138">
        <f>'Revenues 9-14'!D14</f>
        <v>392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392</v>
      </c>
      <c r="C5339" s="2" t="s">
        <v>573</v>
      </c>
      <c r="D5339" s="2" t="str">
        <f t="shared" si="82"/>
        <v>Error?</v>
      </c>
    </row>
    <row r="5340" spans="1:4" x14ac:dyDescent="0.2">
      <c r="A5340" s="5">
        <v>5279</v>
      </c>
      <c r="B5340" s="138">
        <f>'Revenues 9-14'!D65</f>
        <v>328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89</v>
      </c>
      <c r="D5354" s="2" t="str">
        <f t="shared" si="82"/>
        <v>Error?</v>
      </c>
    </row>
    <row r="5355" spans="1:4" x14ac:dyDescent="0.2">
      <c r="A5355" s="5">
        <v>5294</v>
      </c>
      <c r="B5355" s="138">
        <f>'Revenues 9-14'!D108</f>
        <v>89</v>
      </c>
      <c r="C5355" s="2" t="s">
        <v>573</v>
      </c>
      <c r="D5355" s="2" t="str">
        <f t="shared" si="82"/>
        <v>Error?</v>
      </c>
    </row>
    <row r="5356" spans="1:4" x14ac:dyDescent="0.2">
      <c r="A5356" s="5">
        <v>5295</v>
      </c>
      <c r="B5356" s="138">
        <f>'Revenues 9-14'!D109</f>
        <v>26658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60000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60000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60000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86658</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13786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13786</v>
      </c>
      <c r="C5557" s="2" t="s">
        <v>573</v>
      </c>
      <c r="D5557" s="2" t="str">
        <f t="shared" si="85"/>
        <v>Error?</v>
      </c>
    </row>
    <row r="5558" spans="1:4" x14ac:dyDescent="0.2">
      <c r="A5558" s="5">
        <v>5497</v>
      </c>
      <c r="B5558" s="138">
        <f>'Revenues 9-14'!F14</f>
        <v>209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209</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14161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46096</v>
      </c>
      <c r="D5615" s="2" t="str">
        <f t="shared" si="86"/>
        <v>Error?</v>
      </c>
    </row>
    <row r="5616" spans="1:4" x14ac:dyDescent="0.2">
      <c r="A5616" s="10">
        <v>5555</v>
      </c>
      <c r="D5616" s="2" t="str">
        <f t="shared" si="86"/>
        <v>OK</v>
      </c>
    </row>
    <row r="5617" spans="1:5" x14ac:dyDescent="0.2">
      <c r="A5617" s="5">
        <v>5556</v>
      </c>
      <c r="B5617" s="138">
        <f>'Revenues 9-14'!F153</f>
        <v>2961</v>
      </c>
      <c r="D5617" s="2" t="str">
        <f t="shared" si="86"/>
        <v>Error?</v>
      </c>
    </row>
    <row r="5618" spans="1:5" x14ac:dyDescent="0.2">
      <c r="A5618" s="5">
        <v>5557</v>
      </c>
      <c r="B5618" s="138">
        <f>'Revenues 9-14'!F155</f>
        <v>49155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49155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69155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83316</v>
      </c>
      <c r="C5720" s="2" t="s">
        <v>573</v>
      </c>
      <c r="D5720" s="2" t="str">
        <f t="shared" si="88"/>
        <v>Error?</v>
      </c>
    </row>
    <row r="5721" spans="1:4" x14ac:dyDescent="0.2">
      <c r="A5721" s="5">
        <v>5660</v>
      </c>
      <c r="B5721" s="138">
        <f>'Revenues 9-14'!G5</f>
        <v>8997</v>
      </c>
      <c r="D5721" s="2" t="str">
        <f t="shared" si="88"/>
        <v>Error?</v>
      </c>
    </row>
    <row r="5722" spans="1:4" x14ac:dyDescent="0.2">
      <c r="A5722" s="5">
        <v>5661</v>
      </c>
      <c r="B5722" s="138">
        <f>'Revenues 9-14'!G7</f>
        <v>0</v>
      </c>
      <c r="D5722" s="2" t="str">
        <f t="shared" si="88"/>
        <v>Error?</v>
      </c>
    </row>
    <row r="5723" spans="1:4" x14ac:dyDescent="0.2">
      <c r="A5723" s="5">
        <v>5662</v>
      </c>
      <c r="B5723" s="138">
        <f>'Revenues 9-14'!G8</f>
        <v>8997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17994</v>
      </c>
      <c r="C5725" s="2" t="s">
        <v>573</v>
      </c>
      <c r="D5725" s="2" t="str">
        <f t="shared" si="88"/>
        <v>Error?</v>
      </c>
    </row>
    <row r="5726" spans="1:4" x14ac:dyDescent="0.2">
      <c r="A5726" s="5">
        <v>5665</v>
      </c>
      <c r="B5726" s="138">
        <f>'Revenues 9-14'!G14</f>
        <v>272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9082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9354</v>
      </c>
      <c r="C5730" s="2" t="s">
        <v>573</v>
      </c>
      <c r="D5730" s="2" t="str">
        <f t="shared" si="88"/>
        <v>Error?</v>
      </c>
    </row>
    <row r="5731" spans="1:4" x14ac:dyDescent="0.2">
      <c r="A5731" s="5">
        <v>5670</v>
      </c>
      <c r="B5731" s="138">
        <f>'Revenues 9-14'!G65</f>
        <v>105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27453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3447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3447</v>
      </c>
      <c r="C5918" s="2" t="s">
        <v>573</v>
      </c>
      <c r="D5918" s="2" t="str">
        <f t="shared" si="91"/>
        <v>Error?</v>
      </c>
    </row>
    <row r="5919" spans="1:4" x14ac:dyDescent="0.2">
      <c r="A5919" s="5">
        <v>5858</v>
      </c>
      <c r="B5919" s="138">
        <f>'Revenues 9-14'!I14</f>
        <v>52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52</v>
      </c>
      <c r="C5923" s="2" t="s">
        <v>573</v>
      </c>
      <c r="D5923" s="2" t="str">
        <f t="shared" si="91"/>
        <v>Error?</v>
      </c>
    </row>
    <row r="5924" spans="1:4" x14ac:dyDescent="0.2">
      <c r="A5924" s="5">
        <v>5863</v>
      </c>
      <c r="B5924" s="138">
        <f>'Revenues 9-14'!I65</f>
        <v>63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3562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3447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3447</v>
      </c>
      <c r="C5987" s="2" t="s">
        <v>573</v>
      </c>
      <c r="D5987" s="2" t="str">
        <f t="shared" si="92"/>
        <v>Error?</v>
      </c>
    </row>
    <row r="5988" spans="1:4" x14ac:dyDescent="0.2">
      <c r="A5988" s="5">
        <v>5927</v>
      </c>
      <c r="B5988" s="138">
        <f>'Revenues 9-14'!K14</f>
        <v>52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52</v>
      </c>
      <c r="C5992" s="2" t="s">
        <v>573</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3501</v>
      </c>
      <c r="C6023" s="2" t="s">
        <v>573</v>
      </c>
      <c r="D6023" s="2" t="str">
        <f t="shared" si="93"/>
        <v>Error?</v>
      </c>
    </row>
    <row r="6024" spans="1:5" x14ac:dyDescent="0.2">
      <c r="A6024" s="5">
        <v>5963</v>
      </c>
      <c r="B6024" s="138">
        <f>'Revenues 9-14'!G109</f>
        <v>27453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3562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3501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13996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3896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90.638999999999996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23130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23130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23130</v>
      </c>
      <c r="D6216" s="2" t="str">
        <f t="shared" si="96"/>
        <v>Error?</v>
      </c>
      <c r="E6216" s="2" t="s">
        <v>190</v>
      </c>
    </row>
    <row r="6217" spans="1:5" x14ac:dyDescent="0.2">
      <c r="A6217">
        <v>6156</v>
      </c>
      <c r="B6217" s="138">
        <f>'Assets-Liab 5-6'!J4</f>
        <v>23130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28922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28922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28922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20774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20774</v>
      </c>
      <c r="D6229" s="2" t="str">
        <f t="shared" si="96"/>
        <v>Error?</v>
      </c>
      <c r="E6229" s="2" t="s">
        <v>190</v>
      </c>
    </row>
    <row r="6230" spans="1:5" x14ac:dyDescent="0.2">
      <c r="A6230">
        <v>6169</v>
      </c>
      <c r="B6230" s="138">
        <f>'Acct Summary 7-8'!J20</f>
        <v>8148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8148</v>
      </c>
      <c r="D6263" s="2" t="str">
        <f t="shared" si="96"/>
        <v>Error?</v>
      </c>
      <c r="E6263" s="2" t="s">
        <v>190</v>
      </c>
    </row>
    <row r="6264" spans="1:5" x14ac:dyDescent="0.2">
      <c r="A6264">
        <v>6203</v>
      </c>
      <c r="B6264" s="138">
        <f>'Acct Summary 7-8'!J79</f>
        <v>14982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23130</v>
      </c>
      <c r="D6266" s="2" t="str">
        <f t="shared" si="96"/>
        <v>Error?</v>
      </c>
      <c r="E6266" s="2" t="s">
        <v>190</v>
      </c>
    </row>
    <row r="6267" spans="1:5" x14ac:dyDescent="0.2">
      <c r="A6267">
        <v>6206</v>
      </c>
      <c r="B6267" s="138">
        <f>'Acct Summary 7-8'!C82</f>
        <v>-101526</v>
      </c>
      <c r="D6267" s="2" t="str">
        <f t="shared" si="96"/>
        <v>Error?</v>
      </c>
      <c r="E6267" s="2" t="s">
        <v>190</v>
      </c>
    </row>
    <row r="6268" spans="1:5" x14ac:dyDescent="0.2">
      <c r="A6268">
        <v>6207</v>
      </c>
      <c r="B6268" s="138">
        <f>'Acct Summary 7-8'!D82</f>
        <v>132904</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40321</v>
      </c>
      <c r="D6270" s="2" t="str">
        <f t="shared" si="96"/>
        <v>Error?</v>
      </c>
      <c r="E6270" s="2" t="s">
        <v>190</v>
      </c>
    </row>
    <row r="6271" spans="1:5" x14ac:dyDescent="0.2">
      <c r="A6271">
        <v>6210</v>
      </c>
      <c r="B6271" s="138">
        <f>'Acct Summary 7-8'!G82</f>
        <v>-5682</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3562</v>
      </c>
      <c r="D6273" s="2" t="str">
        <f t="shared" si="97"/>
        <v>Error?</v>
      </c>
      <c r="E6273" s="2" t="s">
        <v>190</v>
      </c>
    </row>
    <row r="6274" spans="1:5" x14ac:dyDescent="0.2">
      <c r="A6274">
        <v>6213</v>
      </c>
      <c r="B6274" s="138">
        <f>'Acct Summary 7-8'!J82</f>
        <v>8148</v>
      </c>
      <c r="D6274" s="2" t="str">
        <f t="shared" si="97"/>
        <v>Error?</v>
      </c>
      <c r="E6274" s="2" t="s">
        <v>190</v>
      </c>
    </row>
    <row r="6275" spans="1:5" x14ac:dyDescent="0.2">
      <c r="A6275">
        <v>6214</v>
      </c>
      <c r="B6275" s="138">
        <f>'Acct Summary 7-8'!K82</f>
        <v>2012</v>
      </c>
      <c r="D6275" s="2" t="str">
        <f t="shared" si="97"/>
        <v>Error?</v>
      </c>
      <c r="E6275" s="2" t="s">
        <v>190</v>
      </c>
    </row>
    <row r="6276" spans="1:5" x14ac:dyDescent="0.2">
      <c r="A6276">
        <v>6215</v>
      </c>
      <c r="B6276" s="138">
        <f>'Acct Summary 7-8'!C83</f>
        <v>-6.8516336455258481E-2</v>
      </c>
      <c r="D6276" s="2" t="str">
        <f t="shared" si="97"/>
        <v>Error?</v>
      </c>
      <c r="E6276" s="2" t="s">
        <v>190</v>
      </c>
    </row>
    <row r="6277" spans="1:5" x14ac:dyDescent="0.2">
      <c r="A6277">
        <v>6216</v>
      </c>
      <c r="B6277" s="138">
        <f>'Acct Summary 7-8'!D83</f>
        <v>0.22091608433454565</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8.0243351032072668E-2</v>
      </c>
      <c r="D6279" s="2" t="str">
        <f t="shared" si="97"/>
        <v>Error?</v>
      </c>
      <c r="E6279" s="2" t="s">
        <v>190</v>
      </c>
    </row>
    <row r="6280" spans="1:5" x14ac:dyDescent="0.2">
      <c r="A6280">
        <v>6219</v>
      </c>
      <c r="B6280" s="138">
        <f>'Acct Summary 7-8'!G83</f>
        <v>-4.2049642555836778E-2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5.1396003174374143E-2</v>
      </c>
      <c r="D6282" s="2" t="str">
        <f t="shared" si="97"/>
        <v>Error?</v>
      </c>
      <c r="E6282" s="2" t="s">
        <v>190</v>
      </c>
    </row>
    <row r="6283" spans="1:5" x14ac:dyDescent="0.2">
      <c r="A6283">
        <v>6222</v>
      </c>
      <c r="B6283" s="138">
        <f>'Acct Summary 7-8'!J83</f>
        <v>0.35226977950713362</v>
      </c>
      <c r="D6283" s="2" t="str">
        <f t="shared" si="97"/>
        <v>Error?</v>
      </c>
      <c r="E6283" s="2" t="s">
        <v>190</v>
      </c>
    </row>
    <row r="6284" spans="1:5" x14ac:dyDescent="0.2">
      <c r="A6284">
        <v>6223</v>
      </c>
      <c r="B6284" s="138">
        <f>'Acct Summary 7-8'!K83</f>
        <v>2.3260115606936416E-2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28490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28490</v>
      </c>
      <c r="D6301" s="2" t="str">
        <f t="shared" si="97"/>
        <v>Error?</v>
      </c>
      <c r="E6301" s="2" t="s">
        <v>190</v>
      </c>
    </row>
    <row r="6302" spans="1:5" x14ac:dyDescent="0.2">
      <c r="A6302">
        <v>6241</v>
      </c>
      <c r="B6302" s="138">
        <f>'Revenues 9-14'!J14</f>
        <v>432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432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28922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9500</v>
      </c>
      <c r="D6882" s="2" t="str">
        <f t="shared" si="106"/>
        <v>Error?</v>
      </c>
    </row>
    <row r="6883" spans="1:4" x14ac:dyDescent="0.2">
      <c r="A6883">
        <v>6822</v>
      </c>
      <c r="B6883" s="138">
        <f>'Expenditures 15-22'!K23</f>
        <v>9500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20774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28922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3877</v>
      </c>
      <c r="D7067" s="2" t="str">
        <f t="shared" si="109"/>
        <v>Error?</v>
      </c>
    </row>
    <row r="7068" spans="1:4" x14ac:dyDescent="0.2">
      <c r="A7068">
        <v>7007</v>
      </c>
      <c r="B7068" s="138">
        <f>'Expenditures 15-22'!K205</f>
        <v>3877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20774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20774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20774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20774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20774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20774</v>
      </c>
      <c r="D7224" s="2" t="str">
        <f t="shared" si="111"/>
        <v>Error?</v>
      </c>
    </row>
    <row r="7225" spans="1:4" x14ac:dyDescent="0.2">
      <c r="A7225">
        <v>7164</v>
      </c>
      <c r="B7225" s="138">
        <f>'Expenditures 15-22'!K343</f>
        <v>8148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13700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13700</v>
      </c>
      <c r="D7600" s="2" t="str">
        <f t="shared" si="122"/>
        <v>Error?</v>
      </c>
      <c r="E7600" s="2" t="s">
        <v>19</v>
      </c>
    </row>
    <row r="7601" spans="1:5" x14ac:dyDescent="0.2">
      <c r="A7601">
        <f t="shared" si="123"/>
        <v>7540</v>
      </c>
      <c r="B7601" s="138">
        <f>'Cap Outlay Deprec 26'!H6</f>
        <v>964</v>
      </c>
      <c r="D7601" s="2" t="str">
        <f t="shared" si="122"/>
        <v>Error?</v>
      </c>
      <c r="E7601" s="2" t="s">
        <v>19</v>
      </c>
    </row>
    <row r="7602" spans="1:5" x14ac:dyDescent="0.2">
      <c r="A7602">
        <f t="shared" si="123"/>
        <v>7541</v>
      </c>
      <c r="B7602" s="138">
        <f>'Cap Outlay Deprec 26'!I6</f>
        <v>274</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1238</v>
      </c>
      <c r="D7604" s="2" t="str">
        <f t="shared" si="122"/>
        <v>Error?</v>
      </c>
      <c r="E7604" s="2" t="s">
        <v>19</v>
      </c>
    </row>
    <row r="7605" spans="1:5" x14ac:dyDescent="0.2">
      <c r="A7605">
        <f t="shared" si="123"/>
        <v>7544</v>
      </c>
      <c r="B7605" s="138">
        <f>'Cap Outlay Deprec 26'!L6</f>
        <v>12462</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53302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1400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23474</v>
      </c>
      <c r="D7797" s="2" t="str">
        <f t="shared" si="127"/>
        <v>Error?</v>
      </c>
      <c r="E7797" s="4" t="s">
        <v>1903</v>
      </c>
    </row>
    <row r="7798" spans="1:5" x14ac:dyDescent="0.2">
      <c r="A7798">
        <v>7737</v>
      </c>
      <c r="B7798" s="138">
        <f>'Contracts Paid in CY 29'!F141</f>
        <v>20954</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1987</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Geff CCSD 14</v>
      </c>
      <c r="B7" s="2384"/>
      <c r="C7" s="2384"/>
      <c r="D7" s="2421"/>
      <c r="E7" s="2422">
        <f>COVER!A13</f>
        <v>20096014004</v>
      </c>
      <c r="F7" s="2423"/>
      <c r="G7" s="2390">
        <f>COVER!T23</f>
        <v>65044039</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Caitlin M. Keepes, CPA</v>
      </c>
      <c r="H9" s="2397"/>
      <c r="I9" s="2397"/>
      <c r="J9" s="2397"/>
      <c r="K9" s="2397"/>
      <c r="L9" s="2398"/>
    </row>
    <row r="10" spans="1:29" ht="13.5" customHeight="1" x14ac:dyDescent="0.2">
      <c r="A10" s="2380" t="str">
        <f>COVER!A38</f>
        <v>Jill Barger</v>
      </c>
      <c r="B10" s="2381"/>
      <c r="C10" s="2381"/>
      <c r="D10" s="2381"/>
      <c r="E10" s="2381"/>
      <c r="F10" s="2382"/>
      <c r="G10" s="2396" t="str">
        <f>COVER!T17</f>
        <v>114 South Walnut St.</v>
      </c>
      <c r="H10" s="2409"/>
      <c r="I10" s="2409"/>
      <c r="J10" s="2409"/>
      <c r="K10" s="2409"/>
      <c r="L10" s="2410"/>
    </row>
    <row r="11" spans="1:29" ht="13.5" customHeight="1" x14ac:dyDescent="0.2">
      <c r="A11" s="1184" t="s">
        <v>1519</v>
      </c>
      <c r="B11" s="1185"/>
      <c r="C11" s="1186"/>
      <c r="D11" s="1191"/>
      <c r="E11" s="1186"/>
      <c r="F11" s="1190"/>
      <c r="G11" s="2396" t="str">
        <f>COVER!T19</f>
        <v>Carmi</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c.keepes@darttandcompany.com</v>
      </c>
      <c r="J13" s="2418"/>
      <c r="K13" s="2418"/>
      <c r="L13" s="2419"/>
    </row>
    <row r="14" spans="1:29" ht="13.5" customHeight="1" x14ac:dyDescent="0.2">
      <c r="A14" s="2396" t="str">
        <f>COVER!A19</f>
        <v>201 East LaFayette St.</v>
      </c>
      <c r="B14" s="2409"/>
      <c r="C14" s="2409"/>
      <c r="D14" s="2409"/>
      <c r="E14" s="2409"/>
      <c r="F14" s="2410"/>
      <c r="G14" s="1195" t="s">
        <v>1185</v>
      </c>
      <c r="H14" s="1193"/>
      <c r="I14" s="1193"/>
      <c r="J14" s="1193"/>
      <c r="K14" s="1193"/>
      <c r="L14" s="1194"/>
    </row>
    <row r="15" spans="1:29" ht="13.5" customHeight="1" x14ac:dyDescent="0.2">
      <c r="A15" s="2396" t="str">
        <f>COVER!A21</f>
        <v xml:space="preserve">Geff  </v>
      </c>
      <c r="B15" s="2409"/>
      <c r="C15" s="2409"/>
      <c r="D15" s="2409"/>
      <c r="E15" s="2409"/>
      <c r="F15" s="2410"/>
      <c r="G15" s="2406" t="str">
        <f>COVER!T15</f>
        <v xml:space="preserve">Caitlin M. Keepes  </v>
      </c>
      <c r="H15" s="2407"/>
      <c r="I15" s="2407"/>
      <c r="J15" s="2407"/>
      <c r="K15" s="2407"/>
      <c r="L15" s="2408"/>
    </row>
    <row r="16" spans="1:29" ht="12.2" customHeight="1" x14ac:dyDescent="0.2">
      <c r="A16" s="2386">
        <f>COVER!A25</f>
        <v>62842</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(618)382-3278</v>
      </c>
      <c r="H18" s="2384"/>
      <c r="I18" s="2384"/>
      <c r="J18" s="2384"/>
      <c r="K18" s="2383" t="str">
        <f>COVER!X21</f>
        <v>(618)382-3279</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Geff CCSD 14</v>
      </c>
      <c r="B1" s="2420"/>
      <c r="C1" s="2420"/>
      <c r="D1" s="2420"/>
    </row>
    <row r="2" spans="1:11" s="1212" customFormat="1" ht="12.75" x14ac:dyDescent="0.2">
      <c r="A2" s="2425">
        <f>'Single Audit Cover'!E7</f>
        <v>20096014004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Geff CCSD 14</v>
      </c>
      <c r="B1" s="2428"/>
      <c r="C1" s="2428"/>
      <c r="D1" s="2428"/>
      <c r="E1" s="2428"/>
    </row>
    <row r="2" spans="1:5" x14ac:dyDescent="0.2">
      <c r="A2" s="2429">
        <f>'Single Audit Cover'!E7</f>
        <v>20096014004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83106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3896</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-8354</v>
      </c>
    </row>
    <row r="19" spans="1:4" ht="13.5" thickBot="1" x14ac:dyDescent="0.25">
      <c r="A19" s="1262" t="s">
        <v>1235</v>
      </c>
      <c r="D19" s="1263">
        <f>SUM(D10:D17)</f>
        <v>78648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78648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78648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Geff CCSD 14</v>
      </c>
      <c r="C1" s="2432"/>
      <c r="D1" s="2432"/>
      <c r="E1" s="2432"/>
      <c r="F1" s="2432"/>
      <c r="G1" s="2432"/>
      <c r="H1" s="2432"/>
      <c r="I1" s="2432"/>
      <c r="J1" s="2432"/>
      <c r="K1" s="2432"/>
      <c r="L1" s="2432"/>
      <c r="M1" s="2432"/>
    </row>
    <row r="2" spans="2:14" ht="15" x14ac:dyDescent="0.2">
      <c r="B2" s="2433">
        <f>'Single Audit Cover'!E7</f>
        <v>20096014004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Geff CCSD 14</v>
      </c>
      <c r="B1" s="2437"/>
      <c r="C1" s="2437"/>
      <c r="D1" s="2437"/>
      <c r="E1" s="2437"/>
      <c r="F1" s="2437"/>
    </row>
    <row r="2" spans="1:7" ht="13.5" customHeight="1" x14ac:dyDescent="0.2">
      <c r="A2" s="2433">
        <f>'Single Audit Cover'!E7</f>
        <v>20096014004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election activeCell="G115" sqref="G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2064</v>
      </c>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2082</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t="s">
        <v>2115</v>
      </c>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2073</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2116</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Geff CCSD 14</v>
      </c>
      <c r="C1" s="2453"/>
      <c r="D1" s="2453"/>
      <c r="E1" s="2453"/>
      <c r="F1" s="2453"/>
      <c r="G1" s="2453"/>
      <c r="H1" s="2453"/>
      <c r="I1" s="2453"/>
      <c r="J1" s="1406"/>
    </row>
    <row r="2" spans="2:10" s="317" customFormat="1" ht="12.75" customHeight="1" x14ac:dyDescent="0.2">
      <c r="B2" s="2454">
        <f>'Single Audit Cover'!E7</f>
        <v>20096014004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2062</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Geff CCSD 14</v>
      </c>
      <c r="C1" s="2452"/>
      <c r="D1" s="2452"/>
      <c r="E1" s="2452"/>
      <c r="F1" s="2452"/>
      <c r="G1" s="2452"/>
      <c r="H1" s="2452"/>
      <c r="I1" s="2452"/>
      <c r="J1" s="2452"/>
      <c r="K1" s="2452"/>
      <c r="L1" s="1371"/>
      <c r="M1" s="1371"/>
    </row>
    <row r="2" spans="1:13" ht="12" customHeight="1" x14ac:dyDescent="0.2">
      <c r="B2" s="2454">
        <f>'Single Audit Cover'!E7</f>
        <v>20096014004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Geff CCSD 14</v>
      </c>
      <c r="C1" s="2479"/>
      <c r="D1" s="2479"/>
      <c r="E1" s="2479"/>
      <c r="F1" s="2479"/>
      <c r="G1" s="2479"/>
      <c r="H1" s="2479"/>
      <c r="I1" s="2479"/>
      <c r="J1" s="2479"/>
      <c r="K1" s="2479"/>
      <c r="L1" s="1449"/>
    </row>
    <row r="2" spans="1:12" ht="12.75" customHeight="1" x14ac:dyDescent="0.2">
      <c r="B2" s="2480">
        <f>'Single Audit Cover'!E7</f>
        <v>20096014004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Geff CCSD 14</v>
      </c>
      <c r="C1" s="2452"/>
      <c r="D1" s="2452"/>
      <c r="E1" s="1469"/>
    </row>
    <row r="2" spans="2:5" s="1279" customFormat="1" ht="12.75" customHeight="1" x14ac:dyDescent="0.2">
      <c r="B2" s="2454">
        <f>'Single Audit Cover'!E7</f>
        <v>20096014004</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B1" colorId="8" zoomScale="110" zoomScaleNormal="110" workbookViewId="0">
      <selection activeCell="H31" sqref="H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7398742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1.4999999999999999E-2</v>
      </c>
      <c r="E10" s="356" t="s">
        <v>1005</v>
      </c>
      <c r="F10" s="355">
        <v>3.7499999999999999E-3</v>
      </c>
      <c r="G10" s="356" t="s">
        <v>1005</v>
      </c>
      <c r="H10" s="355">
        <v>2E-3</v>
      </c>
      <c r="I10" s="356" t="s">
        <v>1006</v>
      </c>
      <c r="J10" s="1732">
        <f>ROUND(D10+F10+H10,5)</f>
        <v>2.0750000000000001E-2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1035297</v>
      </c>
      <c r="E16" s="356"/>
      <c r="F16" s="1733">
        <f>SUM('Acct Summary 7-8'!C17,'Acct Summary 7-8'!D17,'Acct Summary 7-8'!F17)</f>
        <v>1005036</v>
      </c>
      <c r="G16" s="356"/>
      <c r="H16" s="1733">
        <f>SUM(D16-F16)</f>
        <v>30261</v>
      </c>
      <c r="I16" s="222"/>
      <c r="J16" s="1733">
        <f>SUM('Acct Summary 7-8'!C81,'Acct Summary 7-8'!D81,'Acct Summary 7-8'!F81,'Acct Summary 7-8'!I81)</f>
        <v>2655171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510513.19800000003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124223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F39" sqref="F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Geff CCSD 14</v>
      </c>
      <c r="E7" s="391"/>
      <c r="G7" s="252"/>
      <c r="H7" s="387"/>
      <c r="I7" s="387"/>
      <c r="J7" s="387"/>
      <c r="K7" s="387"/>
      <c r="L7" s="329"/>
      <c r="M7" s="329"/>
      <c r="N7" s="329"/>
      <c r="O7" s="329"/>
      <c r="P7" s="329"/>
    </row>
    <row r="8" spans="1:18" ht="12.75" x14ac:dyDescent="0.2">
      <c r="A8" s="329"/>
      <c r="B8" s="329"/>
      <c r="C8" s="389" t="s">
        <v>1125</v>
      </c>
      <c r="D8" s="392">
        <f>COVER!A13</f>
        <v>20096014004</v>
      </c>
      <c r="E8" s="393"/>
      <c r="G8" s="329"/>
      <c r="H8" s="329"/>
      <c r="I8" s="329"/>
      <c r="J8" s="329"/>
      <c r="K8" s="329"/>
      <c r="L8" s="329"/>
      <c r="M8" s="329"/>
      <c r="N8" s="329"/>
      <c r="O8" s="329"/>
      <c r="P8" s="329"/>
    </row>
    <row r="9" spans="1:18" ht="12.75" x14ac:dyDescent="0.2">
      <c r="A9" s="329"/>
      <c r="B9" s="329"/>
      <c r="C9" s="389" t="s">
        <v>713</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2655171</v>
      </c>
      <c r="I12" s="404"/>
      <c r="J12" s="404"/>
      <c r="K12" s="405">
        <f>TRUNC((H12/H13*100000),5)/100000</f>
        <v>2.5646466665999998</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1035297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1005036</v>
      </c>
      <c r="I17" s="404"/>
      <c r="J17" s="416"/>
      <c r="K17" s="405">
        <f>TRUNC((H17/H18*100000),5)/100000</f>
        <v>0.97077070630000006</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1035297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2655171</v>
      </c>
      <c r="I24" s="422"/>
      <c r="J24" s="422"/>
      <c r="K24" s="423">
        <f>TRUNC(((H24/H25*100000)/100000),2)</f>
        <v>951.07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2791.76667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130495.31203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124223</v>
      </c>
      <c r="I32" s="420"/>
      <c r="J32" s="420"/>
      <c r="K32" s="423">
        <f>TRUNC(100-((((H32/H33*100))*100)/100),2)</f>
        <v>75.66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510513.19800000003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pane="bottomLeft" activeCell="H54" sqref="H5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1481778</v>
      </c>
      <c r="D4" s="466">
        <v>601604</v>
      </c>
      <c r="E4" s="466"/>
      <c r="F4" s="466">
        <v>502484</v>
      </c>
      <c r="G4" s="466">
        <v>135126</v>
      </c>
      <c r="H4" s="466"/>
      <c r="I4" s="466">
        <v>69305</v>
      </c>
      <c r="J4" s="467">
        <v>23130</v>
      </c>
      <c r="K4" s="466">
        <v>86500</v>
      </c>
      <c r="L4" s="466">
        <v>15273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1481778</v>
      </c>
      <c r="D13" s="1737">
        <f t="shared" ref="D13:L13" si="0">SUM(D4:D12)</f>
        <v>601604</v>
      </c>
      <c r="E13" s="1737">
        <f t="shared" si="0"/>
        <v>0</v>
      </c>
      <c r="F13" s="1737">
        <f t="shared" si="0"/>
        <v>502484</v>
      </c>
      <c r="G13" s="1737">
        <f t="shared" si="0"/>
        <v>135126</v>
      </c>
      <c r="H13" s="1737">
        <f t="shared" si="0"/>
        <v>0</v>
      </c>
      <c r="I13" s="1737">
        <f t="shared" si="0"/>
        <v>69305</v>
      </c>
      <c r="J13" s="1737">
        <f t="shared" si="0"/>
        <v>23130</v>
      </c>
      <c r="K13" s="1737">
        <f t="shared" si="0"/>
        <v>86500</v>
      </c>
      <c r="L13" s="1737">
        <f t="shared" si="0"/>
        <v>15273</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20017</v>
      </c>
      <c r="N16" s="484"/>
    </row>
    <row r="17" spans="1:14" s="485" customFormat="1" ht="12.75" customHeight="1" x14ac:dyDescent="0.2">
      <c r="A17" s="482" t="s">
        <v>1403</v>
      </c>
      <c r="B17" s="483">
        <v>230</v>
      </c>
      <c r="C17" s="477"/>
      <c r="D17" s="477"/>
      <c r="E17" s="477"/>
      <c r="F17" s="477"/>
      <c r="G17" s="477"/>
      <c r="H17" s="477"/>
      <c r="I17" s="477"/>
      <c r="J17" s="477"/>
      <c r="K17" s="477"/>
      <c r="L17" s="477"/>
      <c r="M17" s="467">
        <v>453420</v>
      </c>
      <c r="N17" s="484"/>
    </row>
    <row r="18" spans="1:14" s="485" customFormat="1" ht="12.75" customHeight="1" x14ac:dyDescent="0.2">
      <c r="A18" s="482" t="s">
        <v>1404</v>
      </c>
      <c r="B18" s="483">
        <v>240</v>
      </c>
      <c r="C18" s="477"/>
      <c r="D18" s="477"/>
      <c r="E18" s="477"/>
      <c r="F18" s="477"/>
      <c r="G18" s="477"/>
      <c r="H18" s="477"/>
      <c r="I18" s="477"/>
      <c r="J18" s="477"/>
      <c r="K18" s="477"/>
      <c r="L18" s="477"/>
      <c r="M18" s="467">
        <v>181416</v>
      </c>
      <c r="N18" s="484"/>
    </row>
    <row r="19" spans="1:14" s="485" customFormat="1" ht="12.75" customHeight="1" x14ac:dyDescent="0.2">
      <c r="A19" s="482" t="s">
        <v>1405</v>
      </c>
      <c r="B19" s="483">
        <v>250</v>
      </c>
      <c r="C19" s="477"/>
      <c r="D19" s="477"/>
      <c r="E19" s="477"/>
      <c r="F19" s="477"/>
      <c r="G19" s="477"/>
      <c r="H19" s="477"/>
      <c r="I19" s="477"/>
      <c r="J19" s="477"/>
      <c r="K19" s="477"/>
      <c r="L19" s="477"/>
      <c r="M19" s="467">
        <v>494042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124223</v>
      </c>
    </row>
    <row r="23" spans="1:14" ht="13.5" customHeight="1" thickBot="1" x14ac:dyDescent="0.25">
      <c r="A23" s="1736" t="s">
        <v>643</v>
      </c>
      <c r="B23" s="1741"/>
      <c r="C23" s="468"/>
      <c r="D23" s="468"/>
      <c r="E23" s="468"/>
      <c r="F23" s="468"/>
      <c r="G23" s="468"/>
      <c r="H23" s="468"/>
      <c r="I23" s="468"/>
      <c r="J23" s="468"/>
      <c r="K23" s="468"/>
      <c r="L23" s="468"/>
      <c r="M23" s="1688">
        <f>SUM(M15:M22)</f>
        <v>1148895</v>
      </c>
      <c r="N23" s="1688">
        <f>SUM(N21:N22)</f>
        <v>124223</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15273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15273</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124223</v>
      </c>
    </row>
    <row r="37" spans="1:14" ht="13.5" thickBot="1" x14ac:dyDescent="0.25">
      <c r="A37" s="1736" t="s">
        <v>653</v>
      </c>
      <c r="B37" s="1741"/>
      <c r="C37" s="477"/>
      <c r="D37" s="477"/>
      <c r="E37" s="477"/>
      <c r="F37" s="477"/>
      <c r="G37" s="477"/>
      <c r="H37" s="477"/>
      <c r="I37" s="477"/>
      <c r="J37" s="477"/>
      <c r="K37" s="477"/>
      <c r="L37" s="480"/>
      <c r="M37" s="468"/>
      <c r="N37" s="1688">
        <f>SUM(N36:N36)</f>
        <v>124223</v>
      </c>
    </row>
    <row r="38" spans="1:14" s="329" customFormat="1" ht="13.5" customHeight="1" thickTop="1" x14ac:dyDescent="0.2">
      <c r="A38" s="496" t="s">
        <v>420</v>
      </c>
      <c r="B38" s="483">
        <v>714</v>
      </c>
      <c r="C38" s="466"/>
      <c r="D38" s="466"/>
      <c r="E38" s="466"/>
      <c r="F38" s="466"/>
      <c r="G38" s="466">
        <v>135126</v>
      </c>
      <c r="H38" s="466"/>
      <c r="I38" s="466"/>
      <c r="J38" s="467">
        <v>23130</v>
      </c>
      <c r="K38" s="466">
        <v>86500</v>
      </c>
      <c r="L38" s="481"/>
      <c r="M38" s="497"/>
      <c r="N38" s="497"/>
    </row>
    <row r="39" spans="1:14" s="329" customFormat="1" ht="13.5" customHeight="1" x14ac:dyDescent="0.2">
      <c r="A39" s="496" t="s">
        <v>342</v>
      </c>
      <c r="B39" s="483">
        <v>730</v>
      </c>
      <c r="C39" s="466">
        <v>1481778</v>
      </c>
      <c r="D39" s="466">
        <v>601604</v>
      </c>
      <c r="E39" s="466"/>
      <c r="F39" s="466">
        <v>502484</v>
      </c>
      <c r="G39" s="466"/>
      <c r="H39" s="466"/>
      <c r="I39" s="466">
        <v>69305</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1148895</v>
      </c>
      <c r="N40" s="497"/>
    </row>
    <row r="41" spans="1:14" ht="13.5" customHeight="1" thickBot="1" x14ac:dyDescent="0.25">
      <c r="A41" s="1736" t="s">
        <v>655</v>
      </c>
      <c r="B41" s="1706"/>
      <c r="C41" s="1688">
        <f>(SUM(C34,C37,C38,C39))</f>
        <v>1481778</v>
      </c>
      <c r="D41" s="1688">
        <f t="shared" ref="D41:L41" si="2">SUM(D34,D37,D38:D39)</f>
        <v>601604</v>
      </c>
      <c r="E41" s="1688">
        <f t="shared" si="2"/>
        <v>0</v>
      </c>
      <c r="F41" s="1688">
        <f t="shared" si="2"/>
        <v>502484</v>
      </c>
      <c r="G41" s="1688">
        <f t="shared" si="2"/>
        <v>135126</v>
      </c>
      <c r="H41" s="1688">
        <f t="shared" si="2"/>
        <v>0</v>
      </c>
      <c r="I41" s="1688">
        <f t="shared" si="2"/>
        <v>69305</v>
      </c>
      <c r="J41" s="1688">
        <f t="shared" si="2"/>
        <v>23130</v>
      </c>
      <c r="K41" s="1688">
        <f t="shared" si="2"/>
        <v>86500</v>
      </c>
      <c r="L41" s="1688">
        <f t="shared" si="2"/>
        <v>15273</v>
      </c>
      <c r="M41" s="1688">
        <f>SUM(M40)</f>
        <v>1148895</v>
      </c>
      <c r="N41" s="1688">
        <f>SUM(N37)</f>
        <v>124223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9" activePane="bottomLeft" state="frozen"/>
      <selection pane="bottomLeft" activeCell="C17" sqref="C17: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161455</v>
      </c>
      <c r="D4" s="1742">
        <f>'Revenues 9-14'!D109</f>
        <v>26658</v>
      </c>
      <c r="E4" s="1742">
        <f>'Revenues 9-14'!E109</f>
        <v>0</v>
      </c>
      <c r="F4" s="1742">
        <f>'Revenues 9-14'!F109</f>
        <v>14161</v>
      </c>
      <c r="G4" s="1742">
        <f>'Revenues 9-14'!G109</f>
        <v>27453</v>
      </c>
      <c r="H4" s="1742">
        <f>'Revenues 9-14'!H109</f>
        <v>0</v>
      </c>
      <c r="I4" s="1742">
        <f>'Revenues 9-14'!I109</f>
        <v>3562</v>
      </c>
      <c r="J4" s="1742">
        <f>'Revenues 9-14'!J109</f>
        <v>28922</v>
      </c>
      <c r="K4" s="1742">
        <f>'Revenues 9-14'!K109</f>
        <v>3501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617200</v>
      </c>
      <c r="D6" s="1743">
        <f>'Revenues 9-14'!D170</f>
        <v>60000</v>
      </c>
      <c r="E6" s="1743">
        <f>'Revenues 9-14'!E170</f>
        <v>0</v>
      </c>
      <c r="F6" s="1743">
        <f>'Revenues 9-14'!F170</f>
        <v>69155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83106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861761</v>
      </c>
      <c r="D8" s="1688">
        <f t="shared" ref="D8:K8" si="0">SUM(D4:D7)</f>
        <v>86658</v>
      </c>
      <c r="E8" s="1688">
        <f t="shared" si="0"/>
        <v>0</v>
      </c>
      <c r="F8" s="1688">
        <f t="shared" si="0"/>
        <v>83316</v>
      </c>
      <c r="G8" s="1688">
        <f t="shared" si="0"/>
        <v>27453</v>
      </c>
      <c r="H8" s="1688">
        <f t="shared" si="0"/>
        <v>0</v>
      </c>
      <c r="I8" s="1688">
        <f t="shared" si="0"/>
        <v>3562</v>
      </c>
      <c r="J8" s="1688">
        <f t="shared" si="0"/>
        <v>28922</v>
      </c>
      <c r="K8" s="1688">
        <f t="shared" si="0"/>
        <v>3501</v>
      </c>
      <c r="L8" s="347"/>
    </row>
    <row r="9" spans="1:13" ht="15.75" thickTop="1" x14ac:dyDescent="0.2">
      <c r="A9" s="514" t="s">
        <v>1653</v>
      </c>
      <c r="B9" s="515">
        <v>3998</v>
      </c>
      <c r="C9" s="481">
        <v>421891</v>
      </c>
      <c r="D9" s="516"/>
      <c r="E9" s="481"/>
      <c r="F9" s="481"/>
      <c r="G9" s="517"/>
      <c r="H9" s="481"/>
      <c r="I9" s="509" t="s">
        <v>1169</v>
      </c>
      <c r="J9" s="478"/>
      <c r="K9" s="481"/>
      <c r="L9" s="347"/>
    </row>
    <row r="10" spans="1:13" s="519" customFormat="1" ht="13.5" thickBot="1" x14ac:dyDescent="0.25">
      <c r="A10" s="1736" t="s">
        <v>1173</v>
      </c>
      <c r="B10" s="1709"/>
      <c r="C10" s="1688">
        <f>SUM(C8:C9)</f>
        <v>1283652</v>
      </c>
      <c r="D10" s="1688">
        <f t="shared" ref="D10:K10" si="1">SUM(D8:D9)</f>
        <v>86658</v>
      </c>
      <c r="E10" s="1688">
        <f t="shared" si="1"/>
        <v>0</v>
      </c>
      <c r="F10" s="1688">
        <f t="shared" si="1"/>
        <v>83316</v>
      </c>
      <c r="G10" s="1688">
        <f t="shared" si="1"/>
        <v>27453</v>
      </c>
      <c r="H10" s="1688">
        <f t="shared" si="1"/>
        <v>0</v>
      </c>
      <c r="I10" s="1688">
        <f t="shared" si="1"/>
        <v>3562</v>
      </c>
      <c r="J10" s="1688">
        <f t="shared" si="1"/>
        <v>28922</v>
      </c>
      <c r="K10" s="1688">
        <f t="shared" si="1"/>
        <v>3501</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602088</v>
      </c>
      <c r="D12" s="520" t="s">
        <v>1169</v>
      </c>
      <c r="E12" s="468" t="s">
        <v>1169</v>
      </c>
      <c r="F12" s="468" t="s">
        <v>1169</v>
      </c>
      <c r="G12" s="1742">
        <f>'Expenditures 15-22'!K229</f>
        <v>13243</v>
      </c>
      <c r="H12" s="521"/>
      <c r="I12" s="468" t="s">
        <v>1169</v>
      </c>
      <c r="J12" s="468" t="s">
        <v>1169</v>
      </c>
      <c r="K12" s="521" t="s">
        <v>1169</v>
      </c>
      <c r="L12" s="347"/>
    </row>
    <row r="13" spans="1:13" ht="15.75" customHeight="1" x14ac:dyDescent="0.2">
      <c r="A13" s="1576" t="s">
        <v>457</v>
      </c>
      <c r="B13" s="1578">
        <v>2000</v>
      </c>
      <c r="C13" s="1743">
        <f>'Expenditures 15-22'!K74</f>
        <v>245848</v>
      </c>
      <c r="D13" s="1743">
        <f>'Expenditures 15-22'!K129</f>
        <v>69105</v>
      </c>
      <c r="E13" s="469" t="s">
        <v>1169</v>
      </c>
      <c r="F13" s="1743">
        <f>'Expenditures 15-22'!K184</f>
        <v>32603</v>
      </c>
      <c r="G13" s="1743">
        <f>'Expenditures 15-22'!K279</f>
        <v>19892</v>
      </c>
      <c r="H13" s="1743">
        <f>'Expenditures 15-22'!K303</f>
        <v>0</v>
      </c>
      <c r="I13" s="468" t="s">
        <v>1169</v>
      </c>
      <c r="J13" s="1743">
        <f>'Expenditures 15-22'!K330</f>
        <v>20774</v>
      </c>
      <c r="K13" s="1747">
        <f>'Expenditures 15-22'!K352</f>
        <v>1489</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55392</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847936</v>
      </c>
      <c r="D17" s="1688">
        <f t="shared" si="2"/>
        <v>69105</v>
      </c>
      <c r="E17" s="1688">
        <f t="shared" si="2"/>
        <v>0</v>
      </c>
      <c r="F17" s="1688">
        <f t="shared" si="2"/>
        <v>87995</v>
      </c>
      <c r="G17" s="1688">
        <f t="shared" si="2"/>
        <v>33135</v>
      </c>
      <c r="H17" s="1688">
        <f t="shared" si="2"/>
        <v>0</v>
      </c>
      <c r="I17" s="468"/>
      <c r="J17" s="1688">
        <f>SUM(J12:J16)</f>
        <v>20774</v>
      </c>
      <c r="K17" s="1688">
        <f>SUM(K12:K16)</f>
        <v>1489</v>
      </c>
      <c r="L17" s="347"/>
    </row>
    <row r="18" spans="1:12" ht="15" customHeight="1" thickTop="1" x14ac:dyDescent="0.2">
      <c r="A18" s="1744" t="s">
        <v>1654</v>
      </c>
      <c r="B18" s="1745">
        <v>4180</v>
      </c>
      <c r="C18" s="1742">
        <f t="shared" ref="C18:H18" si="3">C9</f>
        <v>421891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1269827</v>
      </c>
      <c r="D19" s="1688">
        <f t="shared" si="4"/>
        <v>69105</v>
      </c>
      <c r="E19" s="1688">
        <f t="shared" si="4"/>
        <v>0</v>
      </c>
      <c r="F19" s="1688">
        <f t="shared" si="4"/>
        <v>87995</v>
      </c>
      <c r="G19" s="1688">
        <f t="shared" si="4"/>
        <v>33135</v>
      </c>
      <c r="H19" s="1688">
        <f t="shared" si="4"/>
        <v>0</v>
      </c>
      <c r="I19" s="468"/>
      <c r="J19" s="1688">
        <f>SUM(J17:J18)</f>
        <v>20774</v>
      </c>
      <c r="K19" s="1688">
        <f>SUM(K17:K18)</f>
        <v>1489</v>
      </c>
      <c r="L19" s="347"/>
    </row>
    <row r="20" spans="1:12" ht="16.5" thickTop="1" thickBot="1" x14ac:dyDescent="0.25">
      <c r="A20" s="2125" t="s">
        <v>1655</v>
      </c>
      <c r="B20" s="2126"/>
      <c r="C20" s="1746">
        <f>C8-C17</f>
        <v>13825</v>
      </c>
      <c r="D20" s="1746">
        <f t="shared" ref="D20:K20" si="5">D8-D17</f>
        <v>17553</v>
      </c>
      <c r="E20" s="1746">
        <f t="shared" si="5"/>
        <v>0</v>
      </c>
      <c r="F20" s="1746">
        <f t="shared" si="5"/>
        <v>-4679</v>
      </c>
      <c r="G20" s="1746">
        <f t="shared" si="5"/>
        <v>-5682</v>
      </c>
      <c r="H20" s="1746">
        <f t="shared" si="5"/>
        <v>0</v>
      </c>
      <c r="I20" s="1746">
        <f t="shared" si="5"/>
        <v>3562</v>
      </c>
      <c r="J20" s="1746">
        <f t="shared" si="5"/>
        <v>8148</v>
      </c>
      <c r="K20" s="1746">
        <f t="shared" si="5"/>
        <v>2012</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115351</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v>45000</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115351</v>
      </c>
      <c r="E44" s="1703">
        <f t="shared" si="6"/>
        <v>0</v>
      </c>
      <c r="F44" s="1703">
        <f t="shared" si="6"/>
        <v>45000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115351</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115351</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-115351</v>
      </c>
      <c r="D77" s="1703">
        <f t="shared" si="8"/>
        <v>115351</v>
      </c>
      <c r="E77" s="1703">
        <f t="shared" si="8"/>
        <v>0</v>
      </c>
      <c r="F77" s="1703">
        <f t="shared" si="8"/>
        <v>45000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-101526</v>
      </c>
      <c r="D78" s="1702">
        <f t="shared" si="9"/>
        <v>132904</v>
      </c>
      <c r="E78" s="1702">
        <f t="shared" si="9"/>
        <v>0</v>
      </c>
      <c r="F78" s="1702">
        <f t="shared" si="9"/>
        <v>40321</v>
      </c>
      <c r="G78" s="1702">
        <f t="shared" si="9"/>
        <v>-5682</v>
      </c>
      <c r="H78" s="1702">
        <f t="shared" si="9"/>
        <v>0</v>
      </c>
      <c r="I78" s="1702">
        <f t="shared" si="9"/>
        <v>3562</v>
      </c>
      <c r="J78" s="1702">
        <f t="shared" si="9"/>
        <v>8148</v>
      </c>
      <c r="K78" s="1702">
        <f t="shared" si="9"/>
        <v>2012</v>
      </c>
      <c r="L78" s="533"/>
    </row>
    <row r="79" spans="1:12" ht="13.5" thickTop="1" x14ac:dyDescent="0.2">
      <c r="A79" s="1494" t="s">
        <v>1947</v>
      </c>
      <c r="B79" s="534"/>
      <c r="C79" s="478">
        <v>1583304</v>
      </c>
      <c r="D79" s="535">
        <v>468700</v>
      </c>
      <c r="E79" s="535"/>
      <c r="F79" s="535">
        <v>462163</v>
      </c>
      <c r="G79" s="535">
        <v>140808</v>
      </c>
      <c r="H79" s="535"/>
      <c r="I79" s="535">
        <v>65743</v>
      </c>
      <c r="J79" s="535">
        <v>14982</v>
      </c>
      <c r="K79" s="535">
        <v>84488</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8">
        <f>(SUM(C78:C80))</f>
        <v>1481778</v>
      </c>
      <c r="D81" s="1688">
        <f>SUM(D78:D80)</f>
        <v>601604</v>
      </c>
      <c r="E81" s="1688">
        <f t="shared" ref="E81:K81" si="10">SUM(E78:E80)</f>
        <v>0</v>
      </c>
      <c r="F81" s="1688">
        <f t="shared" si="10"/>
        <v>502484</v>
      </c>
      <c r="G81" s="1688">
        <f t="shared" si="10"/>
        <v>135126</v>
      </c>
      <c r="H81" s="1688">
        <f t="shared" si="10"/>
        <v>0</v>
      </c>
      <c r="I81" s="1688">
        <f t="shared" si="10"/>
        <v>69305</v>
      </c>
      <c r="J81" s="1688">
        <f t="shared" si="10"/>
        <v>23130</v>
      </c>
      <c r="K81" s="1688">
        <f t="shared" si="10"/>
        <v>86500</v>
      </c>
      <c r="L81" s="347"/>
    </row>
    <row r="82" spans="1:12" ht="0.75" customHeight="1" thickTop="1" thickBot="1" x14ac:dyDescent="0.25">
      <c r="A82" s="536" t="s">
        <v>343</v>
      </c>
      <c r="B82" s="537"/>
      <c r="C82" s="538">
        <f>(C81-C79)</f>
        <v>-101526</v>
      </c>
      <c r="D82" s="538">
        <f t="shared" ref="D82:K82" si="11">(D81-D79)</f>
        <v>132904</v>
      </c>
      <c r="E82" s="538">
        <f t="shared" si="11"/>
        <v>0</v>
      </c>
      <c r="F82" s="538">
        <f t="shared" si="11"/>
        <v>40321</v>
      </c>
      <c r="G82" s="538">
        <f t="shared" si="11"/>
        <v>-5682</v>
      </c>
      <c r="H82" s="538">
        <f t="shared" si="11"/>
        <v>0</v>
      </c>
      <c r="I82" s="538">
        <f t="shared" si="11"/>
        <v>3562</v>
      </c>
      <c r="J82" s="538">
        <f t="shared" si="11"/>
        <v>8148</v>
      </c>
      <c r="K82" s="538">
        <f t="shared" si="11"/>
        <v>2012</v>
      </c>
    </row>
    <row r="83" spans="1:12" ht="14.25" hidden="1" thickTop="1" thickBot="1" x14ac:dyDescent="0.25">
      <c r="A83" s="539" t="s">
        <v>344</v>
      </c>
      <c r="B83" s="464"/>
      <c r="C83" s="540">
        <f>C82/C81</f>
        <v>-6.8516336455258481E-2</v>
      </c>
      <c r="D83" s="540">
        <f t="shared" ref="D83:K83" si="12">D82/D81</f>
        <v>0.22091608433454565</v>
      </c>
      <c r="E83" s="540" t="e">
        <f t="shared" si="12"/>
        <v>#DIV/0!</v>
      </c>
      <c r="F83" s="540">
        <f t="shared" si="12"/>
        <v>8.0243351032072668E-2</v>
      </c>
      <c r="G83" s="540">
        <f t="shared" si="12"/>
        <v>-4.2049642555836778E-2</v>
      </c>
      <c r="H83" s="540" t="e">
        <f t="shared" si="12"/>
        <v>#DIV/0!</v>
      </c>
      <c r="I83" s="540">
        <f t="shared" si="12"/>
        <v>5.1396003174374143E-2</v>
      </c>
      <c r="J83" s="540">
        <f t="shared" si="12"/>
        <v>0.35226977950713362</v>
      </c>
      <c r="K83" s="540">
        <f t="shared" si="12"/>
        <v>2.3260115606936416E-2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37"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103396</v>
      </c>
      <c r="D5" s="481">
        <v>25849</v>
      </c>
      <c r="E5" s="466"/>
      <c r="F5" s="548">
        <v>13786</v>
      </c>
      <c r="G5" s="466">
        <v>8997</v>
      </c>
      <c r="H5" s="466"/>
      <c r="I5" s="466">
        <v>3447</v>
      </c>
      <c r="J5" s="467">
        <v>28490</v>
      </c>
      <c r="K5" s="466">
        <v>3447</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1379</v>
      </c>
      <c r="D7" s="466"/>
      <c r="E7" s="468"/>
      <c r="F7" s="467"/>
      <c r="G7" s="467"/>
      <c r="H7" s="467"/>
      <c r="I7" s="468"/>
      <c r="J7" s="468"/>
      <c r="K7" s="468"/>
    </row>
    <row r="8" spans="1:12" x14ac:dyDescent="0.2">
      <c r="A8" s="463" t="s">
        <v>413</v>
      </c>
      <c r="B8" s="470">
        <v>1150</v>
      </c>
      <c r="C8" s="475"/>
      <c r="D8" s="475"/>
      <c r="E8" s="477"/>
      <c r="F8" s="477"/>
      <c r="G8" s="481">
        <v>8997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104775</v>
      </c>
      <c r="D12" s="1707">
        <f t="shared" si="0"/>
        <v>25849</v>
      </c>
      <c r="E12" s="1707">
        <f t="shared" si="0"/>
        <v>0</v>
      </c>
      <c r="F12" s="1707">
        <f t="shared" si="0"/>
        <v>13786</v>
      </c>
      <c r="G12" s="1707">
        <f t="shared" si="0"/>
        <v>17994</v>
      </c>
      <c r="H12" s="1707">
        <f t="shared" si="0"/>
        <v>0</v>
      </c>
      <c r="I12" s="1707">
        <f t="shared" si="0"/>
        <v>3447</v>
      </c>
      <c r="J12" s="1707">
        <f t="shared" si="0"/>
        <v>28490</v>
      </c>
      <c r="K12" s="1688">
        <f t="shared" si="0"/>
        <v>3447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1588</v>
      </c>
      <c r="D14" s="466">
        <v>392</v>
      </c>
      <c r="E14" s="466"/>
      <c r="F14" s="466">
        <v>209</v>
      </c>
      <c r="G14" s="466">
        <v>272</v>
      </c>
      <c r="H14" s="466"/>
      <c r="I14" s="466">
        <v>52</v>
      </c>
      <c r="J14" s="467">
        <v>432</v>
      </c>
      <c r="K14" s="466">
        <v>52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v>9082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1588</v>
      </c>
      <c r="D18" s="1710">
        <f t="shared" ref="D18:K18" si="1">SUM(D14:D17)</f>
        <v>392</v>
      </c>
      <c r="E18" s="1710">
        <f t="shared" si="1"/>
        <v>0</v>
      </c>
      <c r="F18" s="1710">
        <f t="shared" si="1"/>
        <v>209</v>
      </c>
      <c r="G18" s="1710">
        <f t="shared" si="1"/>
        <v>9354</v>
      </c>
      <c r="H18" s="1710">
        <f t="shared" si="1"/>
        <v>0</v>
      </c>
      <c r="I18" s="1710">
        <f t="shared" si="1"/>
        <v>52</v>
      </c>
      <c r="J18" s="1710">
        <f t="shared" si="1"/>
        <v>432</v>
      </c>
      <c r="K18" s="1711">
        <f t="shared" si="1"/>
        <v>52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3788</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3788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29409</v>
      </c>
      <c r="D65" s="466">
        <v>328</v>
      </c>
      <c r="E65" s="466"/>
      <c r="F65" s="467">
        <v>166</v>
      </c>
      <c r="G65" s="466">
        <v>105</v>
      </c>
      <c r="H65" s="466"/>
      <c r="I65" s="466">
        <v>63</v>
      </c>
      <c r="J65" s="467"/>
      <c r="K65" s="466">
        <v>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29409</v>
      </c>
      <c r="D67" s="1688">
        <f t="shared" ref="D67:K67" si="2">SUM(D65:D66)</f>
        <v>328</v>
      </c>
      <c r="E67" s="1688">
        <f t="shared" si="2"/>
        <v>0</v>
      </c>
      <c r="F67" s="1688">
        <f t="shared" si="2"/>
        <v>166</v>
      </c>
      <c r="G67" s="1688">
        <f t="shared" si="2"/>
        <v>105</v>
      </c>
      <c r="H67" s="1688">
        <f t="shared" si="2"/>
        <v>0</v>
      </c>
      <c r="I67" s="1688">
        <f t="shared" si="2"/>
        <v>63</v>
      </c>
      <c r="J67" s="1688">
        <f t="shared" si="2"/>
        <v>0</v>
      </c>
      <c r="K67" s="1688">
        <f t="shared" si="2"/>
        <v>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13996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1570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15566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2636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2636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3693</v>
      </c>
      <c r="D107" s="466">
        <v>89</v>
      </c>
      <c r="E107" s="466"/>
      <c r="F107" s="466"/>
      <c r="G107" s="466"/>
      <c r="H107" s="466"/>
      <c r="I107" s="466"/>
      <c r="J107" s="467"/>
      <c r="K107" s="466"/>
    </row>
    <row r="108" spans="1:12" ht="12.75" customHeight="1" thickBot="1" x14ac:dyDescent="0.25">
      <c r="A108" s="1708" t="s">
        <v>487</v>
      </c>
      <c r="B108" s="1712"/>
      <c r="C108" s="1707">
        <f>SUM(C95:C107)</f>
        <v>3693</v>
      </c>
      <c r="D108" s="1707">
        <f t="shared" ref="D108:K108" si="3">SUM(D95:D107)</f>
        <v>89</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161455</v>
      </c>
      <c r="D109" s="1715">
        <f t="shared" si="4"/>
        <v>26658</v>
      </c>
      <c r="E109" s="1715">
        <f t="shared" si="4"/>
        <v>0</v>
      </c>
      <c r="F109" s="1715">
        <f t="shared" si="4"/>
        <v>14161</v>
      </c>
      <c r="G109" s="1715">
        <f t="shared" si="4"/>
        <v>27453</v>
      </c>
      <c r="H109" s="1715">
        <f t="shared" si="4"/>
        <v>0</v>
      </c>
      <c r="I109" s="1715">
        <f t="shared" si="4"/>
        <v>3562</v>
      </c>
      <c r="J109" s="1715">
        <f t="shared" si="4"/>
        <v>28922</v>
      </c>
      <c r="K109" s="1702">
        <f t="shared" si="4"/>
        <v>3501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616596</v>
      </c>
      <c r="D117" s="481">
        <v>60000</v>
      </c>
      <c r="E117" s="466"/>
      <c r="F117" s="481">
        <v>20000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616596</v>
      </c>
      <c r="D122" s="1707">
        <f t="shared" si="5"/>
        <v>60000</v>
      </c>
      <c r="E122" s="1707">
        <f t="shared" si="5"/>
        <v>0</v>
      </c>
      <c r="F122" s="1707">
        <f t="shared" si="5"/>
        <v>20000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604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46096</v>
      </c>
      <c r="G152" s="467"/>
      <c r="H152" s="468"/>
      <c r="I152" s="468"/>
      <c r="J152" s="468"/>
      <c r="K152" s="468"/>
    </row>
    <row r="153" spans="1:11" ht="12.75" customHeight="1" x14ac:dyDescent="0.2">
      <c r="A153" s="463" t="s">
        <v>1057</v>
      </c>
      <c r="B153" s="562">
        <v>3510</v>
      </c>
      <c r="C153" s="551"/>
      <c r="D153" s="466"/>
      <c r="E153" s="561"/>
      <c r="F153" s="466">
        <v>2961</v>
      </c>
      <c r="G153" s="467"/>
      <c r="H153" s="468"/>
      <c r="I153" s="468"/>
      <c r="J153" s="468"/>
      <c r="K153" s="468"/>
    </row>
    <row r="154" spans="1:11" ht="12.75" customHeight="1" x14ac:dyDescent="0.2">
      <c r="A154" s="463" t="s">
        <v>69</v>
      </c>
      <c r="B154" s="562">
        <v>3599</v>
      </c>
      <c r="C154" s="551"/>
      <c r="D154" s="466"/>
      <c r="E154" s="561"/>
      <c r="F154" s="466">
        <v>98</v>
      </c>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49155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604</v>
      </c>
      <c r="D169" s="1722">
        <f t="shared" si="6"/>
        <v>0</v>
      </c>
      <c r="E169" s="1722">
        <f t="shared" si="6"/>
        <v>0</v>
      </c>
      <c r="F169" s="1722">
        <f t="shared" si="6"/>
        <v>49155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617200</v>
      </c>
      <c r="D170" s="1715">
        <f t="shared" si="7"/>
        <v>60000</v>
      </c>
      <c r="E170" s="1715">
        <f t="shared" si="7"/>
        <v>0</v>
      </c>
      <c r="F170" s="1715">
        <f t="shared" si="7"/>
        <v>69155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25169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11299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36468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19367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19367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1122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1122</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7026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1696</v>
      </c>
      <c r="D263" s="576"/>
      <c r="E263" s="468"/>
      <c r="F263" s="576"/>
      <c r="G263" s="576"/>
      <c r="H263" s="468"/>
      <c r="I263" s="468"/>
      <c r="J263" s="468"/>
      <c r="K263" s="468"/>
    </row>
    <row r="264" spans="1:11" ht="12.75" customHeight="1" thickTop="1" thickBot="1" x14ac:dyDescent="0.25">
      <c r="A264" s="463" t="s">
        <v>377</v>
      </c>
      <c r="B264" s="470">
        <v>4992</v>
      </c>
      <c r="C264" s="575">
        <v>8354</v>
      </c>
      <c r="D264" s="576"/>
      <c r="E264" s="468"/>
      <c r="F264" s="576"/>
      <c r="G264" s="576"/>
      <c r="H264" s="468"/>
      <c r="I264" s="468"/>
      <c r="J264" s="468"/>
      <c r="K264" s="468"/>
    </row>
    <row r="265" spans="1:11" s="593" customFormat="1" ht="12.75" customHeight="1" thickTop="1" thickBot="1" x14ac:dyDescent="0.25">
      <c r="A265" s="563" t="s">
        <v>75</v>
      </c>
      <c r="B265" s="557">
        <v>4999</v>
      </c>
      <c r="C265" s="575">
        <v>9073</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83106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83106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861761</v>
      </c>
      <c r="D268" s="1715">
        <f t="shared" si="12"/>
        <v>86658</v>
      </c>
      <c r="E268" s="1715">
        <f t="shared" si="12"/>
        <v>0</v>
      </c>
      <c r="F268" s="1715">
        <f t="shared" si="12"/>
        <v>83316</v>
      </c>
      <c r="G268" s="1715">
        <f t="shared" si="12"/>
        <v>27453</v>
      </c>
      <c r="H268" s="1715">
        <f t="shared" si="12"/>
        <v>0</v>
      </c>
      <c r="I268" s="1715">
        <f t="shared" si="12"/>
        <v>3562</v>
      </c>
      <c r="J268" s="1715">
        <f t="shared" si="12"/>
        <v>28922</v>
      </c>
      <c r="K268" s="1702">
        <f t="shared" si="12"/>
        <v>3501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49" activePane="bottomLeft" state="frozen"/>
      <selection pane="bottomLeft" activeCell="E63" sqref="E63:F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437482</v>
      </c>
      <c r="D5" s="466">
        <v>23389</v>
      </c>
      <c r="E5" s="466">
        <v>4085</v>
      </c>
      <c r="F5" s="466">
        <v>9148</v>
      </c>
      <c r="G5" s="466"/>
      <c r="H5" s="466"/>
      <c r="I5" s="467"/>
      <c r="J5" s="467"/>
      <c r="K5" s="1671">
        <f>SUM(C5:J5)</f>
        <v>474104</v>
      </c>
      <c r="L5" s="466">
        <v>454000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82592</v>
      </c>
      <c r="D8" s="466">
        <v>3106</v>
      </c>
      <c r="E8" s="466">
        <v>1410</v>
      </c>
      <c r="F8" s="466"/>
      <c r="G8" s="466"/>
      <c r="H8" s="466"/>
      <c r="I8" s="467"/>
      <c r="J8" s="467"/>
      <c r="K8" s="1671">
        <f t="shared" si="0"/>
        <v>87108</v>
      </c>
      <c r="L8" s="466">
        <v>93703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v>2714</v>
      </c>
      <c r="F10" s="466">
        <v>16653</v>
      </c>
      <c r="G10" s="466"/>
      <c r="H10" s="466"/>
      <c r="I10" s="467"/>
      <c r="J10" s="467"/>
      <c r="K10" s="1671">
        <f t="shared" si="0"/>
        <v>19367</v>
      </c>
      <c r="L10" s="466">
        <v>16040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7206</v>
      </c>
      <c r="D14" s="466">
        <v>66</v>
      </c>
      <c r="E14" s="466">
        <v>4737</v>
      </c>
      <c r="F14" s="466"/>
      <c r="G14" s="466"/>
      <c r="H14" s="466"/>
      <c r="I14" s="467"/>
      <c r="J14" s="467"/>
      <c r="K14" s="1671">
        <f t="shared" si="0"/>
        <v>12009</v>
      </c>
      <c r="L14" s="466">
        <v>8605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v>375</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v>9500</v>
      </c>
      <c r="I23" s="616"/>
      <c r="J23" s="477"/>
      <c r="K23" s="1671">
        <f t="shared" si="0"/>
        <v>9500</v>
      </c>
      <c r="L23" s="471">
        <v>3000</v>
      </c>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527280</v>
      </c>
      <c r="D33" s="1670">
        <f t="shared" ref="D33:L33" si="1">SUM(D5:D32)</f>
        <v>26561</v>
      </c>
      <c r="E33" s="1670">
        <f t="shared" si="1"/>
        <v>12946</v>
      </c>
      <c r="F33" s="1670">
        <f t="shared" si="1"/>
        <v>25801</v>
      </c>
      <c r="G33" s="1670">
        <f t="shared" si="1"/>
        <v>0</v>
      </c>
      <c r="H33" s="1670">
        <f t="shared" si="1"/>
        <v>9500</v>
      </c>
      <c r="I33" s="1670">
        <f t="shared" si="1"/>
        <v>0</v>
      </c>
      <c r="J33" s="1670">
        <f t="shared" si="1"/>
        <v>0</v>
      </c>
      <c r="K33" s="1670">
        <f t="shared" si="1"/>
        <v>602088</v>
      </c>
      <c r="L33" s="1670">
        <f t="shared" si="1"/>
        <v>575723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v>650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650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1853</v>
      </c>
      <c r="D44" s="481"/>
      <c r="E44" s="481">
        <v>4634</v>
      </c>
      <c r="F44" s="481">
        <v>9223</v>
      </c>
      <c r="G44" s="481"/>
      <c r="H44" s="481"/>
      <c r="I44" s="467"/>
      <c r="J44" s="467"/>
      <c r="K44" s="1672">
        <f>SUM(C44:J44)</f>
        <v>15710</v>
      </c>
      <c r="L44" s="481">
        <v>13159</v>
      </c>
    </row>
    <row r="45" spans="1:14" x14ac:dyDescent="0.2">
      <c r="A45" s="1504" t="s">
        <v>815</v>
      </c>
      <c r="B45" s="614">
        <v>2220</v>
      </c>
      <c r="C45" s="466"/>
      <c r="D45" s="466"/>
      <c r="E45" s="466"/>
      <c r="F45" s="466"/>
      <c r="G45" s="466"/>
      <c r="H45" s="466"/>
      <c r="I45" s="467"/>
      <c r="J45" s="467"/>
      <c r="K45" s="1672">
        <f>SUM(C45:J45)</f>
        <v>0</v>
      </c>
      <c r="L45" s="466">
        <v>1500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1853</v>
      </c>
      <c r="D47" s="1670">
        <f t="shared" ref="D47:K47" si="4">SUM(D44:D46)</f>
        <v>0</v>
      </c>
      <c r="E47" s="1670">
        <f t="shared" si="4"/>
        <v>4634</v>
      </c>
      <c r="F47" s="1670">
        <f t="shared" si="4"/>
        <v>9223</v>
      </c>
      <c r="G47" s="1670">
        <f t="shared" si="4"/>
        <v>0</v>
      </c>
      <c r="H47" s="1670">
        <f t="shared" si="4"/>
        <v>0</v>
      </c>
      <c r="I47" s="1670">
        <f t="shared" si="4"/>
        <v>0</v>
      </c>
      <c r="J47" s="1670">
        <f t="shared" si="4"/>
        <v>0</v>
      </c>
      <c r="K47" s="1670">
        <f t="shared" si="4"/>
        <v>15710</v>
      </c>
      <c r="L47" s="1670">
        <f>SUM(L44:L46)</f>
        <v>14659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7156</v>
      </c>
      <c r="D49" s="481"/>
      <c r="E49" s="481">
        <v>23731</v>
      </c>
      <c r="F49" s="481">
        <v>1940</v>
      </c>
      <c r="G49" s="481"/>
      <c r="H49" s="481"/>
      <c r="I49" s="467"/>
      <c r="J49" s="467"/>
      <c r="K49" s="1672">
        <f>SUM(C49:J49)</f>
        <v>32827</v>
      </c>
      <c r="L49" s="481">
        <v>38800</v>
      </c>
    </row>
    <row r="50" spans="1:14" x14ac:dyDescent="0.2">
      <c r="A50" s="1504" t="s">
        <v>818</v>
      </c>
      <c r="B50" s="614">
        <v>2320</v>
      </c>
      <c r="C50" s="466">
        <v>28034</v>
      </c>
      <c r="D50" s="466">
        <v>1499</v>
      </c>
      <c r="E50" s="466"/>
      <c r="F50" s="466"/>
      <c r="G50" s="466"/>
      <c r="H50" s="466"/>
      <c r="I50" s="467"/>
      <c r="J50" s="467"/>
      <c r="K50" s="1672">
        <f>SUM(C50:J50)</f>
        <v>29533</v>
      </c>
      <c r="L50" s="466">
        <v>30650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35190</v>
      </c>
      <c r="D53" s="1670">
        <f t="shared" ref="D53:L53" si="5">SUM(D49:D52)</f>
        <v>1499</v>
      </c>
      <c r="E53" s="1670">
        <f t="shared" si="5"/>
        <v>23731</v>
      </c>
      <c r="F53" s="1670">
        <f t="shared" si="5"/>
        <v>1940</v>
      </c>
      <c r="G53" s="1670">
        <f t="shared" si="5"/>
        <v>0</v>
      </c>
      <c r="H53" s="1670">
        <f t="shared" si="5"/>
        <v>0</v>
      </c>
      <c r="I53" s="1670">
        <f t="shared" si="5"/>
        <v>0</v>
      </c>
      <c r="J53" s="1670">
        <f t="shared" si="5"/>
        <v>0</v>
      </c>
      <c r="K53" s="1670">
        <f t="shared" si="5"/>
        <v>62360</v>
      </c>
      <c r="L53" s="1670">
        <f t="shared" si="5"/>
        <v>69450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63031</v>
      </c>
      <c r="D55" s="481">
        <v>2688</v>
      </c>
      <c r="E55" s="481"/>
      <c r="F55" s="481"/>
      <c r="G55" s="481"/>
      <c r="H55" s="481"/>
      <c r="I55" s="467"/>
      <c r="J55" s="467"/>
      <c r="K55" s="1672">
        <f>SUM(C55:J55)</f>
        <v>65719</v>
      </c>
      <c r="L55" s="481">
        <v>66668</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63031</v>
      </c>
      <c r="D57" s="1674">
        <f t="shared" ref="D57:K57" si="6">SUM(D55:D56)</f>
        <v>2688</v>
      </c>
      <c r="E57" s="1674">
        <f t="shared" si="6"/>
        <v>0</v>
      </c>
      <c r="F57" s="1674">
        <f t="shared" si="6"/>
        <v>0</v>
      </c>
      <c r="G57" s="1674">
        <f t="shared" si="6"/>
        <v>0</v>
      </c>
      <c r="H57" s="1674">
        <f t="shared" si="6"/>
        <v>0</v>
      </c>
      <c r="I57" s="1674">
        <f t="shared" si="6"/>
        <v>0</v>
      </c>
      <c r="J57" s="1674">
        <f t="shared" si="6"/>
        <v>0</v>
      </c>
      <c r="K57" s="1674">
        <f t="shared" si="6"/>
        <v>65719</v>
      </c>
      <c r="L57" s="1670">
        <f>SUM(L55:L56)</f>
        <v>66668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14313</v>
      </c>
      <c r="D60" s="466"/>
      <c r="E60" s="466"/>
      <c r="F60" s="466"/>
      <c r="G60" s="466"/>
      <c r="H60" s="466"/>
      <c r="I60" s="467"/>
      <c r="J60" s="467"/>
      <c r="K60" s="1672">
        <f t="shared" si="7"/>
        <v>14313</v>
      </c>
      <c r="L60" s="466">
        <v>14000</v>
      </c>
      <c r="M60" s="609"/>
      <c r="N60" s="609"/>
    </row>
    <row r="61" spans="1:14" s="343" customFormat="1" x14ac:dyDescent="0.2">
      <c r="A61" s="1504" t="s">
        <v>197</v>
      </c>
      <c r="B61" s="614">
        <v>2540</v>
      </c>
      <c r="C61" s="466">
        <v>5313</v>
      </c>
      <c r="D61" s="466"/>
      <c r="E61" s="466">
        <v>22589</v>
      </c>
      <c r="F61" s="466">
        <v>1498</v>
      </c>
      <c r="G61" s="466"/>
      <c r="H61" s="466"/>
      <c r="I61" s="467"/>
      <c r="J61" s="467"/>
      <c r="K61" s="1672">
        <f t="shared" si="7"/>
        <v>29400</v>
      </c>
      <c r="L61" s="466">
        <v>24100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29162</v>
      </c>
      <c r="D63" s="466"/>
      <c r="E63" s="466">
        <v>496</v>
      </c>
      <c r="F63" s="466">
        <v>28688</v>
      </c>
      <c r="G63" s="466"/>
      <c r="H63" s="466"/>
      <c r="I63" s="467"/>
      <c r="J63" s="467"/>
      <c r="K63" s="1672">
        <f t="shared" si="7"/>
        <v>58346</v>
      </c>
      <c r="L63" s="466">
        <v>56850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48788</v>
      </c>
      <c r="D65" s="1670">
        <f t="shared" ref="D65:L65" si="8">SUM(D59:D64)</f>
        <v>0</v>
      </c>
      <c r="E65" s="1670">
        <f t="shared" si="8"/>
        <v>23085</v>
      </c>
      <c r="F65" s="1670">
        <f t="shared" si="8"/>
        <v>30186</v>
      </c>
      <c r="G65" s="1670">
        <f t="shared" si="8"/>
        <v>0</v>
      </c>
      <c r="H65" s="1670">
        <f t="shared" si="8"/>
        <v>0</v>
      </c>
      <c r="I65" s="1670">
        <f t="shared" si="8"/>
        <v>0</v>
      </c>
      <c r="J65" s="1670">
        <f t="shared" si="8"/>
        <v>0</v>
      </c>
      <c r="K65" s="1670">
        <f t="shared" si="8"/>
        <v>102059</v>
      </c>
      <c r="L65" s="1670">
        <f t="shared" si="8"/>
        <v>94950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148862</v>
      </c>
      <c r="D74" s="1677">
        <f t="shared" ref="D74:K74" si="10">SUM(D42,D47,D53,D57,D65,D72,D73)</f>
        <v>4187</v>
      </c>
      <c r="E74" s="1677">
        <f t="shared" si="10"/>
        <v>51450</v>
      </c>
      <c r="F74" s="1677">
        <f t="shared" si="10"/>
        <v>41349</v>
      </c>
      <c r="G74" s="1677">
        <f t="shared" si="10"/>
        <v>0</v>
      </c>
      <c r="H74" s="1677">
        <f t="shared" si="10"/>
        <v>0</v>
      </c>
      <c r="I74" s="1677">
        <f t="shared" si="10"/>
        <v>0</v>
      </c>
      <c r="J74" s="1677">
        <f t="shared" si="10"/>
        <v>0</v>
      </c>
      <c r="K74" s="1677">
        <f t="shared" si="10"/>
        <v>245848</v>
      </c>
      <c r="L74" s="1677">
        <f>SUM(L42,L47,L53,L57,L65,L72,L73)</f>
        <v>246377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2714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676142</v>
      </c>
      <c r="D114" s="1670">
        <f t="shared" ref="D114:K114" si="13">SUM(D33,D74,D75,D102,D112,D113)</f>
        <v>30748</v>
      </c>
      <c r="E114" s="1670">
        <f t="shared" si="13"/>
        <v>64396</v>
      </c>
      <c r="F114" s="1670">
        <f t="shared" si="13"/>
        <v>67150</v>
      </c>
      <c r="G114" s="1670">
        <f t="shared" si="13"/>
        <v>0</v>
      </c>
      <c r="H114" s="1670">
        <f>SUM(H33,H74,H75,H102,H112,H113)</f>
        <v>9500</v>
      </c>
      <c r="I114" s="1670">
        <f t="shared" si="13"/>
        <v>0</v>
      </c>
      <c r="J114" s="1670">
        <f t="shared" si="13"/>
        <v>0</v>
      </c>
      <c r="K114" s="1670">
        <f t="shared" si="13"/>
        <v>847936</v>
      </c>
      <c r="L114" s="1670">
        <f>SUM(L33,L74,L75,L102,L112,L113)</f>
        <v>824814</v>
      </c>
    </row>
    <row r="115" spans="1:14" ht="13.5" thickTop="1" x14ac:dyDescent="0.2">
      <c r="A115" s="2155" t="s">
        <v>996</v>
      </c>
      <c r="B115" s="2156"/>
      <c r="C115" s="618"/>
      <c r="D115" s="618"/>
      <c r="E115" s="618"/>
      <c r="F115" s="618"/>
      <c r="G115" s="618"/>
      <c r="H115" s="618"/>
      <c r="I115" s="618"/>
      <c r="J115" s="618"/>
      <c r="K115" s="1684">
        <f>'Revenues 9-14'!C268-'Expenditures 15-22'!K114</f>
        <v>13825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35997</v>
      </c>
      <c r="D124" s="466"/>
      <c r="E124" s="466">
        <v>9261</v>
      </c>
      <c r="F124" s="466">
        <v>12599</v>
      </c>
      <c r="G124" s="466">
        <v>11248</v>
      </c>
      <c r="H124" s="466"/>
      <c r="I124" s="467"/>
      <c r="J124" s="467"/>
      <c r="K124" s="1670">
        <f>SUM(C124:J124)</f>
        <v>69105</v>
      </c>
      <c r="L124" s="466">
        <v>75025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35997</v>
      </c>
      <c r="D127" s="1670">
        <f t="shared" ref="D127:L127" si="14">SUM(D122:D126)</f>
        <v>0</v>
      </c>
      <c r="E127" s="1670">
        <f t="shared" si="14"/>
        <v>9261</v>
      </c>
      <c r="F127" s="1670">
        <f t="shared" si="14"/>
        <v>12599</v>
      </c>
      <c r="G127" s="1670">
        <f t="shared" si="14"/>
        <v>11248</v>
      </c>
      <c r="H127" s="1670">
        <f t="shared" si="14"/>
        <v>0</v>
      </c>
      <c r="I127" s="1670">
        <f t="shared" si="14"/>
        <v>0</v>
      </c>
      <c r="J127" s="1670">
        <f t="shared" si="14"/>
        <v>0</v>
      </c>
      <c r="K127" s="1670">
        <f t="shared" si="14"/>
        <v>69105</v>
      </c>
      <c r="L127" s="1670">
        <f t="shared" si="14"/>
        <v>75025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35997</v>
      </c>
      <c r="D129" s="1677">
        <f t="shared" ref="D129:L129" si="15">SUM(D120,D127,D128)</f>
        <v>0</v>
      </c>
      <c r="E129" s="1677">
        <f t="shared" si="15"/>
        <v>9261</v>
      </c>
      <c r="F129" s="1677">
        <f t="shared" si="15"/>
        <v>12599</v>
      </c>
      <c r="G129" s="1677">
        <f t="shared" si="15"/>
        <v>11248</v>
      </c>
      <c r="H129" s="1677">
        <f t="shared" si="15"/>
        <v>0</v>
      </c>
      <c r="I129" s="1677">
        <f t="shared" si="15"/>
        <v>0</v>
      </c>
      <c r="J129" s="1677">
        <f t="shared" si="15"/>
        <v>0</v>
      </c>
      <c r="K129" s="1677">
        <f t="shared" si="15"/>
        <v>69105</v>
      </c>
      <c r="L129" s="1677">
        <f t="shared" si="15"/>
        <v>75025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35997</v>
      </c>
      <c r="D151" s="1670">
        <f t="shared" ref="D151:K151" si="16">SUM(D129,D130,D139,D149,D150)</f>
        <v>0</v>
      </c>
      <c r="E151" s="1670">
        <f t="shared" si="16"/>
        <v>9261</v>
      </c>
      <c r="F151" s="1670">
        <f t="shared" si="16"/>
        <v>12599</v>
      </c>
      <c r="G151" s="1670">
        <f t="shared" si="16"/>
        <v>11248</v>
      </c>
      <c r="H151" s="1670">
        <f t="shared" si="16"/>
        <v>0</v>
      </c>
      <c r="I151" s="1670">
        <f t="shared" si="16"/>
        <v>0</v>
      </c>
      <c r="J151" s="1670">
        <f t="shared" si="16"/>
        <v>0</v>
      </c>
      <c r="K151" s="1670">
        <f t="shared" si="16"/>
        <v>69105</v>
      </c>
      <c r="L151" s="1670">
        <f>SUM(L129,L130,L139,L149,L150)</f>
        <v>75025</v>
      </c>
    </row>
    <row r="152" spans="1:14" ht="12.75" customHeight="1" thickTop="1" x14ac:dyDescent="0.2">
      <c r="A152" s="2175" t="s">
        <v>1178</v>
      </c>
      <c r="B152" s="2176"/>
      <c r="C152" s="618"/>
      <c r="D152" s="618"/>
      <c r="E152" s="618"/>
      <c r="F152" s="618"/>
      <c r="G152" s="618"/>
      <c r="H152" s="618"/>
      <c r="I152" s="618"/>
      <c r="J152" s="616"/>
      <c r="K152" s="1684">
        <f>'Revenues 9-14'!D268-'Expenditures 15-22'!K151</f>
        <v>17553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5" t="s">
        <v>996</v>
      </c>
      <c r="B175" s="2156"/>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16578</v>
      </c>
      <c r="D182" s="466"/>
      <c r="E182" s="466">
        <v>8124</v>
      </c>
      <c r="F182" s="466">
        <v>7901</v>
      </c>
      <c r="G182" s="466"/>
      <c r="H182" s="466"/>
      <c r="I182" s="467"/>
      <c r="J182" s="467"/>
      <c r="K182" s="1671">
        <f>SUM(C182:J182)</f>
        <v>32603</v>
      </c>
      <c r="L182" s="466">
        <v>62400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16578</v>
      </c>
      <c r="D184" s="1677">
        <f t="shared" ref="D184:J184" si="17">SUM(D180,D182,D183)</f>
        <v>0</v>
      </c>
      <c r="E184" s="1677">
        <f t="shared" si="17"/>
        <v>8124</v>
      </c>
      <c r="F184" s="1677">
        <f t="shared" si="17"/>
        <v>7901</v>
      </c>
      <c r="G184" s="1677">
        <f t="shared" si="17"/>
        <v>0</v>
      </c>
      <c r="H184" s="1677">
        <f t="shared" si="17"/>
        <v>0</v>
      </c>
      <c r="I184" s="1677">
        <f t="shared" si="17"/>
        <v>0</v>
      </c>
      <c r="J184" s="1677">
        <f t="shared" si="17"/>
        <v>0</v>
      </c>
      <c r="K184" s="1677">
        <f>SUM(K180,K182,K183)</f>
        <v>32603</v>
      </c>
      <c r="L184" s="1677">
        <f>SUM(L180, L182:L183)</f>
        <v>62400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3877</v>
      </c>
      <c r="I205" s="616"/>
      <c r="J205" s="616"/>
      <c r="K205" s="1685">
        <f>SUM(H205)</f>
        <v>3877</v>
      </c>
      <c r="L205" s="535"/>
    </row>
    <row r="206" spans="1:14" ht="30" customHeight="1" x14ac:dyDescent="0.2">
      <c r="A206" s="681" t="s">
        <v>1671</v>
      </c>
      <c r="B206" s="672" t="s">
        <v>31</v>
      </c>
      <c r="C206" s="616"/>
      <c r="D206" s="616"/>
      <c r="E206" s="616"/>
      <c r="F206" s="616"/>
      <c r="G206" s="616"/>
      <c r="H206" s="466">
        <v>51515</v>
      </c>
      <c r="I206" s="616"/>
      <c r="J206" s="616"/>
      <c r="K206" s="1671">
        <f>SUM(H206)</f>
        <v>51515</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55392</v>
      </c>
      <c r="I208" s="616"/>
      <c r="J208" s="616"/>
      <c r="K208" s="1677">
        <f>SUM(K204,K205,K206,K207)</f>
        <v>55392</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16578</v>
      </c>
      <c r="D210" s="1670">
        <f>SUM(D184,D185)</f>
        <v>0</v>
      </c>
      <c r="E210" s="1670">
        <f>SUM(E184,E185,E196)</f>
        <v>8124</v>
      </c>
      <c r="F210" s="1670">
        <f>SUM(F184,F185)</f>
        <v>7901</v>
      </c>
      <c r="G210" s="1670">
        <f>SUM(G184,G185)</f>
        <v>0</v>
      </c>
      <c r="H210" s="1670">
        <f>SUM(H184,H185,H196,H208,H209)</f>
        <v>55392</v>
      </c>
      <c r="I210" s="1670">
        <f>SUM(I184,I185)</f>
        <v>0</v>
      </c>
      <c r="J210" s="1670">
        <f>SUM(J184,J185)</f>
        <v>0</v>
      </c>
      <c r="K210" s="1671">
        <f>SUM(K184,K185,K196,K208,K209)</f>
        <v>87995</v>
      </c>
      <c r="L210" s="1670">
        <f>SUM(L184,L185,L196,L208,L209)</f>
        <v>62400</v>
      </c>
    </row>
    <row r="211" spans="1:14" ht="13.5" thickTop="1" x14ac:dyDescent="0.2">
      <c r="A211" s="2155" t="s">
        <v>996</v>
      </c>
      <c r="B211" s="2156"/>
      <c r="C211" s="618"/>
      <c r="D211" s="618"/>
      <c r="E211" s="618"/>
      <c r="F211" s="618"/>
      <c r="G211" s="618"/>
      <c r="H211" s="618"/>
      <c r="I211" s="616"/>
      <c r="J211" s="616"/>
      <c r="K211" s="1684">
        <f>'Revenues 9-14'!F268-'Expenditures 15-22'!K210</f>
        <v>-4679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7782</v>
      </c>
      <c r="E215" s="616"/>
      <c r="F215" s="616"/>
      <c r="G215" s="616"/>
      <c r="H215" s="616"/>
      <c r="I215" s="616"/>
      <c r="J215" s="616"/>
      <c r="K215" s="1671">
        <f>D215</f>
        <v>7782</v>
      </c>
      <c r="L215" s="466">
        <v>7000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5234</v>
      </c>
      <c r="E217" s="616"/>
      <c r="F217" s="616"/>
      <c r="G217" s="616"/>
      <c r="H217" s="616"/>
      <c r="I217" s="616"/>
      <c r="J217" s="616"/>
      <c r="K217" s="1671">
        <f t="shared" si="19"/>
        <v>5234</v>
      </c>
      <c r="L217" s="466">
        <v>5800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227</v>
      </c>
      <c r="E223" s="616"/>
      <c r="F223" s="616"/>
      <c r="G223" s="616"/>
      <c r="H223" s="616"/>
      <c r="I223" s="616"/>
      <c r="J223" s="616"/>
      <c r="K223" s="1671">
        <f t="shared" si="19"/>
        <v>227</v>
      </c>
      <c r="L223" s="466">
        <v>200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13243</v>
      </c>
      <c r="E229" s="616"/>
      <c r="F229" s="616"/>
      <c r="G229" s="616"/>
      <c r="H229" s="616"/>
      <c r="I229" s="616"/>
      <c r="J229" s="616"/>
      <c r="K229" s="1670">
        <f>SUM(K215:K228)</f>
        <v>13243</v>
      </c>
      <c r="L229" s="1670">
        <f>SUM(L215:L228)</f>
        <v>13000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32</v>
      </c>
      <c r="E240" s="616"/>
      <c r="F240" s="616"/>
      <c r="G240" s="616"/>
      <c r="H240" s="616"/>
      <c r="I240" s="616"/>
      <c r="J240" s="616"/>
      <c r="K240" s="1672">
        <f>D240</f>
        <v>32</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32</v>
      </c>
      <c r="E243" s="616"/>
      <c r="F243" s="616"/>
      <c r="G243" s="616"/>
      <c r="H243" s="616"/>
      <c r="I243" s="616"/>
      <c r="J243" s="616"/>
      <c r="K243" s="1670">
        <f>SUM(K240:K242)</f>
        <v>32</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1136</v>
      </c>
      <c r="E245" s="616"/>
      <c r="F245" s="616"/>
      <c r="G245" s="616"/>
      <c r="H245" s="616"/>
      <c r="I245" s="616"/>
      <c r="J245" s="616"/>
      <c r="K245" s="1672">
        <f>D245</f>
        <v>1136</v>
      </c>
      <c r="L245" s="481">
        <v>1250</v>
      </c>
    </row>
    <row r="246" spans="1:12" x14ac:dyDescent="0.2">
      <c r="A246" s="1504" t="s">
        <v>818</v>
      </c>
      <c r="B246" s="614">
        <v>2320</v>
      </c>
      <c r="C246" s="616"/>
      <c r="D246" s="466">
        <v>470</v>
      </c>
      <c r="E246" s="616"/>
      <c r="F246" s="616"/>
      <c r="G246" s="616"/>
      <c r="H246" s="616"/>
      <c r="I246" s="616"/>
      <c r="J246" s="616"/>
      <c r="K246" s="1672">
        <f t="shared" ref="K246:K256" si="21">D246</f>
        <v>470</v>
      </c>
      <c r="L246" s="466">
        <v>450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1606</v>
      </c>
      <c r="E257" s="616"/>
      <c r="F257" s="616"/>
      <c r="G257" s="616"/>
      <c r="H257" s="616"/>
      <c r="I257" s="616"/>
      <c r="J257" s="616"/>
      <c r="K257" s="1670">
        <f>SUM(K245:K256)</f>
        <v>1606</v>
      </c>
      <c r="L257" s="1670">
        <f>SUM(L245:L256)</f>
        <v>1700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2938</v>
      </c>
      <c r="E259" s="616"/>
      <c r="F259" s="616"/>
      <c r="G259" s="616"/>
      <c r="H259" s="616"/>
      <c r="I259" s="616"/>
      <c r="J259" s="616"/>
      <c r="K259" s="1672">
        <f>D259</f>
        <v>2938</v>
      </c>
      <c r="L259" s="481">
        <v>3150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2938</v>
      </c>
      <c r="E261" s="616"/>
      <c r="F261" s="616"/>
      <c r="G261" s="616"/>
      <c r="H261" s="616"/>
      <c r="I261" s="616"/>
      <c r="J261" s="616"/>
      <c r="K261" s="1670">
        <f>SUM(K259:K260)</f>
        <v>2938</v>
      </c>
      <c r="L261" s="1670">
        <f>SUM(L259:L260)</f>
        <v>3150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2273</v>
      </c>
      <c r="E264" s="616"/>
      <c r="F264" s="616"/>
      <c r="G264" s="616"/>
      <c r="H264" s="616"/>
      <c r="I264" s="616"/>
      <c r="J264" s="616"/>
      <c r="K264" s="1672">
        <f t="shared" ref="K264:K269" si="22">D264</f>
        <v>2273</v>
      </c>
      <c r="L264" s="466">
        <v>2500</v>
      </c>
    </row>
    <row r="265" spans="1:14" x14ac:dyDescent="0.2">
      <c r="A265" s="1504" t="s">
        <v>4</v>
      </c>
      <c r="B265" s="614">
        <v>2530</v>
      </c>
      <c r="C265" s="616"/>
      <c r="D265" s="466"/>
      <c r="E265" s="616"/>
      <c r="F265" s="616"/>
      <c r="G265" s="616"/>
      <c r="H265" s="616"/>
      <c r="I265" s="616"/>
      <c r="J265" s="616"/>
      <c r="K265" s="1672">
        <f t="shared" si="22"/>
        <v>0</v>
      </c>
      <c r="L265" s="466">
        <v>4000</v>
      </c>
    </row>
    <row r="266" spans="1:14" x14ac:dyDescent="0.2">
      <c r="A266" s="1504" t="s">
        <v>197</v>
      </c>
      <c r="B266" s="614">
        <v>2540</v>
      </c>
      <c r="C266" s="616"/>
      <c r="D266" s="466">
        <v>6049</v>
      </c>
      <c r="E266" s="616"/>
      <c r="F266" s="616"/>
      <c r="G266" s="616"/>
      <c r="H266" s="616"/>
      <c r="I266" s="616"/>
      <c r="J266" s="616"/>
      <c r="K266" s="1672">
        <f t="shared" si="22"/>
        <v>6049</v>
      </c>
      <c r="L266" s="466">
        <v>4000</v>
      </c>
    </row>
    <row r="267" spans="1:14" x14ac:dyDescent="0.2">
      <c r="A267" s="1504" t="s">
        <v>953</v>
      </c>
      <c r="B267" s="614">
        <v>2550</v>
      </c>
      <c r="C267" s="616"/>
      <c r="D267" s="466">
        <v>2581</v>
      </c>
      <c r="E267" s="616"/>
      <c r="F267" s="616"/>
      <c r="G267" s="616"/>
      <c r="H267" s="616"/>
      <c r="I267" s="616"/>
      <c r="J267" s="616"/>
      <c r="K267" s="1672">
        <f t="shared" si="22"/>
        <v>2581</v>
      </c>
      <c r="L267" s="466">
        <v>3450</v>
      </c>
    </row>
    <row r="268" spans="1:14" x14ac:dyDescent="0.2">
      <c r="A268" s="1504" t="s">
        <v>100</v>
      </c>
      <c r="B268" s="614">
        <v>2560</v>
      </c>
      <c r="C268" s="616"/>
      <c r="D268" s="466">
        <v>4413</v>
      </c>
      <c r="E268" s="616"/>
      <c r="F268" s="616"/>
      <c r="G268" s="616"/>
      <c r="H268" s="616"/>
      <c r="I268" s="616"/>
      <c r="J268" s="616"/>
      <c r="K268" s="1672">
        <f t="shared" si="22"/>
        <v>4413</v>
      </c>
      <c r="L268" s="466">
        <v>4900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15316</v>
      </c>
      <c r="E270" s="616"/>
      <c r="F270" s="616"/>
      <c r="G270" s="616"/>
      <c r="H270" s="616"/>
      <c r="I270" s="616"/>
      <c r="J270" s="616"/>
      <c r="K270" s="1670">
        <f>SUM(K263:K269)</f>
        <v>15316</v>
      </c>
      <c r="L270" s="1670">
        <f>SUM(L263:L269)</f>
        <v>18850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19892</v>
      </c>
      <c r="E279" s="616"/>
      <c r="F279" s="616"/>
      <c r="G279" s="616"/>
      <c r="H279" s="616"/>
      <c r="I279" s="616"/>
      <c r="J279" s="616"/>
      <c r="K279" s="1677">
        <f>SUM(K238,K243,K257,K261,K270,K277,K278)</f>
        <v>19892</v>
      </c>
      <c r="L279" s="1677">
        <f>SUM(L238,L243,L257,L261,L270,L277,L278)</f>
        <v>23700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33135</v>
      </c>
      <c r="E295" s="616"/>
      <c r="F295" s="616"/>
      <c r="G295" s="616"/>
      <c r="H295" s="1670">
        <f>H293</f>
        <v>0</v>
      </c>
      <c r="I295" s="616"/>
      <c r="J295" s="616"/>
      <c r="K295" s="1670">
        <f>SUM(K229,K279,K280,K285,K293,K294)</f>
        <v>33135</v>
      </c>
      <c r="L295" s="1670">
        <f>SUM(L229,L279,L280,L285,L293,L294)</f>
        <v>36700</v>
      </c>
    </row>
    <row r="296" spans="1:14" ht="13.5" thickTop="1" x14ac:dyDescent="0.2">
      <c r="A296" s="2155" t="s">
        <v>996</v>
      </c>
      <c r="B296" s="2156"/>
      <c r="C296" s="616"/>
      <c r="D296" s="618"/>
      <c r="E296" s="616"/>
      <c r="F296" s="616"/>
      <c r="G296" s="616"/>
      <c r="H296" s="687"/>
      <c r="I296" s="616"/>
      <c r="J296" s="616"/>
      <c r="K296" s="1684">
        <f>'Revenues 9-14'!G268-'Expenditures 15-22'!K295</f>
        <v>-5682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7000</v>
      </c>
      <c r="M321" s="665"/>
      <c r="N321" s="665"/>
    </row>
    <row r="322" spans="1:14" s="674" customFormat="1" x14ac:dyDescent="0.2">
      <c r="A322" s="1519" t="s">
        <v>238</v>
      </c>
      <c r="B322" s="697" t="s">
        <v>284</v>
      </c>
      <c r="C322" s="467"/>
      <c r="D322" s="467"/>
      <c r="E322" s="467">
        <v>20774</v>
      </c>
      <c r="F322" s="467"/>
      <c r="G322" s="467"/>
      <c r="H322" s="467"/>
      <c r="I322" s="467"/>
      <c r="J322" s="467"/>
      <c r="K322" s="1671">
        <f t="shared" si="24"/>
        <v>20774</v>
      </c>
      <c r="L322" s="467">
        <v>8900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2625</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20774</v>
      </c>
      <c r="F330" s="1670">
        <f t="shared" si="25"/>
        <v>0</v>
      </c>
      <c r="G330" s="1670">
        <f t="shared" si="25"/>
        <v>0</v>
      </c>
      <c r="H330" s="1670">
        <f t="shared" si="25"/>
        <v>0</v>
      </c>
      <c r="I330" s="1670">
        <f t="shared" si="25"/>
        <v>0</v>
      </c>
      <c r="J330" s="1670">
        <f t="shared" si="25"/>
        <v>0</v>
      </c>
      <c r="K330" s="1670">
        <f>SUM(K319:K329)</f>
        <v>20774</v>
      </c>
      <c r="L330" s="1670">
        <f>SUM(L319:L329)</f>
        <v>18525</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20774</v>
      </c>
      <c r="F342" s="1670">
        <f>SUM(F330)</f>
        <v>0</v>
      </c>
      <c r="G342" s="1670">
        <f>SUM(G330)</f>
        <v>0</v>
      </c>
      <c r="H342" s="1670">
        <f>SUM(H330,H334,H340)</f>
        <v>0</v>
      </c>
      <c r="I342" s="1670">
        <f>SUM(I330)</f>
        <v>0</v>
      </c>
      <c r="J342" s="1670">
        <f>SUM(J330)</f>
        <v>0</v>
      </c>
      <c r="K342" s="1670">
        <f>SUM(K330,K334,K340)</f>
        <v>20774</v>
      </c>
      <c r="L342" s="1677">
        <f>SUM(L330,L340,L341)</f>
        <v>18525</v>
      </c>
    </row>
    <row r="343" spans="1:14" ht="12.75" customHeight="1" thickTop="1" x14ac:dyDescent="0.2">
      <c r="A343" s="2168" t="s">
        <v>996</v>
      </c>
      <c r="B343" s="2169"/>
      <c r="C343" s="616"/>
      <c r="D343" s="616"/>
      <c r="E343" s="616"/>
      <c r="F343" s="616"/>
      <c r="G343" s="616"/>
      <c r="H343" s="616"/>
      <c r="I343" s="616"/>
      <c r="J343" s="616"/>
      <c r="K343" s="1684">
        <f>'Revenues 9-14'!J268-'Expenditures 15-22'!K342</f>
        <v>8148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86</v>
      </c>
      <c r="F349" s="466">
        <v>1403</v>
      </c>
      <c r="G349" s="466"/>
      <c r="H349" s="466"/>
      <c r="I349" s="467"/>
      <c r="J349" s="467"/>
      <c r="K349" s="1671">
        <f>SUM(C349:J349)</f>
        <v>1489</v>
      </c>
      <c r="L349" s="466">
        <v>10000</v>
      </c>
    </row>
    <row r="350" spans="1:14" ht="12.75" customHeight="1" thickBot="1" x14ac:dyDescent="0.25">
      <c r="A350" s="1668" t="s">
        <v>719</v>
      </c>
      <c r="B350" s="1669" t="s">
        <v>35</v>
      </c>
      <c r="C350" s="1670">
        <f>SUM(C348:C349)</f>
        <v>0</v>
      </c>
      <c r="D350" s="1670">
        <f t="shared" ref="D350:L350" si="26">SUM(D348:D349)</f>
        <v>0</v>
      </c>
      <c r="E350" s="1670">
        <f t="shared" si="26"/>
        <v>86</v>
      </c>
      <c r="F350" s="1670">
        <f t="shared" si="26"/>
        <v>1403</v>
      </c>
      <c r="G350" s="1670">
        <f t="shared" si="26"/>
        <v>0</v>
      </c>
      <c r="H350" s="1670">
        <f t="shared" si="26"/>
        <v>0</v>
      </c>
      <c r="I350" s="1670">
        <f t="shared" si="26"/>
        <v>0</v>
      </c>
      <c r="J350" s="1670">
        <f t="shared" si="26"/>
        <v>0</v>
      </c>
      <c r="K350" s="1670">
        <f t="shared" si="26"/>
        <v>1489</v>
      </c>
      <c r="L350" s="1670">
        <f t="shared" si="26"/>
        <v>10000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86</v>
      </c>
      <c r="F352" s="1670">
        <f t="shared" si="27"/>
        <v>1403</v>
      </c>
      <c r="G352" s="1670">
        <f t="shared" si="27"/>
        <v>0</v>
      </c>
      <c r="H352" s="1670">
        <f t="shared" si="27"/>
        <v>0</v>
      </c>
      <c r="I352" s="1670">
        <f t="shared" si="27"/>
        <v>0</v>
      </c>
      <c r="J352" s="1670">
        <f t="shared" si="27"/>
        <v>0</v>
      </c>
      <c r="K352" s="1670">
        <f t="shared" si="27"/>
        <v>1489</v>
      </c>
      <c r="L352" s="1670">
        <f t="shared" si="27"/>
        <v>10000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86</v>
      </c>
      <c r="F367" s="1670">
        <f t="shared" si="28"/>
        <v>1403</v>
      </c>
      <c r="G367" s="1670">
        <f t="shared" si="28"/>
        <v>0</v>
      </c>
      <c r="H367" s="1670">
        <f t="shared" si="28"/>
        <v>0</v>
      </c>
      <c r="I367" s="1670">
        <f t="shared" si="28"/>
        <v>0</v>
      </c>
      <c r="J367" s="1670">
        <f t="shared" si="28"/>
        <v>0</v>
      </c>
      <c r="K367" s="1670">
        <f t="shared" si="28"/>
        <v>1489</v>
      </c>
      <c r="L367" s="1670">
        <f t="shared" si="28"/>
        <v>10000</v>
      </c>
    </row>
    <row r="368" spans="1:14" ht="13.5" thickTop="1" x14ac:dyDescent="0.2">
      <c r="A368" s="2155" t="s">
        <v>996</v>
      </c>
      <c r="B368" s="2156"/>
      <c r="C368" s="654"/>
      <c r="D368" s="654"/>
      <c r="E368" s="626"/>
      <c r="F368" s="626"/>
      <c r="G368" s="626"/>
      <c r="H368" s="626"/>
      <c r="I368" s="626"/>
      <c r="J368" s="623"/>
      <c r="K368" s="1671">
        <f>'Revenues 9-14'!K268-'Expenditures 15-22'!K367</f>
        <v>2012</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www.w3.org/XML/1998/namespace"/>
    <ds:schemaRef ds:uri="http://purl.org/dc/terms/"/>
    <ds:schemaRef ds:uri="http://purl.org/dc/elements/1.1/"/>
    <ds:schemaRef ds:uri="http://schemas.openxmlformats.org/package/2006/metadata/core-properties"/>
    <ds:schemaRef ds:uri="http://schemas.microsoft.com/office/infopath/2007/PartnerControls"/>
    <ds:schemaRef ds:uri="http://schemas.microsoft.com/sharepoint/v3"/>
    <ds:schemaRef ds:uri="d21dc803-237d-4c68-8692-8d731fd29118"/>
    <ds:schemaRef ds:uri="http://schemas.microsoft.com/office/2006/documentManagement/types"/>
    <ds:schemaRef ds:uri="6ce3111e-7420-4802-b50a-75d4e9a0b98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2019-11-18T20:56:26Z</cp:lastPrinted>
  <dcterms:created xsi:type="dcterms:W3CDTF">2003-10-29T19:06:34Z</dcterms:created>
  <dcterms:modified xsi:type="dcterms:W3CDTF">2019-12-31T14:49:39Z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