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SD_ToLoad\"/>
    </mc:Choice>
  </mc:AlternateContent>
  <xr:revisionPtr revIDLastSave="0" documentId="13_ncr:1_{35BFADD4-0A51-4053-8B70-429912189CE0}" xr6:coauthVersionLast="36" xr6:coauthVersionMax="36" xr10:uidLastSave="{00000000-0000-0000-0000-000000000000}"/>
  <bookViews>
    <workbookView xWindow="0" yWindow="0" windowWidth="28800" windowHeight="109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New">#REF!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N21" i="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K185" i="29"/>
  <c r="F14" i="4" s="1"/>
  <c r="B2597" i="106" s="1"/>
  <c r="D2597" i="106"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K93" i="29"/>
  <c r="B6997" i="106" s="1"/>
  <c r="D6997" i="106" s="1"/>
  <c r="K94" i="29"/>
  <c r="B6999" i="106" s="1"/>
  <c r="D6999" i="106" s="1"/>
  <c r="K95" i="29"/>
  <c r="K96" i="29"/>
  <c r="B7003" i="106" s="1"/>
  <c r="D7003" i="106" s="1"/>
  <c r="K97" i="29"/>
  <c r="B7005" i="106" s="1"/>
  <c r="D7005" i="106" s="1"/>
  <c r="K98" i="29"/>
  <c r="K99" i="29"/>
  <c r="B7010" i="106" s="1"/>
  <c r="D7010" i="106" s="1"/>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F26" i="108"/>
  <c r="E27" i="108"/>
  <c r="G27" i="108"/>
  <c r="F31" i="108"/>
  <c r="G28" i="108"/>
  <c r="E30" i="108"/>
  <c r="G30" i="108"/>
  <c r="D31"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D7" i="118"/>
  <c r="D8" i="118"/>
  <c r="D9" i="118"/>
  <c r="H14" i="118"/>
  <c r="H19" i="118"/>
  <c r="H24" i="118"/>
  <c r="G14" i="4" l="1"/>
  <c r="B2609" i="106" s="1"/>
  <c r="D2609" i="106" s="1"/>
  <c r="F27" i="108"/>
  <c r="D26" i="108"/>
  <c r="B1126" i="106"/>
  <c r="D1126" i="106" s="1"/>
  <c r="G26" i="108"/>
  <c r="E26" i="108"/>
  <c r="D6103" i="106"/>
  <c r="D24" i="37"/>
  <c r="B4270" i="106" s="1"/>
  <c r="D4270" i="106" s="1"/>
  <c r="F62" i="34"/>
  <c r="G39" i="108"/>
  <c r="F36" i="34"/>
  <c r="B2836" i="106"/>
  <c r="D2836" i="106" s="1"/>
  <c r="D7245" i="106"/>
  <c r="G15" i="145"/>
  <c r="J49" i="8"/>
  <c r="B4172" i="106" s="1"/>
  <c r="D4172" i="106" s="1"/>
  <c r="L13" i="11"/>
  <c r="B2060" i="106" s="1"/>
  <c r="D2060" i="106" s="1"/>
  <c r="F28" i="108"/>
  <c r="H112" i="29"/>
  <c r="B7018" i="106" s="1"/>
  <c r="D7018" i="106" s="1"/>
  <c r="D11" i="37"/>
  <c r="H29" i="118"/>
  <c r="D31" i="36"/>
  <c r="D22" i="37"/>
  <c r="B7078" i="106"/>
  <c r="D7078" i="106" s="1"/>
  <c r="B7047" i="106"/>
  <c r="D7047" i="106" s="1"/>
  <c r="H33" i="118"/>
  <c r="B2734" i="106"/>
  <c r="D2734" i="106" s="1"/>
  <c r="F37" i="108"/>
  <c r="D37" i="108"/>
  <c r="F46" i="34"/>
  <c r="E28" i="108"/>
  <c r="F38" i="34"/>
  <c r="F19" i="7"/>
  <c r="B1807" i="106" s="1"/>
  <c r="D1807" i="106" s="1"/>
  <c r="E29" i="108"/>
  <c r="L15" i="11"/>
  <c r="B3459" i="106" s="1"/>
  <c r="D3459" i="106" s="1"/>
  <c r="L5" i="11"/>
  <c r="B2056" i="106" s="1"/>
  <c r="D2056" i="106" s="1"/>
  <c r="H28" i="118"/>
  <c r="I24" i="12"/>
  <c r="F50" i="34"/>
  <c r="B7076" i="106"/>
  <c r="D7076" i="106" s="1"/>
  <c r="E35" i="108"/>
  <c r="G34" i="108"/>
  <c r="H342" i="29"/>
  <c r="B7221" i="106" s="1"/>
  <c r="D7221" i="106" s="1"/>
  <c r="F49" i="34"/>
  <c r="F64" i="34"/>
  <c r="G35" i="108"/>
  <c r="B7231" i="106"/>
  <c r="D7231" i="106" s="1"/>
  <c r="F36" i="108"/>
  <c r="F67" i="34"/>
  <c r="D36" i="108"/>
  <c r="G210" i="29"/>
  <c r="B1365" i="106" s="1"/>
  <c r="D1365" i="106" s="1"/>
  <c r="L367" i="29"/>
  <c r="B6995" i="106"/>
  <c r="D6995" i="106" s="1"/>
  <c r="B2724" i="106"/>
  <c r="D2724" i="106" s="1"/>
  <c r="G29" i="108"/>
  <c r="F44" i="34"/>
  <c r="F34" i="34"/>
  <c r="B1124" i="106"/>
  <c r="D1124" i="106" s="1"/>
  <c r="G38" i="108"/>
  <c r="F42" i="34"/>
  <c r="E38" i="108"/>
  <c r="D9" i="7"/>
  <c r="B1767" i="106" s="1"/>
  <c r="D1767" i="106" s="1"/>
  <c r="H44" i="4"/>
  <c r="B3296" i="106" s="1"/>
  <c r="D3296" i="106" s="1"/>
  <c r="L342" i="29"/>
  <c r="D17" i="7"/>
  <c r="B4104" i="106" s="1"/>
  <c r="D4104" i="106" s="1"/>
  <c r="K184" i="29"/>
  <c r="F13" i="4" s="1"/>
  <c r="B2596" i="106" s="1"/>
  <c r="D2596" i="106" s="1"/>
  <c r="J210" i="29"/>
  <c r="B7072" i="106" s="1"/>
  <c r="D7072" i="106" s="1"/>
  <c r="C352" i="29"/>
  <c r="C367" i="29" s="1"/>
  <c r="B3622" i="106" s="1"/>
  <c r="D3622" i="106" s="1"/>
  <c r="B7235" i="106"/>
  <c r="D7235" i="106" s="1"/>
  <c r="B3647" i="106"/>
  <c r="D3647" i="106" s="1"/>
  <c r="K41" i="3"/>
  <c r="J77" i="4"/>
  <c r="B6262" i="106" s="1"/>
  <c r="D6262" i="106" s="1"/>
  <c r="J22" i="37"/>
  <c r="D69" i="36"/>
  <c r="D68" i="36"/>
  <c r="J129" i="29"/>
  <c r="B7038" i="106" s="1"/>
  <c r="D7038" i="106" s="1"/>
  <c r="C342" i="29"/>
  <c r="B7216" i="106" s="1"/>
  <c r="D7216" i="106" s="1"/>
  <c r="I210" i="29"/>
  <c r="B7071" i="106" s="1"/>
  <c r="D7071" i="106" s="1"/>
  <c r="I129" i="29"/>
  <c r="B7037" i="106" s="1"/>
  <c r="D7037" i="106" s="1"/>
  <c r="H365" i="29"/>
  <c r="B7242" i="106" s="1"/>
  <c r="D7242" i="106" s="1"/>
  <c r="B1308" i="106"/>
  <c r="D1308" i="106" s="1"/>
  <c r="E174" i="29"/>
  <c r="B1309" i="106" s="1"/>
  <c r="D1309" i="106" s="1"/>
  <c r="C129" i="29"/>
  <c r="C151" i="29" s="1"/>
  <c r="B1226" i="106" s="1"/>
  <c r="D1226" i="106" s="1"/>
  <c r="H76" i="4"/>
  <c r="B3298" i="106" s="1"/>
  <c r="D3298" i="106" s="1"/>
  <c r="K76" i="4"/>
  <c r="B3586" i="106" s="1"/>
  <c r="D3586" i="106" s="1"/>
  <c r="F77" i="4"/>
  <c r="B3255" i="106" s="1"/>
  <c r="D3255" i="106" s="1"/>
  <c r="D54" i="36"/>
  <c r="J41" i="3"/>
  <c r="B6216" i="106" s="1"/>
  <c r="D6216"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2" i="3" l="1"/>
  <c r="B283" i="106" s="1"/>
  <c r="D283" i="106" s="1"/>
  <c r="K28" i="118"/>
  <c r="O27" i="118" s="1"/>
  <c r="O29" i="118" s="1"/>
  <c r="D41" i="108"/>
  <c r="E43" i="108" s="1"/>
  <c r="L16" i="11"/>
  <c r="B2061" i="106" s="1"/>
  <c r="D2061" i="106" s="1"/>
  <c r="F41" i="108"/>
  <c r="G43" i="108" s="1"/>
  <c r="B2031" i="106"/>
  <c r="D2031" i="106" s="1"/>
  <c r="D7255" i="106"/>
  <c r="B1996" i="106"/>
  <c r="D1996" i="106" s="1"/>
  <c r="I26" i="12"/>
  <c r="B7741" i="106" s="1"/>
  <c r="D7741" i="106" s="1"/>
  <c r="D7250" i="106"/>
  <c r="D7254" i="106"/>
  <c r="D7252" i="106"/>
  <c r="D7256" i="106"/>
  <c r="D7251" i="106"/>
  <c r="D7253" i="106"/>
  <c r="B1225" i="106"/>
  <c r="D1225" i="106" s="1"/>
  <c r="F66" i="34"/>
  <c r="D51" i="36"/>
  <c r="J16" i="4"/>
  <c r="B6226" i="106" s="1"/>
  <c r="D6226" i="106" s="1"/>
  <c r="B1266" i="106"/>
  <c r="D1266" i="106" s="1"/>
  <c r="F65" i="34"/>
  <c r="H77" i="4"/>
  <c r="B3299" i="106" s="1"/>
  <c r="D3299" i="106" s="1"/>
  <c r="J151" i="29"/>
  <c r="B7052" i="106" s="1"/>
  <c r="D7052" i="106" s="1"/>
  <c r="K365" i="29"/>
  <c r="K16" i="4" s="1"/>
  <c r="B4435" i="106"/>
  <c r="D4435" i="106" s="1"/>
  <c r="I151" i="29"/>
  <c r="F59" i="34" s="1"/>
  <c r="B1317" i="106"/>
  <c r="D1317" i="106" s="1"/>
  <c r="B1381" i="106"/>
  <c r="D1381" i="106" s="1"/>
  <c r="B1328" i="106"/>
  <c r="D1328" i="106" s="1"/>
  <c r="B3621" i="106"/>
  <c r="D3621" i="106" s="1"/>
  <c r="L114" i="29"/>
  <c r="G170" i="5"/>
  <c r="K342" i="29"/>
  <c r="F13" i="34" s="1"/>
  <c r="B3568" i="106"/>
  <c r="D3568" i="106" s="1"/>
  <c r="D52" i="36"/>
  <c r="K77" i="4"/>
  <c r="B3587" i="106" s="1"/>
  <c r="D3587" i="106" s="1"/>
  <c r="C114" i="29"/>
  <c r="B757" i="106" s="1"/>
  <c r="D757" i="106" s="1"/>
  <c r="B5527" i="106"/>
  <c r="D5527" i="106" s="1"/>
  <c r="F174" i="34"/>
  <c r="D44"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N23" i="3" l="1"/>
  <c r="B284" i="106" s="1"/>
  <c r="D284" i="106" s="1"/>
  <c r="K367" i="29"/>
  <c r="K368" i="29" s="1"/>
  <c r="B3681" i="106" s="1"/>
  <c r="D3681" i="106" s="1"/>
  <c r="B7243" i="106"/>
  <c r="D7243" i="106" s="1"/>
  <c r="B1145" i="106"/>
  <c r="D1145" i="106" s="1"/>
  <c r="B7051" i="106"/>
  <c r="D7051" i="106" s="1"/>
  <c r="B7224" i="106"/>
  <c r="D7224" i="106" s="1"/>
  <c r="B5778" i="106"/>
  <c r="D5778"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K17" i="4"/>
  <c r="B3575" i="106" s="1"/>
  <c r="D3575" i="106" s="1"/>
  <c r="J20" i="4"/>
  <c r="B6230" i="106" s="1"/>
  <c r="D6230" i="106" s="1"/>
  <c r="B6227" i="106"/>
  <c r="D6227"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K20" i="4"/>
  <c r="K78" i="4" s="1"/>
  <c r="K19" i="4"/>
  <c r="B4144" i="106" s="1"/>
  <c r="D4144" i="106"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6263" i="106" l="1"/>
  <c r="D6263" i="106" s="1"/>
  <c r="F175" i="34"/>
  <c r="F79" i="34"/>
  <c r="F8" i="146"/>
  <c r="B3576" i="106"/>
  <c r="D3576" i="10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<sst xmlns="http://schemas.openxmlformats.org/spreadsheetml/2006/main" count="5165" uniqueCount="2145">
  <si>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</si>
  <si>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</si>
  <si>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</si>
  <si>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</si>
  <si>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</si>
  <si>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</si>
  <si>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</si>
  <si>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</si>
  <si>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</si>
  <si>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</si>
  <si>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</si>
  <si>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</si>
  <si>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</si>
  <si>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</si>
  <si>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</si>
  <si>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</si>
  <si>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</si>
  <si>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</si>
  <si>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</si>
  <si>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</si>
  <si>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</si>
  <si>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</si>
  <si>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</si>
  <si>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</si>
  <si>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</si>
  <si>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</si>
  <si>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</si>
  <si>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</si>
  <si>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</si>
  <si>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</si>
  <si>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</si>
  <si>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</si>
  <si>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</si>
  <si>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</si>
  <si>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</si>
  <si>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</si>
  <si>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</si>
  <si>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</si>
  <si>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</si>
  <si>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</si>
  <si>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</si>
  <si>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</si>
  <si>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</si>
  <si>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</si>
  <si>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</si>
  <si>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</si>
  <si>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</si>
  <si>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</si>
  <si>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</si>
  <si>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</si>
  <si>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</si>
  <si>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</si>
  <si>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</si>
  <si>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</si>
  <si>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</si>
  <si>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</si>
  <si>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</si>
  <si>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</si>
  <si>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</si>
  <si>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</si>
  <si>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</si>
  <si>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</si>
  <si>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</si>
  <si>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</si>
  <si>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</si>
  <si>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</si>
  <si>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</si>
  <si>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</si>
  <si>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</si>
  <si>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</si>
  <si>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</si>
  <si>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</si>
  <si>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</si>
  <si>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</si>
  <si>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</si>
  <si>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</si>
  <si>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</si>
  <si>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</si>
  <si>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</si>
  <si>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</si>
  <si>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</si>
  <si>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</si>
  <si>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</si>
  <si>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</si>
  <si>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</si>
  <si>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</si>
  <si>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</si>
  <si>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</si>
  <si>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</si>
  <si>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</si>
  <si>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</si>
  <si>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</si>
  <si>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</si>
  <si>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</si>
  <si>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</si>
  <si>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</si>
  <si>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</si>
  <si>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</si>
  <si>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</si>
  <si>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</si>
  <si>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</si>
  <si>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</si>
  <si>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</si>
  <si>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</si>
  <si>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</si>
  <si>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</si>
  <si>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</si>
  <si>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</si>
  <si>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</si>
  <si>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</si>
  <si>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</si>
  <si>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</si>
  <si>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</si>
  <si>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</si>
  <si>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</si>
  <si>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</si>
  <si>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</si>
  <si>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</si>
  <si>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</si>
  <si>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</si>
  <si>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</si>
  <si>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</si>
  <si>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</si>
  <si>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</si>
  <si>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</si>
  <si>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</si>
  <si>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</si>
  <si>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</si>
  <si>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</si>
  <si>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</si>
  <si>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</si>
  <si>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</si>
  <si>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</si>
  <si>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</si>
  <si>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</si>
  <si>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</si>
  <si>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</si>
  <si>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</si>
  <si>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</si>
  <si>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</si>
  <si>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</si>
  <si>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</si>
  <si>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</si>
  <si>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</si>
  <si>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</si>
  <si>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</si>
  <si>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</si>
  <si>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</si>
  <si>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</si>
  <si>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</si>
  <si>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</si>
  <si>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</si>
  <si>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</si>
  <si>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</si>
  <si>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</si>
  <si>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</si>
  <si>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</si>
  <si>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</si>
  <si>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</si>
  <si>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</si>
  <si>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</si>
  <si>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</si>
  <si>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</si>
  <si>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</si>
  <si>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</si>
  <si>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</si>
  <si>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</si>
  <si>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</si>
  <si>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</si>
  <si>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</si>
  <si>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</si>
  <si>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</si>
  <si>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</si>
  <si>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</si>
  <si>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</si>
  <si>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</si>
  <si>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</si>
  <si>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</si>
  <si>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</si>
  <si>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</si>
  <si>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</si>
  <si>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</si>
  <si>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</si>
  <si>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</si>
  <si>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</si>
  <si>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</si>
  <si>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</si>
  <si>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</si>
  <si>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</si>
  <si>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</si>
  <si>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</si>
  <si>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</si>
  <si>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</si>
  <si>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</si>
  <si>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</si>
  <si>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</si>
  <si>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</si>
  <si>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</si>
  <si>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</si>
  <si>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</si>
  <si>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</si>
  <si>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</si>
  <si>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</si>
  <si>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</si>
  <si>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</si>
  <si>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</si>
  <si>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</si>
  <si>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</si>
  <si>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</si>
  <si>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</si>
  <si>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</si>
  <si>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</si>
  <si>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</si>
  <si>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</si>
  <si>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</si>
  <si>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</si>
  <si>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</si>
  <si>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</si>
  <si>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</si>
  <si>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</si>
  <si>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</si>
  <si>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</si>
  <si>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</si>
  <si>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</si>
  <si>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</si>
  <si>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</si>
  <si>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</si>
  <si>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</si>
  <si>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</si>
  <si>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</si>
  <si>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</si>
  <si>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</si>
  <si>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</si>
  <si>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</si>
  <si>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</si>
  <si>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</si>
  <si>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</si>
  <si>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</si>
  <si>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</si>
  <si>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</si>
  <si>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</si>
  <si>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</si>
  <si>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</si>
  <si>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</si>
  <si>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</si>
  <si>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</si>
  <si>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</si>
  <si>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</si>
  <si>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</si>
  <si>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</si>
  <si>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</si>
  <si>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</si>
  <si>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</si>
  <si>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</si>
  <si>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</si>
  <si>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</si>
  <si>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</si>
  <si>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</si>
  <si>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</si>
  <si>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</si>
  <si>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</si>
  <si>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</si>
  <si>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</si>
  <si>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</si>
  <si>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</si>
  <si>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</si>
  <si>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</si>
  <si>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</si>
  <si>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</si>
  <si>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</si>
  <si>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</si>
  <si>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</si>
  <si>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</si>
  <si>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</si>
  <si>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</si>
  <si>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</si>
  <si>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</si>
  <si>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</si>
  <si>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</si>
  <si>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</si>
  <si>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</si>
  <si>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</si>
  <si>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</si>
  <si>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</si>
  <si>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</si>
  <si>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</si>
  <si>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</si>
  <si>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</si>
  <si>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</si>
  <si>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</si>
  <si>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</si>
  <si>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</si>
  <si>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</si>
  <si>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</si>
  <si>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</si>
  <si>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</si>
  <si>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</si>
  <si>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</si>
  <si>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</si>
  <si>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</si>
  <si>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</si>
  <si>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</si>
  <si>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</si>
  <si>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</si>
  <si>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</si>
  <si>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</si>
  <si>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</si>
  <si>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</si>
  <si>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</si>
  <si>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</si>
  <si>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</si>
  <si>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</si>
  <si>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</si>
  <si>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</si>
  <si>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</si>
  <si>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</si>
  <si>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</si>
  <si>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</si>
  <si>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</si>
  <si>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</si>
  <si>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</si>
  <si>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</si>
  <si>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</si>
  <si>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</si>
  <si>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</si>
  <si>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</si>
  <si>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</si>
  <si>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</si>
  <si>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</si>
  <si>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</si>
  <si>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</si>
  <si>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</si>
  <si>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</si>
  <si>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</si>
  <si>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</si>
  <si>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</si>
  <si>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</si>
  <si>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</si>
  <si>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</si>
  <si>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</si>
  <si>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</si>
  <si>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</si>
  <si>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</si>
  <si>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</si>
  <si>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</si>
  <si>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</si>
  <si>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</si>
  <si>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</si>
  <si>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</si>
  <si>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</si>
  <si>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</si>
  <si>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</si>
  <si>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</si>
  <si>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</si>
  <si>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</si>
  <si>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</si>
  <si>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</si>
  <si>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</si>
  <si>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</si>
  <si>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</si>
  <si>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</si>
  <si>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</si>
  <si>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</si>
  <si>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</si>
  <si>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</si>
  <si>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</si>
  <si>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</si>
  <si>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</si>
  <si>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</si>
  <si>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</si>
  <si>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</si>
  <si>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</si>
  <si>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</si>
  <si>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</si>
  <si>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</si>
  <si>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</si>
  <si>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</si>
  <si>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</si>
  <si>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</si>
  <si>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</si>
  <si>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</si>
  <si>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</si>
  <si>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</si>
  <si>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</si>
  <si>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</si>
  <si>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</si>
  <si>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</si>
  <si>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</si>
  <si>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</si>
  <si>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</si>
  <si>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</si>
  <si>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</si>
  <si>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</si>
  <si>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</si>
  <si>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</si>
  <si>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</si>
  <si>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</si>
  <si>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</si>
  <si>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</si>
  <si>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</si>
  <si>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</si>
  <si>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</si>
  <si>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</si>
  <si>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</si>
  <si>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</si>
  <si>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</si>
  <si>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</si>
  <si>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</si>
  <si>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</si>
  <si>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</si>
  <si>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</si>
  <si>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</si>
  <si>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</si>
  <si>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</si>
  <si>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</si>
  <si>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</si>
  <si>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</si>
  <si>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</si>
  <si>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</si>
  <si>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</si>
  <si>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</si>
  <si>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</si>
  <si>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</si>
  <si>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</si>
  <si>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</si>
  <si>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</si>
  <si>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</si>
  <si>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</si>
  <si>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</si>
  <si>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</si>
  <si>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</si>
  <si>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</si>
  <si>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</si>
  <si>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</si>
  <si>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</si>
  <si>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</si>
  <si>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</si>
  <si>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</si>
  <si>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</si>
  <si>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</si>
  <si>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</si>
  <si>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</si>
  <si>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</si>
  <si>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</si>
  <si>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</si>
  <si>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</si>
  <si>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</si>
  <si>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</si>
  <si>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</si>
  <si>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</si>
  <si>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</si>
  <si>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</si>
  <si>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</si>
  <si>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</si>
  <si>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</si>
  <si>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</si>
  <si>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</si>
  <si>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</si>
  <si>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</si>
  <si>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</si>
  <si>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</si>
  <si>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</si>
  <si>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</si>
  <si>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</si>
  <si>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</si>
  <si>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</si>
  <si>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</si>
  <si>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</si>
  <si>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</si>
  <si>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</si>
  <si>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</si>
  <si>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</si>
  <si>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</si>
  <si>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</si>
  <si>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</si>
  <si>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</si>
  <si>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</si>
  <si>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</si>
  <si>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</si>
  <si>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</si>
  <si>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</si>
  <si>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</si>
  <si>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</si>
  <si>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</si>
  <si>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</si>
  <si>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</si>
  <si>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</si>
  <si>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</si>
  <si>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</si>
  <si>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</si>
  <si>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</si>
  <si>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</si>
  <si>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</si>
  <si>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</si>
  <si>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</si>
  <si>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</si>
  <si>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</si>
  <si>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</si>
  <si>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</si>
  <si>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</si>
  <si>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</si>
  <si>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</si>
  <si>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</si>
  <si>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</si>
  <si>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</si>
  <si>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</si>
  <si>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</si>
  <si>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</si>
  <si>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</si>
  <si>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</si>
  <si>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</si>
  <si>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</si>
  <si>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</si>
  <si>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</si>
  <si>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</si>
  <si>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</si>
  <si>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</si>
  <si>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</si>
  <si>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</si>
  <si>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</si>
  <si>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</si>
  <si>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</si>
  <si>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</si>
  <si>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</si>
  <si>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</si>
  <si>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</si>
  <si>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</si>
  <si>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</si>
  <si>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</si>
  <si>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</si>
  <si>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</si>
  <si>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</si>
  <si>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</si>
  <si>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</si>
  <si>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</si>
  <si>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</si>
  <si>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</si>
  <si>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</si>
  <si>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</si>
  <si>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</si>
  <si>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</si>
  <si>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</si>
  <si>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</si>
  <si>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</si>
  <si>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</si>
  <si>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</si>
  <si>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</si>
  <si>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</si>
  <si>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</si>
  <si>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</si>
  <si>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</si>
  <si>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</si>
  <si>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</si>
  <si>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</si>
  <si>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</si>
  <si>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</si>
  <si>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</si>
  <si>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</si>
  <si>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</si>
  <si>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</si>
  <si>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</si>
  <si>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</si>
  <si>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</si>
  <si>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</si>
  <si>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</si>
  <si>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</si>
  <si>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</si>
  <si>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</si>
  <si>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</si>
  <si>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</si>
  <si>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</si>
  <si>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</si>
  <si>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</si>
  <si>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</si>
  <si>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</si>
  <si>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</si>
  <si>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</si>
  <si>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</si>
  <si>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</si>
  <si>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</si>
  <si>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</si>
  <si>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</si>
  <si>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</si>
  <si>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</si>
  <si>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</si>
  <si>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</si>
  <si>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</si>
  <si>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</si>
  <si>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</si>
  <si>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</si>
  <si>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</si>
  <si>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</si>
  <si>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</si>
  <si>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</si>
  <si>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</si>
  <si>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</si>
  <si>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</si>
  <si>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</si>
  <si>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</si>
  <si>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</si>
  <si>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</si>
  <si>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</si>
  <si>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</si>
  <si>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</si>
  <si>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</si>
  <si>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</si>
  <si>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</si>
  <si>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</si>
  <si>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</si>
  <si>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</si>
  <si>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</si>
  <si>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</si>
  <si>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</si>
  <si>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</si>
  <si>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</si>
  <si>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</si>
  <si>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</si>
  <si>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</si>
  <si>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</si>
  <si>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</si>
  <si>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</si>
  <si>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</si>
  <si>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</si>
  <si>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</si>
  <si>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</si>
  <si>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</si>
  <si>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</si>
  <si>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</si>
  <si>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</si>
  <si>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</si>
  <si>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</si>
  <si>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</si>
  <si>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</si>
  <si>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</si>
  <si>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</si>
  <si>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</si>
  <si>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</si>
  <si>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</si>
  <si>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</si>
  <si>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</si>
  <si>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</si>
  <si>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</si>
  <si>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</si>
  <si>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</si>
  <si>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</si>
  <si>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</si>
  <si>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</si>
  <si>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</si>
  <si>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</si>
  <si>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</si>
  <si>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</si>
  <si>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</si>
  <si>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</si>
  <si>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</si>
  <si>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</si>
  <si>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</si>
  <si>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</si>
  <si>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</si>
  <si>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</si>
  <si>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</si>
  <si>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</si>
  <si>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</si>
  <si>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</si>
  <si>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</si>
  <si>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</si>
  <si>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</si>
  <si>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</si>
  <si>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</si>
  <si>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</si>
  <si>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</si>
  <si>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</si>
  <si>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</si>
  <si>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</si>
  <si>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</si>
  <si>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</si>
  <si>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</si>
  <si>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</si>
  <si>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</si>
  <si>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</si>
  <si>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</si>
  <si>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</si>
  <si>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</si>
  <si>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</si>
  <si>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</si>
  <si>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</si>
  <si>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</si>
  <si>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</si>
  <si>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</si>
  <si>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</si>
  <si>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</si>
  <si>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</si>
  <si>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</si>
  <si>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</si>
  <si>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</si>
  <si>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</si>
  <si>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</si>
  <si>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</si>
  <si>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</si>
  <si>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</si>
  <si>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</si>
  <si>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</si>
  <si>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</si>
  <si>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</si>
  <si>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</si>
  <si>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</si>
  <si>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</si>
  <si>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</si>
  <si>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</si>
  <si>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</si>
  <si>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</si>
  <si>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</si>
  <si>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</si>
  <si>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</si>
  <si>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</si>
  <si>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</si>
  <si>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</si>
  <si>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</si>
  <si>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</si>
  <si>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</si>
  <si>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</si>
  <si>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</si>
  <si>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</si>
  <si>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</si>
  <si>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</si>
  <si>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</si>
  <si>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</si>
  <si>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</si>
  <si>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</si>
  <si>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</si>
  <si>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</si>
  <si>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</si>
  <si>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</si>
  <si>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</si>
  <si>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</si>
  <si>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</si>
  <si>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</si>
  <si>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</si>
  <si>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</si>
  <si>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</si>
  <si>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</si>
  <si>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</si>
  <si>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</si>
  <si>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</si>
  <si>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</si>
  <si>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</si>
  <si>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</si>
  <si>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</si>
  <si>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</si>
  <si>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</si>
  <si>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</si>
  <si>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</si>
  <si>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</si>
  <si>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</si>
  <si>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</si>
  <si>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</si>
  <si>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</si>
  <si>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</si>
  <si>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</si>
  <si>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</si>
  <si>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</si>
  <si>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</si>
  <si>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</si>
  <si>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</si>
  <si>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</si>
  <si>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</si>
  <si>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</si>
  <si>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</si>
  <si>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</si>
  <si>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</si>
  <si>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</si>
  <si>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</si>
  <si>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</si>
  <si>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</si>
  <si>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</si>
  <si>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</si>
  <si>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</si>
  <si>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</si>
  <si>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</si>
  <si>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</si>
  <si>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</si>
  <si>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</si>
  <si>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</si>
  <si>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</si>
  <si>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</si>
  <si>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</si>
  <si>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</si>
  <si>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</si>
  <si>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</si>
  <si>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</si>
  <si>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</si>
  <si>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</si>
  <si>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</si>
  <si>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</si>
  <si>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</si>
  <si>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</si>
  <si>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</si>
  <si>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</si>
  <si>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</si>
  <si>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</si>
  <si>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</si>
  <si>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</si>
  <si>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</si>
  <si>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</si>
  <si>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</si>
  <si>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</si>
  <si>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</si>
  <si>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</si>
  <si>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</si>
  <si>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</si>
  <si>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</si>
  <si>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</si>
  <si>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</si>
  <si>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</si>
  <si>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</si>
  <si>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</si>
  <si>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</si>
  <si>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</si>
  <si>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</si>
  <si>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</si>
  <si>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</si>
  <si>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</si>
  <si>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</si>
  <si>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</si>
  <si>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</si>
  <si>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</si>
  <si>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</si>
  <si>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</si>
  <si>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</si>
  <si>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</si>
  <si>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</si>
  <si>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</si>
  <si>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</si>
  <si>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</si>
  <si>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</si>
  <si>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</si>
  <si>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</si>
  <si>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</si>
  <si>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</si>
  <si>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</si>
  <si>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</si>
  <si>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</si>
  <si>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</si>
  <si>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</si>
  <si>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</si>
  <si>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</si>
  <si>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</si>
  <si>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</si>
  <si>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</si>
  <si>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</si>
  <si>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</si>
  <si>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</si>
  <si>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</si>
  <si>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</si>
  <si>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</si>
  <si>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</si>
  <si>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</si>
  <si>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</si>
  <si>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</si>
  <si>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</si>
  <si>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</si>
  <si>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</si>
  <si>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</si>
  <si>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</si>
  <si>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</si>
  <si>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</si>
  <si>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</si>
  <si>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</si>
  <si>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</si>
  <si>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</si>
  <si>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</si>
  <si>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</si>
  <si>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</si>
  <si>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</si>
  <si>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</si>
  <si>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</si>
  <si>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</si>
  <si>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</si>
  <si>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</si>
  <si>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</si>
  <si>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</si>
  <si>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</si>
  <si>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</si>
  <si>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</si>
  <si>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</si>
  <si>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</si>
  <si>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</si>
  <si>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</si>
  <si>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</si>
  <si>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</si>
  <si>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</si>
  <si>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</si>
  <si>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</si>
  <si>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</si>
  <si>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</si>
  <si>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</si>
  <si>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</si>
  <si>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</si>
  <si>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</si>
  <si>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</si>
  <si>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</si>
  <si>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</si>
  <si>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</si>
  <si>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</si>
  <si>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</si>
  <si>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</si>
  <si>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</si>
  <si>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</si>
  <si>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</si>
  <si>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</si>
  <si>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</si>
  <si>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</si>
  <si>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</si>
  <si>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</si>
  <si>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</si>
  <si>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</si>
  <si>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</si>
  <si>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</si>
  <si>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</si>
  <si>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</si>
  <si>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</si>
  <si>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</si>
  <si>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</si>
  <si>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</si>
  <si>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</si>
  <si>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</si>
  <si>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</si>
  <si>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</si>
  <si>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</si>
  <si>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</si>
  <si>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</si>
  <si>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</si>
  <si>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</si>
  <si>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</si>
  <si>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</si>
  <si>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</si>
  <si>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</si>
  <si>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</si>
  <si>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</si>
  <si>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</si>
  <si>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</si>
  <si>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</si>
  <si>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</si>
  <si>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</si>
  <si>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</si>
  <si>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</si>
  <si>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</si>
  <si>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</si>
  <si>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</si>
  <si>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</si>
  <si>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</si>
  <si>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</si>
  <si>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</si>
  <si>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</si>
  <si>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</si>
  <si>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</si>
  <si>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</si>
  <si>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</si>
  <si>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</si>
  <si>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</si>
  <si>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</si>
  <si>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</si>
  <si>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</si>
  <si>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</si>
  <si>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</si>
  <si>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</si>
  <si>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</si>
  <si>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</si>
  <si>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</si>
  <si>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</si>
  <si>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</si>
  <si>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</si>
  <si>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</si>
  <si>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</si>
  <si>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</si>
  <si>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</si>
  <si>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</si>
  <si>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</si>
  <si>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</si>
  <si>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</si>
  <si>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</si>
  <si>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</si>
  <si>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</si>
  <si>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</si>
  <si>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</si>
  <si>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</si>
  <si>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</si>
  <si>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</si>
  <si>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</si>
  <si>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</si>
  <si>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</si>
  <si>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</si>
  <si>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</si>
  <si>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</si>
  <si>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</si>
  <si>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</si>
  <si>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</si>
  <si>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</si>
  <si>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</si>
  <si>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</si>
  <si>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</si>
  <si>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</si>
  <si>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</si>
  <si>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</si>
  <si>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</si>
  <si>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</si>
  <si>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</si>
  <si>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</si>
  <si>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</si>
  <si>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</si>
  <si>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</si>
  <si>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</si>
  <si>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</si>
  <si>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</si>
  <si>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</si>
  <si>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</si>
  <si>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</si>
  <si>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</si>
  <si>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</si>
  <si>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</si>
  <si>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</si>
  <si>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</si>
  <si>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</si>
  <si>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</si>
  <si>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</si>
  <si>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</si>
  <si>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</si>
  <si>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</si>
  <si>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</si>
  <si>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</si>
  <si>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</si>
  <si>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</si>
  <si>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</si>
  <si>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</si>
  <si>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</si>
  <si>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</si>
  <si>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</si>
  <si>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</si>
  <si>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</si>
  <si>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</si>
  <si>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</si>
  <si>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</si>
  <si>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</si>
  <si>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</si>
  <si>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</si>
  <si>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</si>
  <si>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</si>
  <si>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</si>
  <si>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</si>
  <si>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</si>
  <si>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</si>
  <si>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</si>
  <si>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</si>
  <si>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</si>
  <si>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</si>
  <si>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</si>
  <si>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</si>
  <si>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</si>
  <si>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</si>
  <si>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</si>
  <si>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</si>
  <si>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</si>
  <si>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</si>
  <si>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</si>
  <si>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</si>
  <si>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</si>
  <si>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</si>
  <si>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</si>
  <si>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</si>
  <si>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</si>
  <si>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</si>
  <si>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</si>
  <si>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</si>
  <si>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</si>
  <si>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</si>
  <si>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</si>
  <si>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</si>
  <si>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</si>
  <si>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</si>
  <si>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</si>
  <si>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</si>
  <si>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</si>
  <si>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</si>
  <si>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</si>
  <si>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</si>
  <si>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</si>
  <si>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</si>
  <si>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</si>
  <si>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</si>
  <si>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</si>
  <si>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</si>
  <si>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</si>
  <si>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</si>
  <si>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</si>
  <si>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</si>
  <si>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</si>
  <si>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</si>
  <si>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</si>
  <si>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</si>
  <si>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</si>
  <si>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</si>
  <si>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</si>
  <si>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</si>
  <si>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</si>
  <si>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</si>
  <si>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</si>
  <si>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</si>
  <si>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</si>
  <si>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</si>
  <si>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</si>
  <si>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</si>
  <si>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</si>
  <si>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</si>
  <si>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</si>
  <si>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</si>
  <si>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</si>
  <si>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</si>
  <si>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</si>
  <si>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</si>
  <si>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</si>
  <si>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</si>
  <si>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</si>
  <si>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</si>
  <si>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</si>
  <si>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</si>
  <si>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</si>
  <si>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</si>
  <si>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</si>
  <si>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</si>
  <si>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</si>
  <si>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</si>
  <si>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</si>
  <si>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</si>
  <si>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</si>
  <si>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</si>
  <si>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</si>
  <si>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</si>
  <si>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</si>
  <si>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</si>
  <si>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</si>
  <si>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</si>
  <si>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</si>
  <si>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</si>
  <si>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</si>
  <si>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</si>
  <si>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</si>
  <si>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</si>
  <si>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</si>
  <si>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</si>
  <si>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</si>
  <si>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</si>
  <si>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</si>
  <si>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</si>
  <si>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</si>
  <si>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</si>
  <si>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</si>
  <si>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</si>
  <si>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</si>
  <si>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</si>
  <si>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</si>
  <si>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</si>
  <si>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</si>
  <si>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</si>
  <si>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</si>
  <si>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</si>
  <si>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</si>
  <si>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</si>
  <si>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</si>
  <si>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</si>
  <si>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</si>
  <si>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</si>
  <si>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</si>
  <si>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</si>
  <si>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</si>
  <si>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</si>
  <si>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</si>
  <si>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</si>
  <si>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</si>
  <si>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</si>
  <si>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</si>
  <si>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</si>
  <si>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</si>
  <si>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</si>
  <si>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</si>
  <si>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</si>
  <si>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</si>
  <si>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</si>
  <si>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</si>
  <si>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</si>
  <si>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</si>
  <si>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</si>
  <si>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</si>
  <si>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</si>
  <si>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</si>
  <si>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</si>
  <si>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</si>
  <si>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</si>
  <si>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</si>
  <si>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</si>
  <si>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</si>
  <si>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</si>
  <si>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</si>
  <si>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</si>
  <si>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</si>
  <si>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</si>
  <si>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</si>
  <si>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</si>
  <si>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</si>
  <si>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</si>
  <si>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</si>
  <si>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</si>
  <si>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</si>
  <si>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</si>
  <si>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</si>
  <si>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</si>
  <si>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</si>
  <si>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</si>
  <si>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</si>
  <si>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</si>
  <si>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</si>
  <si>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</si>
  <si>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</si>
  <si>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</si>
  <si>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</si>
  <si>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</si>
  <si>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</si>
  <si>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</si>
  <si>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</si>
  <si>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</si>
  <si>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</si>
  <si>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</si>
  <si>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</si>
  <si>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</si>
  <si>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</si>
  <si>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</si>
  <si>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</si>
  <si>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</si>
  <si>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</si>
  <si>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</si>
  <si>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</si>
  <si>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</si>
  <si>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</si>
  <si>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</si>
  <si>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</si>
  <si>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</si>
  <si>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</si>
  <si>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</si>
  <si>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</si>
  <si>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</si>
  <si>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</si>
  <si>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</si>
  <si>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</si>
  <si>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</si>
  <si>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</si>
  <si>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</si>
  <si>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</si>
  <si>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</si>
  <si>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</si>
  <si>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</si>
  <si>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</si>
  <si>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</si>
  <si>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</si>
  <si>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</si>
  <si>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</si>
  <si>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</si>
  <si>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</si>
  <si>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</si>
  <si>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</si>
  <si>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</si>
  <si>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</si>
  <si>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</si>
  <si>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</si>
  <si>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</si>
  <si>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</si>
  <si>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</si>
  <si>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</si>
  <si>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</si>
  <si>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</si>
  <si>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</si>
  <si>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</si>
  <si>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</si>
  <si>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</si>
  <si>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</si>
  <si>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</si>
  <si>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</si>
  <si>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</si>
  <si>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</si>
  <si>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</si>
  <si>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</si>
  <si>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</si>
  <si>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</si>
  <si>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</si>
  <si>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</si>
  <si>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</si>
  <si>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</si>
  <si>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</si>
  <si>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</si>
  <si>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</si>
  <si>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</si>
  <si>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</si>
  <si>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</si>
  <si>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</si>
  <si>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</si>
  <si>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</si>
  <si>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</si>
  <si>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</si>
  <si>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</si>
  <si>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</si>
  <si>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</si>
  <si>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</si>
  <si>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</si>
  <si>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</si>
  <si>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</si>
  <si>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</si>
  <si>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</si>
  <si>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</si>
  <si>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</si>
  <si>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</si>
  <si>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</si>
  <si>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</si>
  <si>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</si>
  <si>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</si>
  <si>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</si>
  <si>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</si>
  <si>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</si>
  <si>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</si>
  <si>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</si>
  <si>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</si>
  <si>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</si>
  <si>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</si>
  <si>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</si>
  <si>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</si>
  <si>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</si>
  <si>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</si>
  <si>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</si>
  <si>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</si>
  <si>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</si>
  <si>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</si>
  <si>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</si>
  <si>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</si>
  <si>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</si>
  <si>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</si>
  <si>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</si>
  <si>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</si>
  <si>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</si>
  <si>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</si>
  <si>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</si>
  <si>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</si>
  <si>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</si>
  <si>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</si>
  <si>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</si>
  <si>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</si>
  <si>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</si>
  <si>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</si>
  <si>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</si>
  <si>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</si>
  <si>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</si>
  <si>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</si>
  <si>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</si>
  <si>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</si>
  <si>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</si>
  <si>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</si>
  <si>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</si>
  <si>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</si>
  <si>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</si>
  <si>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</si>
  <si>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</si>
  <si>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</si>
  <si>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</si>
  <si>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</si>
  <si>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</si>
  <si>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</si>
  <si>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</si>
  <si>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</si>
  <si>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</si>
  <si>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</si>
  <si>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</si>
  <si>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</si>
  <si>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</si>
  <si>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</si>
  <si>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</si>
  <si>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</si>
  <si>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</si>
  <si>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</si>
  <si>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</si>
  <si>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</si>
  <si>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</si>
  <si>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</si>
  <si>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</si>
  <si>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</si>
  <si>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</si>
  <si>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</si>
  <si>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</si>
  <si>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</si>
  <si>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</si>
  <si>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</si>
  <si>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</si>
  <si>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</si>
  <si>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</si>
  <si>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</si>
  <si>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</si>
  <si>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</si>
  <si>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</si>
  <si>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</si>
  <si>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</si>
  <si>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</si>
  <si>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</si>
  <si>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</si>
  <si>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</si>
  <si>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</si>
  <si>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</si>
  <si>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</si>
  <si>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</si>
  <si>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</si>
  <si>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</si>
  <si>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</si>
  <si>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</si>
  <si>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</si>
  <si>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</si>
  <si>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</si>
  <si>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</si>
  <si>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</si>
  <si>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</si>
  <si>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</si>
  <si>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</si>
  <si>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</si>
  <si>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</si>
  <si>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</si>
  <si>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</si>
  <si>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</si>
  <si>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</si>
  <si>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</si>
  <si>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</si>
  <si>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</si>
  <si>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</si>
  <si>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</si>
  <si>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</si>
  <si>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</si>
  <si>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</si>
  <si>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</si>
  <si>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</si>
  <si>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</si>
  <si>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</si>
  <si>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</si>
  <si>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</si>
  <si>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</si>
  <si>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</si>
  <si>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</si>
  <si>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</si>
  <si>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</si>
  <si>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</si>
  <si>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</si>
  <si>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</si>
  <si>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</si>
  <si>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</si>
  <si>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</si>
  <si>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</si>
  <si>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</si>
  <si>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</si>
  <si>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</si>
  <si>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</si>
  <si>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</si>
  <si>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</si>
  <si>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</si>
  <si>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</si>
  <si>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</si>
  <si>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</si>
  <si>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</si>
  <si>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</si>
  <si>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</si>
  <si>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</si>
  <si>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</si>
  <si>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</si>
  <si>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</si>
  <si>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</si>
  <si>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</si>
  <si>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</si>
  <si>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</si>
  <si>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</si>
  <si>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</si>
  <si>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</si>
  <si>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</si>
  <si>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</si>
  <si>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</si>
  <si>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</si>
  <si>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</si>
  <si>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</si>
  <si>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</si>
  <si>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</si>
  <si>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</si>
  <si>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</si>
  <si>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</si>
  <si>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</si>
  <si>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</si>
  <si>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</si>
  <si>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</si>
  <si>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</si>
  <si>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</si>
  <si>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</si>
  <si>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</si>
  <si>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</si>
  <si>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</si>
  <si>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</si>
  <si>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</si>
  <si>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</si>
  <si>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</si>
  <si>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</si>
  <si>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</si>
  <si>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</si>
  <si>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</si>
  <si>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</si>
  <si>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</si>
  <si>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</si>
  <si>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</si>
  <si>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</si>
  <si>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</si>
  <si>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</si>
  <si>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</si>
  <si>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</si>
  <si>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</si>
  <si>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</si>
  <si>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</si>
  <si>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</si>
  <si>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</si>
  <si>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</si>
  <si>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</si>
  <si>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</si>
  <si>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</si>
  <si>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</si>
  <si>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</si>
  <si>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</si>
  <si>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</si>
  <si>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</si>
  <si>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</si>
  <si>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</si>
  <si>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</si>
  <si>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</si>
  <si>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</si>
  <si>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</si>
  <si>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</si>
  <si>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</si>
  <si>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</si>
  <si>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</si>
  <si>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</si>
  <si>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</si>
  <si>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</si>
  <si>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</si>
  <si>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</si>
  <si>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</si>
  <si>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</si>
  <si>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</si>
  <si>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</si>
  <si>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</si>
  <si>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</si>
  <si>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</si>
  <si>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</si>
  <si>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</si>
  <si>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</si>
  <si>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</si>
  <si>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</si>
  <si>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</si>
  <si>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</si>
  <si>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</si>
  <si>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</si>
  <si>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</si>
  <si>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</si>
  <si>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</si>
  <si>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</si>
  <si>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</si>
  <si>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</si>
  <si>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</si>
  <si>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</si>
  <si>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</si>
  <si>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</si>
  <si>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</si>
  <si>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</si>
  <si>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</si>
  <si>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</si>
  <si>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</si>
  <si>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</si>
  <si>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</si>
  <si>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</si>
  <si>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</si>
  <si>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</si>
  <si>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</si>
  <si>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</si>
  <si>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</si>
  <si>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</si>
  <si>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</si>
  <si>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</si>
  <si>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</si>
  <si>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</si>
  <si>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</si>
  <si>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</si>
  <si>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</si>
  <si>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</si>
  <si>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</si>
  <si>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</si>
  <si>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</si>
  <si>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</si>
  <si>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</si>
  <si>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</si>
  <si>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</si>
  <si>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</si>
  <si>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</si>
  <si>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</si>
  <si>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</si>
  <si>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</si>
  <si>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</si>
  <si>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</si>
  <si>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</si>
  <si>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</si>
  <si>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</si>
  <si>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</si>
  <si>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</si>
  <si>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</si>
  <si>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</si>
  <si>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</si>
  <si>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</si>
  <si>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</si>
  <si>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</si>
  <si>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</si>
  <si>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</si>
  <si>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</si>
  <si>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</si>
  <si>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</si>
  <si>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</si>
  <si>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</si>
  <si>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</si>
  <si>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</si>
  <si>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</si>
  <si>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</si>
  <si>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</si>
  <si>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</si>
  <si>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</si>
  <si>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</si>
  <si>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</si>
  <si>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</si>
  <si>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</si>
  <si>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</si>
  <si>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</si>
  <si>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</si>
  <si>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</si>
  <si>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</si>
  <si>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</si>
  <si>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</si>
  <si>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</si>
  <si>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</si>
  <si>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</si>
  <si>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</si>
  <si>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</si>
  <si>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</si>
  <si>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</si>
  <si>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</si>
  <si>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</si>
  <si>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</si>
  <si>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</si>
  <si>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</si>
  <si>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</si>
  <si>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</si>
  <si>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</si>
  <si>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</si>
  <si>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</si>
  <si>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</si>
  <si>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</si>
  <si>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</si>
  <si>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</si>
  <si>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</si>
  <si>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</si>
  <si>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</si>
  <si>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</si>
  <si>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</si>
  <si>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</si>
  <si>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</si>
  <si>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</si>
  <si>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</si>
  <si>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</si>
  <si>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</si>
  <si>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</si>
  <si>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</si>
  <si>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</si>
  <si>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</si>
  <si>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</si>
  <si>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</si>
  <si>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</si>
  <si>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</si>
  <si>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</si>
  <si>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</si>
  <si>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</si>
  <si>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</si>
  <si>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</si>
  <si>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</si>
  <si>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</si>
  <si>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</si>
  <si>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</si>
  <si>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</si>
  <si>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</si>
  <si>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</si>
  <si>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</si>
  <si>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</si>
  <si>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</si>
  <si>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</si>
  <si>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</si>
  <si>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</si>
  <si>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</si>
  <si>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</si>
  <si>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</si>
  <si>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</si>
  <si>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</si>
  <si>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</si>
  <si>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</si>
  <si>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</si>
  <si>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</si>
  <si>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</si>
  <si>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</si>
  <si>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</si>
  <si>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</si>
  <si>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</si>
  <si>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</si>
  <si>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</si>
  <si>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</si>
  <si>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</si>
  <si>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</si>
  <si>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</si>
  <si>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</si>
  <si>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</si>
  <si>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</si>
  <si>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</si>
  <si>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</si>
  <si>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</si>
  <si>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</si>
  <si>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</si>
  <si>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</si>
  <si>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</si>
  <si>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</si>
  <si>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</si>
  <si>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</si>
  <si>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</si>
  <si>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</si>
  <si>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</si>
  <si>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</si>
  <si>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</si>
  <si>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</si>
  <si>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</si>
  <si>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</si>
  <si>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</si>
  <si>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</si>
  <si>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</si>
  <si>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</si>
  <si>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</si>
  <si>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</si>
  <si>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</si>
  <si>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</si>
  <si>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</si>
  <si>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</si>
  <si>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</si>
  <si>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</si>
  <si>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</si>
  <si>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</si>
  <si>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</si>
  <si>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</si>
  <si>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</si>
  <si>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</si>
  <si>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</si>
  <si>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</si>
  <si>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</si>
  <si>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</si>
  <si>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</si>
  <si>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</si>
  <si>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</si>
  <si>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</si>
  <si>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</si>
  <si>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</si>
  <si>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</si>
  <si>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</si>
  <si>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</si>
  <si>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</si>
  <si>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</si>
  <si>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</si>
  <si>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</si>
  <si>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</si>
  <si>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</si>
  <si>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</si>
  <si>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</si>
  <si>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</si>
  <si>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</si>
  <si>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</si>
  <si>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</si>
  <si>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</si>
  <si>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</si>
  <si>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</si>
  <si>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</si>
  <si>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</si>
  <si>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</si>
  <si>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</si>
  <si>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</si>
  <si>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</si>
  <si>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</si>
  <si>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</si>
  <si>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</si>
  <si>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</si>
  <si>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</si>
  <si>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</si>
  <si>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</si>
  <si>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</si>
  <si>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</si>
  <si>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</si>
  <si>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</si>
  <si>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</si>
  <si>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</si>
  <si>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</si>
  <si>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</si>
  <si>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</si>
  <si>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</si>
  <si>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</si>
  <si>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</si>
  <si>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</si>
  <si>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</si>
  <si>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</si>
  <si>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</si>
  <si>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</si>
  <si>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</si>
  <si>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</si>
  <si>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</si>
  <si>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</si>
  <si>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</si>
  <si>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</si>
  <si>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</si>
  <si>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</si>
  <si>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</si>
  <si>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</si>
  <si>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</si>
  <si>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</si>
  <si>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</si>
  <si>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</si>
  <si>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</si>
  <si>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</si>
  <si>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</si>
  <si>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</si>
  <si>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</si>
  <si>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</si>
  <si>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</si>
  <si>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</si>
  <si>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</si>
  <si>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</si>
  <si>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</si>
  <si>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</si>
  <si>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</si>
  <si>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</si>
  <si>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</si>
  <si>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</si>
  <si>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</si>
  <si>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</si>
  <si>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</si>
  <si>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</si>
  <si>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</si>
  <si>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</si>
  <si>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</si>
  <si>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</si>
  <si>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</si>
  <si>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</si>
  <si>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</si>
  <si>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</si>
  <si>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</si>
  <si>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</si>
  <si>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</si>
  <si>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</si>
  <si>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</si>
  <si>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</si>
  <si>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</si>
  <si>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</si>
  <si>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</si>
  <si>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</si>
  <si>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</si>
  <si>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</si>
  <si>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</si>
  <si>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</si>
  <si>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</si>
  <si>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</si>
  <si>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</si>
  <si>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</si>
  <si>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</si>
  <si>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</si>
  <si>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</si>
  <si>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</si>
  <si>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</si>
  <si>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</si>
  <si>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</si>
  <si>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</si>
  <si>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</si>
  <si>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</si>
  <si>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</si>
  <si>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</si>
  <si>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</si>
  <si>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</si>
  <si>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</si>
  <si>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</si>
  <si>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</si>
  <si>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</si>
  <si>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</si>
  <si>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</si>
  <si>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</si>
  <si>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</si>
  <si>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</si>
  <si>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</si>
  <si>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</si>
  <si>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</si>
  <si>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</si>
  <si>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</si>
  <si>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</si>
  <si>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</si>
  <si>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</si>
  <si>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</si>
  <si>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</si>
  <si>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</si>
  <si>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</si>
  <si>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</si>
  <si>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</si>
  <si>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</si>
  <si>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</si>
  <si>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</si>
  <si>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</si>
  <si>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</si>
  <si>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</si>
  <si>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</si>
  <si>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</si>
  <si>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</si>
  <si>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</si>
  <si>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</si>
  <si>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</si>
  <si>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</si>
  <si>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</si>
  <si>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</si>
  <si>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</si>
  <si>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</si>
  <si>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</si>
  <si>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</si>
  <si>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</si>
  <si>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</si>
  <si>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</si>
  <si>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</si>
  <si>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</si>
  <si>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</si>
  <si>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</si>
  <si>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</si>
  <si>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</si>
  <si>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</si>
  <si>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</si>
  <si>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</si>
  <si>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</si>
  <si>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</si>
  <si>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</si>
  <si>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</si>
  <si>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</si>
  <si>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</si>
  <si>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</si>
  <si>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</si>
  <si>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</si>
  <si>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</si>
  <si>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</si>
  <si>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</si>
  <si>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</si>
  <si>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</si>
  <si>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</si>
  <si>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</si>
  <si>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</si>
  <si>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</si>
  <si>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</si>
  <si>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</si>
  <si>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</si>
  <si>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</si>
  <si>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</si>
  <si>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</si>
  <si>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</si>
  <si>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</si>
  <si>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</si>
  <si>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</si>
  <si>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</si>
  <si>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</si>
  <si>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</si>
  <si>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</si>
  <si>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</si>
  <si>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</si>
  <si>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</si>
  <si>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</si>
  <si>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</si>
  <si>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</si>
  <si>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</si>
  <si>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</si>
  <si>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</si>
  <si>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</si>
  <si>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</si>
  <si>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</si>
  <si>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</si>
  <si>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</si>
  <si>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</si>
  <si>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</si>
  <si>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</si>
  <si>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</si>
  <si>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</si>
  <si>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</si>
  <si>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</si>
  <si>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</si>
  <si>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</si>
  <si>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</si>
  <si>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</si>
  <si>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</si>
  <si>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</si>
  <si>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</si>
  <si>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</si>
  <si>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</si>
  <si>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</si>
  <si>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</si>
  <si>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</si>
  <si>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</si>
  <si>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</si>
  <si>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</si>
  <si>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</si>
  <si>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</si>
  <si>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</si>
  <si>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</si>
  <si>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</si>
  <si>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</si>
  <si>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</si>
  <si>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</si>
  <si>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</si>
  <si>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</si>
  <si>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</si>
  <si>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</si>
  <si>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</si>
  <si>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</si>
  <si>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</si>
  <si>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</si>
  <si>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</si>
  <si>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</si>
  <si>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</si>
  <si>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</si>
  <si>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</si>
  <si>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</si>
  <si>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</si>
  <si>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</si>
  <si>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</si>
  <si>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</si>
  <si>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</si>
  <si>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</si>
  <si>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</si>
  <si>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</si>
  <si>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</si>
  <si>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</si>
  <si>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</si>
  <si>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</si>
  <si>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</si>
  <si>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</si>
  <si>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</si>
  <si>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</si>
  <si>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</si>
  <si>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</si>
  <si>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</si>
  <si>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</si>
  <si>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</si>
  <si>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</si>
  <si>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</si>
  <si>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</si>
  <si>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</si>
  <si>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</si>
  <si>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</si>
  <si>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Wayne</t>
  </si>
  <si>
    <t>Route 4 Box 243</t>
  </si>
  <si>
    <t>Fairfield</t>
  </si>
  <si>
    <t>Julie Harrelson</t>
  </si>
  <si>
    <t>jharrelson@gmail.com</t>
  </si>
  <si>
    <t>618-842-3296</t>
  </si>
  <si>
    <t>618-847-7000</t>
  </si>
  <si>
    <t>Kemper CPA Group LLP</t>
  </si>
  <si>
    <t>Krista McLaren</t>
  </si>
  <si>
    <t>703 W. Main St, PO Box 447</t>
  </si>
  <si>
    <t>Olney</t>
  </si>
  <si>
    <t>IL</t>
  </si>
  <si>
    <t>618-395-2105</t>
  </si>
  <si>
    <t>618-395-7079</t>
  </si>
  <si>
    <t>kmclaren@kempercpa.com</t>
  </si>
  <si>
    <t>2013 Series Bond</t>
  </si>
  <si>
    <t>Activity Bus Lease (1)</t>
  </si>
  <si>
    <t>Transportation Bus Lease (3)</t>
  </si>
  <si>
    <t>Capital Lease</t>
  </si>
  <si>
    <t>Wabash and Ohio Valley Special Education (See below)</t>
  </si>
  <si>
    <t>Line 26 - School districts in the Illinois counties of Edwards, Gallatin, Hamilton, Hardin, Pope, Saline, Wabash, Wayne and White.</t>
  </si>
  <si>
    <t>Schedule of Long Term Debt</t>
  </si>
  <si>
    <t>Note 7 to the financial statements for more detail.</t>
  </si>
  <si>
    <t>Page 14, Line 265: Other Restricted Revenue from Federal Sources - REAP Grant $28,196</t>
  </si>
  <si>
    <t>Operations and Maintenance</t>
  </si>
  <si>
    <t>Page 11, Line 107: Other Local Revenues - Other local receipts - $476</t>
  </si>
  <si>
    <t>Page 18, Line 171: Debt Services - Other - Debt service fees - $9,292</t>
  </si>
  <si>
    <t>Page 11, Line 107: Other Local Revenues - Other local receipts - $105</t>
  </si>
  <si>
    <t>Page 18, Line 180: Transportation - Other Support Services - Object 100: Salaries Administration - $4,401; Object 200: Benefits</t>
  </si>
  <si>
    <t>Administration - $812</t>
  </si>
  <si>
    <t>Page 19, Line 237: Municipal Retirement - Other Support Services (Pupil) - Object 200: Benefit Administration - $74</t>
  </si>
  <si>
    <t>Page 24, Lines 32 and 33: Activity related to capital leases of the Transportation Fund for the purchase of 3 passenger buses and an</t>
  </si>
  <si>
    <t>activity bus. Total capital debt leased is $279,785 ($244,800 for the 3 passenger buses and $34,985 for the activity bus). During the year</t>
  </si>
  <si>
    <t>ended June 30, 2019, the District paid down $33,472 in principal ($26,674 for the 3 passenger buses and $6,798 for the activity bus). See</t>
  </si>
  <si>
    <t>Part C, Number 23: The Auditor's Report contains a qualified opinion because the financial statements do not include disclosures regarding postemployment health insurance benefits required by the financial reporting provisions of the ISBE.</t>
  </si>
  <si>
    <t>Clearwave Communications</t>
  </si>
  <si>
    <t>Johnston Sanitation</t>
  </si>
  <si>
    <t>Maxitrol Security Systems</t>
  </si>
  <si>
    <t xml:space="preserve">US Bancorp </t>
  </si>
  <si>
    <t>Verizon Wireless</t>
  </si>
  <si>
    <t>IXL Learning</t>
  </si>
  <si>
    <t>Renaissance Learning</t>
  </si>
  <si>
    <t>Blackboard Connect</t>
  </si>
  <si>
    <t>Rodlan Lunch System</t>
  </si>
  <si>
    <t>Specialized Data Systems</t>
  </si>
  <si>
    <t>Building - Operation &amp; Maintenance of Plant Services - Trash Removal</t>
  </si>
  <si>
    <t>Building - Operation &amp; Maintenance of Plant Services - Building Services</t>
  </si>
  <si>
    <t>Education - Regular Programs - Copy Machine Rental Maint</t>
  </si>
  <si>
    <t>Education - Regular Programs - Regular Ed Purchased Service</t>
  </si>
  <si>
    <t>Education - Food Services - Food/Purchased Service</t>
  </si>
  <si>
    <t>N/A</t>
  </si>
  <si>
    <t>District personnel do not possess the necessary technical accounting expertise to prevent, detect, or correct potential omissions in the footnotes to the financial statements prepared in accordance with the financial reporting provisions of the Illinois State Board of Education.</t>
  </si>
  <si>
    <t>The district does not currently employ an individual with the necessary knowledge, training, and expertise to draft the footnotes to the financial statements in accordance with the financial reporting provisions of the Illinois State Board of Education.</t>
  </si>
  <si>
    <t>In the absence of the necessary knowledge, training, and expertise, the District must rely on the auditors to ensure the notes to the financial statements are properly presented in accordance with the financial reporting provisions of the Illinois State Board of Education</t>
  </si>
  <si>
    <t>The District cannot prepare the notes to the financial statements in accordance with the financial reporting provisions of the Illinois State Board of Education.</t>
  </si>
  <si>
    <t>The District's personnel have not obtained the necessary knowledge, training, or expertise.</t>
  </si>
  <si>
    <t>The District should provide the necessary training to personnel or contract with an outside independent contractor with the knowledge to properly prepare the notes to the financial statements.</t>
  </si>
  <si>
    <t>The District does not intend to correct the finding in the next fiscal year.</t>
  </si>
  <si>
    <t>Lack of segregation of duties over cash receipts and disbursements.</t>
  </si>
  <si>
    <t>The District does not currently employ enough people to adquately segregate duties.</t>
  </si>
  <si>
    <t>The District is limited in its ability to segregate certain duties because of its size and number of employees. There is not enough financial flexibility to employ enough individuals to properly segregate these duties. As such, the functions defined above are all handled by a small group within the District.</t>
  </si>
  <si>
    <t>The District cannot adequately segregate duties.</t>
  </si>
  <si>
    <t>The District does not have sufficient revenues or budget capacity to employ additional staff to be available full-time to segregate duties over these functions.</t>
  </si>
  <si>
    <t>The District will work to ensure compensating controls are maintained for these functions.</t>
  </si>
  <si>
    <t>2018-001</t>
  </si>
  <si>
    <t>2019 Series Bond</t>
  </si>
  <si>
    <t>2018-002</t>
  </si>
  <si>
    <t>Repeated as 2019-001</t>
  </si>
  <si>
    <t>Repeated as 2019-002</t>
  </si>
  <si>
    <t>The District does not currently employ an</t>
  </si>
  <si>
    <t xml:space="preserve">individual with the necessary knowledge, </t>
  </si>
  <si>
    <t>training, and expertise to draft the footnotes to</t>
  </si>
  <si>
    <t>the financial statements.</t>
  </si>
  <si>
    <t>The District does not currently employ enough</t>
  </si>
  <si>
    <t>people to adequately segregate duties.</t>
  </si>
  <si>
    <t>The District should assess its control environment and work to place compensating controls in place.  However, relying solely on compensating controls typically means accepting a certain level of risk in the time it takes to detect a breakdown of internal control rather than preventing it before it happens.</t>
  </si>
  <si>
    <t>20-2540-300</t>
  </si>
  <si>
    <t>10-1000-300</t>
  </si>
  <si>
    <t>10-2560-300</t>
  </si>
  <si>
    <t>New Hope CCSD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</si>
</sst>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8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66" fillId="0" borderId="78" xfId="0" applyFont="1" applyBorder="1" applyAlignment="1">
      <alignment horizontal="center"/>
    </xf>
    <xf numFmtId="0" fontId="55" fillId="0" borderId="0" xfId="3" applyFont="1" applyAlignment="1" applyProtection="1">
      <alignment horizontal="center" vertical="center"/>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3</xdr:row>
          <xdr:rowOff>9525</xdr:rowOff>
        </xdr:from>
        <xdr:to>
          <xdr:col>1</xdr:col>
          <xdr:colOff>1914525</xdr:colOff>
          <xdr:row>7</xdr:row>
          <xdr:rowOff>47625</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2028825</xdr:colOff>
          <xdr:row>3</xdr:row>
          <xdr:rowOff>19050</xdr:rowOff>
        </xdr:from>
        <xdr:to>
          <xdr:col>1</xdr:col>
          <xdr:colOff>2943225</xdr:colOff>
          <xdr:row>7</xdr:row>
          <xdr:rowOff>57150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1400-000004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3057525</xdr:colOff>
          <xdr:row>3</xdr:row>
          <xdr:rowOff>0</xdr:rowOff>
        </xdr:from>
        <xdr:to>
          <xdr:col>1</xdr:col>
          <xdr:colOff>3971925</xdr:colOff>
          <xdr:row>7</xdr:row>
          <xdr:rowOff>38100</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1400-000005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4" t="s">
        <v>405</v>
      </c>
      <c r="J1" s="1985"/>
      <c r="K1" s="1985"/>
      <c r="L1" s="1985"/>
      <c r="M1" s="1985"/>
      <c r="N1" s="1985"/>
      <c r="O1" s="1985"/>
      <c r="P1" s="1985"/>
      <c r="Q1" s="1985"/>
      <c r="R1" s="1985"/>
      <c r="S1" s="1985"/>
    </row>
    <row r="2" spans="1:28" ht="12" customHeight="1" x14ac:dyDescent="0.2">
      <c r="A2" s="47" t="s">
        <v>1993</v>
      </c>
      <c r="D2" s="48"/>
      <c r="I2" s="1986" t="s">
        <v>979</v>
      </c>
      <c r="J2" s="1985"/>
      <c r="K2" s="1985"/>
      <c r="L2" s="1985"/>
      <c r="M2" s="1985"/>
      <c r="N2" s="1985"/>
      <c r="O2" s="1985"/>
      <c r="P2" s="1985"/>
      <c r="Q2" s="1985"/>
      <c r="R2" s="1985"/>
      <c r="S2" s="1985"/>
    </row>
    <row r="3" spans="1:28" ht="12" customHeight="1" x14ac:dyDescent="0.2">
      <c r="A3" s="155" t="s">
        <v>1945</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t="s">
        <v>2064</v>
      </c>
      <c r="C5" s="26" t="s">
        <v>910</v>
      </c>
      <c r="D5" s="84"/>
      <c r="E5" s="84"/>
      <c r="H5" s="38"/>
      <c r="I5" s="1994" t="s">
        <v>680</v>
      </c>
      <c r="J5" s="1993"/>
      <c r="K5" s="1993"/>
      <c r="L5" s="1993"/>
      <c r="M5" s="1993"/>
      <c r="N5" s="1993"/>
      <c r="O5" s="1993"/>
      <c r="P5" s="1993"/>
      <c r="Q5" s="1993"/>
      <c r="R5" s="1993"/>
      <c r="S5" s="1993"/>
    </row>
    <row r="6" spans="1:28" ht="14.1" customHeight="1" x14ac:dyDescent="0.2">
      <c r="B6" s="104"/>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t="s">
        <v>2064</v>
      </c>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9">
        <v>20096006004</v>
      </c>
      <c r="B13" s="2020"/>
      <c r="C13" s="2020"/>
      <c r="D13" s="2020"/>
      <c r="E13" s="2020"/>
      <c r="F13" s="2020"/>
      <c r="G13" s="2020"/>
      <c r="H13" s="2021"/>
      <c r="I13" s="31"/>
      <c r="J13" s="30"/>
      <c r="K13" s="28"/>
      <c r="L13" s="30"/>
      <c r="M13" s="30"/>
      <c r="N13" s="30"/>
      <c r="O13" s="30"/>
      <c r="P13" s="30"/>
      <c r="Q13" s="30"/>
      <c r="R13" s="30"/>
      <c r="S13" s="30"/>
      <c r="T13" s="2024" t="s">
        <v>2072</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2065</v>
      </c>
      <c r="B15" s="2022"/>
      <c r="C15" s="2022"/>
      <c r="D15" s="2022"/>
      <c r="E15" s="2022"/>
      <c r="F15" s="2022"/>
      <c r="G15" s="2022"/>
      <c r="H15" s="2023"/>
      <c r="T15" s="2028" t="s">
        <v>2073</v>
      </c>
      <c r="U15" s="1972"/>
      <c r="V15" s="1972"/>
      <c r="W15" s="1972"/>
      <c r="X15" s="1972"/>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2144</v>
      </c>
      <c r="B17" s="1979"/>
      <c r="C17" s="1979"/>
      <c r="D17" s="1979"/>
      <c r="E17" s="1979"/>
      <c r="F17" s="1979"/>
      <c r="G17" s="1979"/>
      <c r="H17" s="2004"/>
      <c r="T17" s="2035" t="s">
        <v>2074</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8" t="s">
        <v>2066</v>
      </c>
      <c r="B19" s="1964"/>
      <c r="C19" s="1964"/>
      <c r="D19" s="1964"/>
      <c r="E19" s="1964"/>
      <c r="F19" s="1964"/>
      <c r="G19" s="1964"/>
      <c r="H19" s="1944"/>
      <c r="I19" s="30"/>
      <c r="J19" s="99"/>
      <c r="K19" s="40"/>
      <c r="L19" s="38"/>
      <c r="M19" s="112" t="s">
        <v>315</v>
      </c>
      <c r="P19" s="27"/>
      <c r="Q19" s="27"/>
      <c r="R19" s="27"/>
      <c r="S19" s="31"/>
      <c r="T19" s="2018" t="s">
        <v>2075</v>
      </c>
      <c r="U19" s="1943"/>
      <c r="V19" s="1943"/>
      <c r="W19" s="1944"/>
      <c r="X19" s="2033" t="s">
        <v>2076</v>
      </c>
      <c r="Y19" s="2034"/>
      <c r="Z19" s="2031">
        <v>62450</v>
      </c>
      <c r="AA19" s="203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2067</v>
      </c>
      <c r="B21" s="1943"/>
      <c r="C21" s="1943"/>
      <c r="D21" s="1943"/>
      <c r="E21" s="1943"/>
      <c r="F21" s="1943"/>
      <c r="G21" s="1943"/>
      <c r="H21" s="1944"/>
      <c r="I21" s="1998" t="s">
        <v>678</v>
      </c>
      <c r="J21" s="1993"/>
      <c r="K21" s="1993"/>
      <c r="L21" s="1993"/>
      <c r="M21" s="1993"/>
      <c r="N21" s="1993"/>
      <c r="O21" s="1993"/>
      <c r="P21" s="1993"/>
      <c r="Q21" s="1993"/>
      <c r="R21" s="1993"/>
      <c r="S21" s="1999"/>
      <c r="T21" s="2042" t="s">
        <v>2077</v>
      </c>
      <c r="U21" s="2043"/>
      <c r="V21" s="2043"/>
      <c r="W21" s="2043"/>
      <c r="X21" s="2048" t="s">
        <v>2078</v>
      </c>
      <c r="Y21" s="2049"/>
      <c r="Z21" s="2049"/>
      <c r="AA21" s="2050"/>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c r="B23" s="1996"/>
      <c r="C23" s="1996"/>
      <c r="D23" s="1996"/>
      <c r="E23" s="1996"/>
      <c r="F23" s="1996"/>
      <c r="G23" s="1996"/>
      <c r="H23" s="1997"/>
      <c r="T23" s="1978">
        <v>65.032562999999996</v>
      </c>
      <c r="U23" s="2041"/>
      <c r="V23" s="2041"/>
      <c r="W23" s="2041"/>
      <c r="X23" s="2045">
        <v>44469</v>
      </c>
      <c r="Y23" s="2046"/>
      <c r="Z23" s="2046"/>
      <c r="AA23" s="2047"/>
    </row>
    <row r="24" spans="1:27" ht="14.1" customHeight="1" x14ac:dyDescent="0.2">
      <c r="A24" s="88" t="s">
        <v>677</v>
      </c>
      <c r="B24" s="49"/>
      <c r="C24" s="49"/>
      <c r="D24" s="49"/>
      <c r="E24" s="49"/>
      <c r="F24" s="49"/>
      <c r="G24" s="49"/>
      <c r="H24" s="61"/>
      <c r="J24" s="1965">
        <f>IF(B5="x",IF(AUDITCHECK!D29="AFR form Incomplete.","",IF(AUDITCHECK!D29="Deficit reduction plan is required.","School District must complete a deficit reduction plan in the 2019-2020 Budget",)),"")</f>
        <v>0</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2">
        <v>62837</v>
      </c>
      <c r="B25" s="1943"/>
      <c r="C25" s="1943"/>
      <c r="D25" s="1943"/>
      <c r="E25" s="1943"/>
      <c r="F25" s="1943"/>
      <c r="G25" s="1943"/>
      <c r="H25" s="1944"/>
      <c r="I25" s="113"/>
      <c r="J25" s="1967"/>
      <c r="K25" s="1967"/>
      <c r="L25" s="1967"/>
      <c r="M25" s="1967"/>
      <c r="N25" s="1967"/>
      <c r="O25" s="1967"/>
      <c r="P25" s="1967"/>
      <c r="Q25" s="1967"/>
      <c r="R25" s="1967"/>
      <c r="S25" s="1968"/>
      <c r="T25" s="2038" t="s">
        <v>2079</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t="s">
        <v>2068</v>
      </c>
      <c r="B38" s="1979"/>
      <c r="C38" s="1979"/>
      <c r="D38" s="1979"/>
      <c r="E38" s="1979"/>
      <c r="F38" s="1943"/>
      <c r="G38" s="1943"/>
      <c r="H38" s="1944"/>
      <c r="I38" s="1971"/>
      <c r="J38" s="1972"/>
      <c r="K38" s="1972"/>
      <c r="L38" s="1972"/>
      <c r="M38" s="1972"/>
      <c r="N38" s="1972"/>
      <c r="O38" s="1972"/>
      <c r="P38" s="1973"/>
      <c r="Q38" s="1973"/>
      <c r="R38" s="1973"/>
      <c r="S38" s="1974"/>
      <c r="T38" s="2028"/>
      <c r="U38" s="1972"/>
      <c r="V38" s="1972"/>
      <c r="W38" s="1972"/>
      <c r="X38" s="1973"/>
      <c r="Y38" s="1973"/>
      <c r="Z38" s="1973"/>
      <c r="AA38" s="1974"/>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t="s">
        <v>2069</v>
      </c>
      <c r="B40" s="1957"/>
      <c r="C40" s="1958"/>
      <c r="D40" s="1958"/>
      <c r="E40" s="1958"/>
      <c r="F40" s="1959"/>
      <c r="G40" s="1959"/>
      <c r="H40" s="1960"/>
      <c r="I40" s="1981"/>
      <c r="J40" s="1982"/>
      <c r="K40" s="1982"/>
      <c r="L40" s="1982"/>
      <c r="M40" s="1982"/>
      <c r="N40" s="1982"/>
      <c r="O40" s="1982"/>
      <c r="P40" s="1982"/>
      <c r="Q40" s="1982"/>
      <c r="R40" s="1982"/>
      <c r="S40" s="1983"/>
      <c r="T40" s="1981"/>
      <c r="U40" s="2044"/>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t="s">
        <v>2070</v>
      </c>
      <c r="B42" s="1962"/>
      <c r="C42" s="1963"/>
      <c r="D42" s="1961" t="s">
        <v>2071</v>
      </c>
      <c r="E42" s="1962"/>
      <c r="F42" s="1962"/>
      <c r="G42" s="1962"/>
      <c r="H42" s="1963"/>
      <c r="I42" s="1945"/>
      <c r="J42" s="1946"/>
      <c r="K42" s="1946"/>
      <c r="L42" s="1946"/>
      <c r="M42" s="1946"/>
      <c r="N42" s="1946"/>
      <c r="O42" s="1947"/>
      <c r="P42" s="1980"/>
      <c r="Q42" s="1946"/>
      <c r="R42" s="1946"/>
      <c r="S42" s="1947"/>
      <c r="T42" s="1945"/>
      <c r="U42" s="1946"/>
      <c r="V42" s="1946"/>
      <c r="W42" s="1947"/>
      <c r="X42" s="1980"/>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1802</v>
      </c>
      <c r="B2" s="1528" t="s">
        <v>1951</v>
      </c>
      <c r="C2" s="714" t="s">
        <v>1952</v>
      </c>
      <c r="D2" s="714" t="s">
        <v>1953</v>
      </c>
      <c r="E2" s="714" t="s">
        <v>1954</v>
      </c>
      <c r="F2" s="714" t="s">
        <v>1955</v>
      </c>
    </row>
    <row r="3" spans="1:6" ht="12" customHeight="1" x14ac:dyDescent="0.2">
      <c r="A3" s="2185"/>
      <c r="B3" s="1525"/>
      <c r="C3" s="1526"/>
      <c r="D3" s="1527" t="s">
        <v>256</v>
      </c>
      <c r="E3" s="1526"/>
      <c r="F3" s="1527" t="s">
        <v>257</v>
      </c>
    </row>
    <row r="4" spans="1:6" ht="13.7" customHeight="1" x14ac:dyDescent="0.2">
      <c r="A4" s="715" t="s">
        <v>1155</v>
      </c>
      <c r="B4" s="1749">
        <f>'Revenues 9-14'!C5</f>
        <v>179453</v>
      </c>
      <c r="C4" s="1524"/>
      <c r="D4" s="1752">
        <f>B4-C4</f>
        <v>179453</v>
      </c>
      <c r="E4" s="1524">
        <v>240291</v>
      </c>
      <c r="F4" s="1752">
        <f>E4-C4</f>
        <v>240291</v>
      </c>
    </row>
    <row r="5" spans="1:6" ht="13.7" customHeight="1" x14ac:dyDescent="0.2">
      <c r="A5" s="715" t="s">
        <v>870</v>
      </c>
      <c r="B5" s="1750">
        <f>'Revenues 9-14'!D5</f>
        <v>49478</v>
      </c>
      <c r="C5" s="585"/>
      <c r="D5" s="1753">
        <f t="shared" ref="D5:D18" si="0">B5-C5</f>
        <v>49478</v>
      </c>
      <c r="E5" s="585">
        <v>65296</v>
      </c>
      <c r="F5" s="1753">
        <f>E5-C5</f>
        <v>65296</v>
      </c>
    </row>
    <row r="6" spans="1:6" ht="13.7" customHeight="1" x14ac:dyDescent="0.2">
      <c r="A6" s="715" t="s">
        <v>411</v>
      </c>
      <c r="B6" s="1750">
        <f>'Revenues 9-14'!E5</f>
        <v>59307</v>
      </c>
      <c r="C6" s="585"/>
      <c r="D6" s="1753">
        <f t="shared" si="0"/>
        <v>59307</v>
      </c>
      <c r="E6" s="585">
        <v>74091</v>
      </c>
      <c r="F6" s="1753">
        <f t="shared" ref="F6:F18" si="1">E6-C6</f>
        <v>74091</v>
      </c>
    </row>
    <row r="7" spans="1:6" ht="13.7" customHeight="1" x14ac:dyDescent="0.2">
      <c r="A7" s="715" t="s">
        <v>155</v>
      </c>
      <c r="B7" s="1750">
        <f>'Revenues 9-14'!F5</f>
        <v>23749</v>
      </c>
      <c r="C7" s="585"/>
      <c r="D7" s="1753">
        <f t="shared" si="0"/>
        <v>23749</v>
      </c>
      <c r="E7" s="585">
        <v>31342</v>
      </c>
      <c r="F7" s="1753">
        <f t="shared" si="1"/>
        <v>31342</v>
      </c>
    </row>
    <row r="8" spans="1:6" ht="13.7" customHeight="1" x14ac:dyDescent="0.2">
      <c r="A8" s="715" t="s">
        <v>1179</v>
      </c>
      <c r="B8" s="1750">
        <f>'Revenues 9-14'!G5</f>
        <v>10124</v>
      </c>
      <c r="C8" s="585"/>
      <c r="D8" s="1753">
        <f t="shared" si="0"/>
        <v>10124</v>
      </c>
      <c r="E8" s="585">
        <v>7426</v>
      </c>
      <c r="F8" s="1753">
        <f t="shared" si="1"/>
        <v>7426</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9896</v>
      </c>
      <c r="C10" s="585"/>
      <c r="D10" s="1753">
        <f t="shared" si="0"/>
        <v>9896</v>
      </c>
      <c r="E10" s="585">
        <v>13059</v>
      </c>
      <c r="F10" s="1753">
        <f t="shared" si="1"/>
        <v>13059</v>
      </c>
    </row>
    <row r="11" spans="1:6" x14ac:dyDescent="0.2">
      <c r="A11" s="715" t="s">
        <v>409</v>
      </c>
      <c r="B11" s="1750">
        <f>'Revenues 9-14'!J5</f>
        <v>119460</v>
      </c>
      <c r="C11" s="585"/>
      <c r="D11" s="1753">
        <f t="shared" si="0"/>
        <v>119460</v>
      </c>
      <c r="E11" s="585">
        <v>156440</v>
      </c>
      <c r="F11" s="1753">
        <f t="shared" si="1"/>
        <v>156440</v>
      </c>
    </row>
    <row r="12" spans="1:6" ht="13.7" customHeight="1" x14ac:dyDescent="0.2">
      <c r="A12" s="715" t="s">
        <v>157</v>
      </c>
      <c r="B12" s="1750">
        <f>'Revenues 9-14'!K5</f>
        <v>9896</v>
      </c>
      <c r="C12" s="585"/>
      <c r="D12" s="1753">
        <f t="shared" si="0"/>
        <v>9896</v>
      </c>
      <c r="E12" s="585">
        <v>13059</v>
      </c>
      <c r="F12" s="1753">
        <f t="shared" si="1"/>
        <v>13059</v>
      </c>
    </row>
    <row r="13" spans="1:6" ht="13.7" customHeight="1" x14ac:dyDescent="0.2">
      <c r="A13" s="715" t="s">
        <v>936</v>
      </c>
      <c r="B13" s="1750">
        <f>SUM('Revenues 9-14'!C6:D6)</f>
        <v>9896</v>
      </c>
      <c r="C13" s="585"/>
      <c r="D13" s="1753">
        <f t="shared" si="0"/>
        <v>9896</v>
      </c>
      <c r="E13" s="585">
        <v>13059</v>
      </c>
      <c r="F13" s="1753">
        <f t="shared" si="1"/>
        <v>13059</v>
      </c>
    </row>
    <row r="14" spans="1:6" ht="13.7" customHeight="1" x14ac:dyDescent="0.2">
      <c r="A14" s="715" t="s">
        <v>410</v>
      </c>
      <c r="B14" s="1750">
        <f>SUM('Revenues 9-14'!C7:D7,'Revenues 9-14'!F7:H7)</f>
        <v>3958</v>
      </c>
      <c r="C14" s="585"/>
      <c r="D14" s="1753">
        <f t="shared" si="0"/>
        <v>3958</v>
      </c>
      <c r="E14" s="585">
        <v>5224</v>
      </c>
      <c r="F14" s="1753">
        <f t="shared" si="1"/>
        <v>5224</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13161</v>
      </c>
      <c r="C16" s="585"/>
      <c r="D16" s="1753">
        <f t="shared" si="0"/>
        <v>13161</v>
      </c>
      <c r="E16" s="585">
        <v>7426</v>
      </c>
      <c r="F16" s="1753">
        <f t="shared" si="1"/>
        <v>7426</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488378</v>
      </c>
      <c r="C19" s="1751">
        <f>SUM(C4:C18)</f>
        <v>0</v>
      </c>
      <c r="D19" s="1751">
        <f>SUM(D4:D18)</f>
        <v>488378</v>
      </c>
      <c r="E19" s="1751">
        <f>SUM(E4:E18)</f>
        <v>626713</v>
      </c>
      <c r="F19" s="1751">
        <f>SUM(F4:F18)</f>
        <v>626713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3" colorId="8" zoomScale="110" zoomScaleNormal="110" workbookViewId="0">
      <selection activeCell="I32" sqref="I32:I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1802</v>
      </c>
      <c r="B2" s="2212"/>
      <c r="C2" s="1884" t="s">
        <v>1956</v>
      </c>
      <c r="D2" s="723" t="s">
        <v>1957</v>
      </c>
      <c r="E2" s="723" t="s">
        <v>1958</v>
      </c>
      <c r="F2" s="1884" t="s">
        <v>1959</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5">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7" t="s">
        <v>631</v>
      </c>
      <c r="B15" s="2198"/>
      <c r="C15" s="1755">
        <f>SUM(C6:C14)</f>
        <v>0</v>
      </c>
      <c r="D15" s="1755">
        <f>SUM(D6:D14)</f>
        <v>0</v>
      </c>
      <c r="E15" s="1755">
        <f>SUM(E6:E14)</f>
        <v>0</v>
      </c>
      <c r="F15" s="1755">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5">
        <f>SUM(C17+D17)-E17</f>
        <v>0</v>
      </c>
    </row>
    <row r="18" spans="1:11" ht="12.75" customHeight="1" thickTop="1" thickBot="1" x14ac:dyDescent="0.25">
      <c r="A18" s="2192" t="s">
        <v>6</v>
      </c>
      <c r="B18" s="2193"/>
      <c r="C18" s="726"/>
      <c r="D18" s="585"/>
      <c r="E18" s="726"/>
      <c r="F18" s="1755">
        <f>SUM(C18+D18)-E18</f>
        <v>0</v>
      </c>
    </row>
    <row r="19" spans="1:11" ht="12.75" customHeight="1" thickTop="1" thickBot="1" x14ac:dyDescent="0.25">
      <c r="A19" s="2192" t="s">
        <v>388</v>
      </c>
      <c r="B19" s="2193"/>
      <c r="C19" s="726"/>
      <c r="D19" s="585"/>
      <c r="E19" s="726"/>
      <c r="F19" s="1755">
        <f>SUM(C19+D19)-E19</f>
        <v>0</v>
      </c>
    </row>
    <row r="20" spans="1:11" ht="12.75" customHeight="1" thickTop="1" thickBot="1" x14ac:dyDescent="0.25">
      <c r="A20" s="2192" t="s">
        <v>448</v>
      </c>
      <c r="B20" s="2193"/>
      <c r="C20" s="726"/>
      <c r="D20" s="585"/>
      <c r="E20" s="726"/>
      <c r="F20" s="1755">
        <f>SUM(C20+D20)-E20</f>
        <v>0</v>
      </c>
    </row>
    <row r="21" spans="1:11" ht="14.25" thickTop="1" thickBot="1" x14ac:dyDescent="0.25">
      <c r="A21" s="2197" t="s">
        <v>632</v>
      </c>
      <c r="B21" s="2198"/>
      <c r="C21" s="1755">
        <f>SUM(C17:C20)</f>
        <v>0</v>
      </c>
      <c r="D21" s="1755">
        <f>SUM(D17:D20)</f>
        <v>0</v>
      </c>
      <c r="E21" s="1755">
        <f>SUM(E17:E20)</f>
        <v>0</v>
      </c>
      <c r="F21" s="1755">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5">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5">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5">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2080</v>
      </c>
      <c r="B31" s="733">
        <v>41609</v>
      </c>
      <c r="C31" s="734">
        <v>200000</v>
      </c>
      <c r="D31" s="735">
        <v>4</v>
      </c>
      <c r="E31" s="734">
        <v>94000</v>
      </c>
      <c r="F31" s="734"/>
      <c r="G31" s="734"/>
      <c r="H31" s="734">
        <v>56000</v>
      </c>
      <c r="I31" s="1756">
        <f>((E31+F31)-H31)+G31</f>
        <v>38000</v>
      </c>
      <c r="J31" s="734">
        <f>I31</f>
        <v>38000</v>
      </c>
      <c r="K31" s="736"/>
    </row>
    <row r="32" spans="1:11" ht="12" customHeight="1" x14ac:dyDescent="0.2">
      <c r="A32" s="732" t="s">
        <v>2081</v>
      </c>
      <c r="B32" s="733">
        <v>42569</v>
      </c>
      <c r="C32" s="734">
        <v>34985</v>
      </c>
      <c r="D32" s="735">
        <v>7</v>
      </c>
      <c r="E32" s="734">
        <v>20979</v>
      </c>
      <c r="F32" s="734"/>
      <c r="G32" s="734">
        <v>-6798</v>
      </c>
      <c r="H32" s="734"/>
      <c r="I32" s="1756">
        <f>((E32+F32)-H32)+G32</f>
        <v>14181</v>
      </c>
      <c r="J32" s="734">
        <f>I32</f>
        <v>14181</v>
      </c>
      <c r="K32" s="736"/>
    </row>
    <row r="33" spans="1:11" ht="12" customHeight="1" x14ac:dyDescent="0.2">
      <c r="A33" s="732" t="s">
        <v>2082</v>
      </c>
      <c r="B33" s="733">
        <v>42569</v>
      </c>
      <c r="C33" s="734">
        <v>244800</v>
      </c>
      <c r="D33" s="735">
        <v>7</v>
      </c>
      <c r="E33" s="734">
        <v>186865</v>
      </c>
      <c r="F33" s="734"/>
      <c r="G33" s="734">
        <v>-26674</v>
      </c>
      <c r="H33" s="734"/>
      <c r="I33" s="1756">
        <f t="shared" ref="I33:I48" si="1">((E33+F33)-H33)+G33</f>
        <v>160191</v>
      </c>
      <c r="J33" s="734">
        <f>I33</f>
        <v>160191</v>
      </c>
      <c r="K33" s="736"/>
    </row>
    <row r="34" spans="1:11" ht="12" customHeight="1" x14ac:dyDescent="0.2">
      <c r="A34" s="732" t="s">
        <v>2130</v>
      </c>
      <c r="B34" s="733">
        <v>43495</v>
      </c>
      <c r="C34" s="734">
        <v>330000</v>
      </c>
      <c r="D34" s="735">
        <v>4</v>
      </c>
      <c r="E34" s="734"/>
      <c r="F34" s="734">
        <v>330000</v>
      </c>
      <c r="G34" s="734"/>
      <c r="H34" s="734"/>
      <c r="I34" s="1756">
        <f t="shared" si="1"/>
        <v>330000</v>
      </c>
      <c r="J34" s="734">
        <f>I34-'Assets-Liab 5-6'!E4</f>
        <v>267558</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809785</v>
      </c>
      <c r="D49" s="745"/>
      <c r="E49" s="1756">
        <f t="shared" ref="E49:J49" si="2">SUM(E31:E48)</f>
        <v>301844</v>
      </c>
      <c r="F49" s="1756">
        <f t="shared" si="2"/>
        <v>330000</v>
      </c>
      <c r="G49" s="1756">
        <f t="shared" si="2"/>
        <v>-33472</v>
      </c>
      <c r="H49" s="1756">
        <f t="shared" si="2"/>
        <v>56000</v>
      </c>
      <c r="I49" s="1756">
        <f t="shared" si="2"/>
        <v>542372</v>
      </c>
      <c r="J49" s="1756">
        <f t="shared" si="2"/>
        <v>479930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6" t="s">
        <v>584</v>
      </c>
      <c r="C52" s="2187"/>
      <c r="D52" s="2187"/>
      <c r="E52" s="749" t="s">
        <v>845</v>
      </c>
      <c r="F52" s="2188" t="s">
        <v>2083</v>
      </c>
      <c r="G52" s="2189"/>
      <c r="H52" s="736"/>
      <c r="I52" s="736"/>
      <c r="J52" s="746"/>
    </row>
    <row r="53" spans="1:11" ht="11.25" customHeight="1" x14ac:dyDescent="0.2">
      <c r="A53" s="750" t="s">
        <v>913</v>
      </c>
      <c r="B53" s="751" t="s">
        <v>951</v>
      </c>
      <c r="C53" s="746"/>
      <c r="D53" s="737"/>
      <c r="E53" s="749" t="s">
        <v>497</v>
      </c>
      <c r="F53" s="2190"/>
      <c r="G53" s="2191"/>
      <c r="H53" s="736"/>
      <c r="I53" s="736"/>
      <c r="J53" s="746"/>
    </row>
    <row r="54" spans="1:11" ht="11.25" customHeight="1" x14ac:dyDescent="0.2">
      <c r="A54" s="752" t="s">
        <v>914</v>
      </c>
      <c r="B54" s="747" t="s">
        <v>952</v>
      </c>
      <c r="C54" s="746"/>
      <c r="D54" s="737"/>
      <c r="E54" s="749" t="s">
        <v>498</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J16" sqref="J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30"/>
      <c r="I1" s="760"/>
      <c r="J1" s="433"/>
    </row>
    <row r="2" spans="1:11" ht="26.25" x14ac:dyDescent="0.2">
      <c r="A2" s="2234" t="s">
        <v>1677</v>
      </c>
      <c r="B2" s="2235"/>
      <c r="C2" s="2235"/>
      <c r="D2" s="2235"/>
      <c r="E2" s="2236"/>
      <c r="F2" s="761" t="s">
        <v>904</v>
      </c>
      <c r="G2" s="762" t="s">
        <v>1674</v>
      </c>
      <c r="H2" s="762" t="s">
        <v>410</v>
      </c>
      <c r="I2" s="762" t="s">
        <v>1158</v>
      </c>
      <c r="J2" s="762" t="s">
        <v>1812</v>
      </c>
      <c r="K2" s="762" t="s">
        <v>138</v>
      </c>
    </row>
    <row r="3" spans="1:11" x14ac:dyDescent="0.2">
      <c r="A3" s="2237" t="s">
        <v>1964</v>
      </c>
      <c r="B3" s="2238"/>
      <c r="C3" s="2238"/>
      <c r="D3" s="2238"/>
      <c r="E3" s="2239"/>
      <c r="F3" s="763"/>
      <c r="G3" s="764"/>
      <c r="H3" s="764"/>
      <c r="I3" s="764"/>
      <c r="J3" s="765">
        <v>15360</v>
      </c>
      <c r="K3" s="765"/>
    </row>
    <row r="4" spans="1:11" x14ac:dyDescent="0.2">
      <c r="A4" s="2240" t="s">
        <v>369</v>
      </c>
      <c r="B4" s="2241"/>
      <c r="C4" s="2241"/>
      <c r="D4" s="2241"/>
      <c r="E4" s="2187"/>
      <c r="F4" s="766"/>
      <c r="G4" s="767"/>
      <c r="H4" s="768"/>
      <c r="I4" s="767"/>
      <c r="J4" s="769"/>
      <c r="K4" s="769"/>
    </row>
    <row r="5" spans="1:11" x14ac:dyDescent="0.2">
      <c r="A5" s="2218" t="s">
        <v>1069</v>
      </c>
      <c r="B5" s="2219"/>
      <c r="C5" s="2219"/>
      <c r="D5" s="2219"/>
      <c r="E5" s="2220"/>
      <c r="F5" s="770" t="s">
        <v>848</v>
      </c>
      <c r="G5" s="771"/>
      <c r="H5" s="764">
        <v>3958</v>
      </c>
      <c r="I5" s="772"/>
      <c r="J5" s="773"/>
      <c r="K5" s="773"/>
    </row>
    <row r="6" spans="1:11" x14ac:dyDescent="0.2">
      <c r="A6" s="774" t="s">
        <v>720</v>
      </c>
      <c r="B6" s="775"/>
      <c r="C6" s="775"/>
      <c r="D6" s="775"/>
      <c r="E6" s="776"/>
      <c r="F6" s="777" t="s">
        <v>849</v>
      </c>
      <c r="G6" s="764"/>
      <c r="H6" s="764"/>
      <c r="I6" s="764"/>
      <c r="J6" s="765">
        <v>13</v>
      </c>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14928</v>
      </c>
      <c r="K8" s="769"/>
    </row>
    <row r="9" spans="1:11" x14ac:dyDescent="0.2">
      <c r="A9" s="778" t="s">
        <v>138</v>
      </c>
      <c r="B9" s="779"/>
      <c r="C9" s="779"/>
      <c r="D9" s="779"/>
      <c r="E9" s="780"/>
      <c r="F9" s="777" t="s">
        <v>853</v>
      </c>
      <c r="G9" s="782"/>
      <c r="H9" s="771"/>
      <c r="I9" s="771"/>
      <c r="J9" s="781"/>
      <c r="K9" s="765"/>
    </row>
    <row r="10" spans="1:11" x14ac:dyDescent="0.2">
      <c r="A10" s="2218" t="s">
        <v>1813</v>
      </c>
      <c r="B10" s="2219"/>
      <c r="C10" s="2219"/>
      <c r="D10" s="2219"/>
      <c r="E10" s="2221"/>
      <c r="F10" s="783" t="s">
        <v>862</v>
      </c>
      <c r="G10" s="782"/>
      <c r="H10" s="784"/>
      <c r="I10" s="764"/>
      <c r="J10" s="765"/>
      <c r="K10" s="765"/>
    </row>
    <row r="11" spans="1:11" x14ac:dyDescent="0.2">
      <c r="A11" s="2218" t="s">
        <v>160</v>
      </c>
      <c r="B11" s="2219"/>
      <c r="C11" s="2219"/>
      <c r="D11" s="2219"/>
      <c r="E11" s="2220"/>
      <c r="F11" s="770" t="s">
        <v>852</v>
      </c>
      <c r="G11" s="771"/>
      <c r="H11" s="764"/>
      <c r="I11" s="764"/>
      <c r="J11" s="765"/>
      <c r="K11" s="773"/>
    </row>
    <row r="12" spans="1:11" ht="13.5" thickBot="1" x14ac:dyDescent="0.25">
      <c r="A12" s="2245" t="s">
        <v>905</v>
      </c>
      <c r="B12" s="2246"/>
      <c r="C12" s="2246"/>
      <c r="D12" s="2246"/>
      <c r="E12" s="2247"/>
      <c r="F12" s="1757"/>
      <c r="G12" s="1758">
        <f>SUM(G5:G11)</f>
        <v>0</v>
      </c>
      <c r="H12" s="1758">
        <f>SUM(H5:H11)</f>
        <v>3958</v>
      </c>
      <c r="I12" s="1758">
        <f>SUM(I5:I11)</f>
        <v>0</v>
      </c>
      <c r="J12" s="1758">
        <f>SUM(J5:J11)</f>
        <v>14941</v>
      </c>
      <c r="K12" s="1758">
        <f>SUM(K5:K11)</f>
        <v>0</v>
      </c>
    </row>
    <row r="13" spans="1:11" ht="13.5" thickTop="1" x14ac:dyDescent="0.2">
      <c r="A13" s="2242" t="s">
        <v>370</v>
      </c>
      <c r="B13" s="2243"/>
      <c r="C13" s="2243"/>
      <c r="D13" s="2243"/>
      <c r="E13" s="2244"/>
      <c r="F13" s="785"/>
      <c r="G13" s="786"/>
      <c r="H13" s="787"/>
      <c r="I13" s="788"/>
      <c r="J13" s="788"/>
      <c r="K13" s="788"/>
    </row>
    <row r="14" spans="1:11" x14ac:dyDescent="0.2">
      <c r="A14" s="2225" t="s">
        <v>456</v>
      </c>
      <c r="B14" s="2225"/>
      <c r="C14" s="2225"/>
      <c r="D14" s="2225"/>
      <c r="E14" s="2226"/>
      <c r="F14" s="789" t="s">
        <v>854</v>
      </c>
      <c r="G14" s="782"/>
      <c r="H14" s="764">
        <v>3958</v>
      </c>
      <c r="I14" s="771"/>
      <c r="J14" s="773"/>
      <c r="K14" s="765"/>
    </row>
    <row r="15" spans="1:11" x14ac:dyDescent="0.2">
      <c r="A15" s="2219" t="s">
        <v>4</v>
      </c>
      <c r="B15" s="2219"/>
      <c r="C15" s="2219"/>
      <c r="D15" s="2219"/>
      <c r="E15" s="2220"/>
      <c r="F15" s="789" t="s">
        <v>855</v>
      </c>
      <c r="G15" s="771"/>
      <c r="H15" s="764"/>
      <c r="I15" s="764"/>
      <c r="J15" s="765">
        <v>5391</v>
      </c>
      <c r="K15" s="765"/>
    </row>
    <row r="16" spans="1:11" x14ac:dyDescent="0.2">
      <c r="A16" s="2219" t="s">
        <v>298</v>
      </c>
      <c r="B16" s="2219"/>
      <c r="C16" s="2219"/>
      <c r="D16" s="2219"/>
      <c r="E16" s="2220"/>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27" t="s">
        <v>1809</v>
      </c>
      <c r="B19" s="2227"/>
      <c r="C19" s="2227"/>
      <c r="D19" s="2227"/>
      <c r="E19" s="2228"/>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48" t="s">
        <v>638</v>
      </c>
      <c r="B21" s="2248"/>
      <c r="C21" s="2248"/>
      <c r="D21" s="2248"/>
      <c r="E21" s="2248"/>
      <c r="F21" s="1759"/>
      <c r="G21" s="792"/>
      <c r="H21" s="796"/>
      <c r="I21" s="796"/>
      <c r="J21" s="1760">
        <f>SUM(J18:J20)</f>
        <v>0</v>
      </c>
      <c r="K21" s="793"/>
    </row>
    <row r="22" spans="1:11" ht="13.5" thickTop="1" x14ac:dyDescent="0.2">
      <c r="A22" s="2219" t="s">
        <v>1815</v>
      </c>
      <c r="B22" s="2219"/>
      <c r="C22" s="2219"/>
      <c r="D22" s="2219"/>
      <c r="E22" s="2220"/>
      <c r="F22" s="789" t="s">
        <v>862</v>
      </c>
      <c r="G22" s="782"/>
      <c r="H22" s="764"/>
      <c r="I22" s="764"/>
      <c r="J22" s="797"/>
      <c r="K22" s="765"/>
    </row>
    <row r="23" spans="1:11" ht="13.5" thickBot="1" x14ac:dyDescent="0.25">
      <c r="A23" s="2249" t="s">
        <v>906</v>
      </c>
      <c r="B23" s="2248"/>
      <c r="C23" s="2248"/>
      <c r="D23" s="2248"/>
      <c r="E23" s="2248"/>
      <c r="F23" s="1761"/>
      <c r="G23" s="1758">
        <f>SUM(G14:G16,G21,G22)</f>
        <v>0</v>
      </c>
      <c r="H23" s="1758">
        <f>SUM(H14:H16,H21,H22)</f>
        <v>3958</v>
      </c>
      <c r="I23" s="1758">
        <f>SUM(I14:I16,I21,I22)</f>
        <v>0</v>
      </c>
      <c r="J23" s="1758">
        <f>SUM(J14:J16,J21,J22)</f>
        <v>5391</v>
      </c>
      <c r="K23" s="1758">
        <f>SUM(K14:K16,K21,K22)</f>
        <v>0</v>
      </c>
    </row>
    <row r="24" spans="1:11" ht="14.25" thickTop="1" thickBot="1" x14ac:dyDescent="0.25">
      <c r="A24" s="2249" t="s">
        <v>1965</v>
      </c>
      <c r="B24" s="2248"/>
      <c r="C24" s="2248"/>
      <c r="D24" s="2248"/>
      <c r="E24" s="2248"/>
      <c r="F24" s="1762"/>
      <c r="G24" s="1763">
        <f>SUM(G3,G12)-G23</f>
        <v>0</v>
      </c>
      <c r="H24" s="1763">
        <f>SUM(H3,H12)-H23</f>
        <v>0</v>
      </c>
      <c r="I24" s="1763">
        <f>SUM(I3,I12)-I23</f>
        <v>0</v>
      </c>
      <c r="J24" s="1763">
        <f>SUM(J3,J12)-J23</f>
        <v>24910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24910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O18" sqref="O1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1909</v>
      </c>
      <c r="B1" s="2255"/>
      <c r="C1" s="2256"/>
      <c r="D1" s="826"/>
      <c r="E1" s="827"/>
      <c r="F1" s="827"/>
      <c r="G1" s="828"/>
      <c r="H1" s="829"/>
      <c r="I1" s="830"/>
      <c r="J1" s="2252"/>
      <c r="K1" s="2253"/>
      <c r="L1" s="2253"/>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15515</v>
      </c>
      <c r="D5" s="841"/>
      <c r="E5" s="841"/>
      <c r="F5" s="1760">
        <f>(C5+D5)-E5</f>
        <v>15515</v>
      </c>
      <c r="G5" s="837"/>
      <c r="H5" s="842"/>
      <c r="I5" s="842"/>
      <c r="J5" s="842"/>
      <c r="K5" s="793"/>
      <c r="L5" s="1769">
        <f>F5-K5</f>
        <v>15515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4136679</v>
      </c>
      <c r="D8" s="844"/>
      <c r="E8" s="844"/>
      <c r="F8" s="1760">
        <f>(C8+D8)-E8</f>
        <v>4136679</v>
      </c>
      <c r="G8" s="843">
        <v>50</v>
      </c>
      <c r="H8" s="765">
        <v>1475962</v>
      </c>
      <c r="I8" s="765">
        <v>82733</v>
      </c>
      <c r="J8" s="765"/>
      <c r="K8" s="1769">
        <f>(H8+I8)-J8</f>
        <v>1558695</v>
      </c>
      <c r="L8" s="1769">
        <f>F8-K8</f>
        <v>2577984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213517</v>
      </c>
      <c r="D10" s="846"/>
      <c r="E10" s="846"/>
      <c r="F10" s="1764">
        <f>(C10+D10)-E10</f>
        <v>213517</v>
      </c>
      <c r="G10" s="843">
        <v>20</v>
      </c>
      <c r="H10" s="847">
        <v>91374</v>
      </c>
      <c r="I10" s="847">
        <v>10676</v>
      </c>
      <c r="J10" s="847"/>
      <c r="K10" s="1769">
        <f>(H10+I10)-J10</f>
        <v>102050</v>
      </c>
      <c r="L10" s="1769">
        <f>F10-K10</f>
        <v>111467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151457</v>
      </c>
      <c r="D12" s="844">
        <v>7024</v>
      </c>
      <c r="E12" s="844">
        <v>9938</v>
      </c>
      <c r="F12" s="1760">
        <f>(C12+D12)-E12</f>
        <v>148543</v>
      </c>
      <c r="G12" s="843">
        <v>10</v>
      </c>
      <c r="H12" s="765">
        <v>72693</v>
      </c>
      <c r="I12" s="765">
        <v>15843</v>
      </c>
      <c r="J12" s="765">
        <v>9938</v>
      </c>
      <c r="K12" s="1769">
        <f>(H12+I12)-J12</f>
        <v>78598</v>
      </c>
      <c r="L12" s="1769">
        <f>F12-K12</f>
        <v>69945</v>
      </c>
    </row>
    <row r="13" spans="1:14" ht="14.25" thickTop="1" thickBot="1" x14ac:dyDescent="0.25">
      <c r="A13" s="848" t="s">
        <v>1122</v>
      </c>
      <c r="B13" s="840">
        <v>252</v>
      </c>
      <c r="C13" s="844">
        <v>279785</v>
      </c>
      <c r="D13" s="844"/>
      <c r="E13" s="844"/>
      <c r="F13" s="1760">
        <f>(C13+D13)-E13</f>
        <v>279785</v>
      </c>
      <c r="G13" s="843">
        <v>5</v>
      </c>
      <c r="H13" s="765">
        <v>94371</v>
      </c>
      <c r="I13" s="765">
        <v>55957</v>
      </c>
      <c r="J13" s="765"/>
      <c r="K13" s="1769">
        <f>(H13+I13)-J13</f>
        <v>150328</v>
      </c>
      <c r="L13" s="1769">
        <f>F13-K13</f>
        <v>129457</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4796953</v>
      </c>
      <c r="D16" s="1760">
        <f>SUM(D3,D5:D6,D8:D10,D12:D15)</f>
        <v>7024</v>
      </c>
      <c r="E16" s="1760">
        <f>SUM(E3,E5:E6,E8:E10,E12:E15)</f>
        <v>9938</v>
      </c>
      <c r="F16" s="1760">
        <f>SUM(F3,F5:F6,F8:F10,F12:F15)</f>
        <v>4794039</v>
      </c>
      <c r="G16" s="843"/>
      <c r="H16" s="1760">
        <f>SUM(H3,H6,H8:H10,H12:H14,)</f>
        <v>1734400</v>
      </c>
      <c r="I16" s="1760">
        <f>SUM(I3,I6,I8:I10,I12:I14,)</f>
        <v>165209</v>
      </c>
      <c r="J16" s="1760">
        <f>SUM(J3,J6,J8:J10,J12:J14,)</f>
        <v>9938</v>
      </c>
      <c r="K16" s="1760">
        <f>(H16+I16)-J16</f>
        <v>1889671</v>
      </c>
      <c r="L16" s="1760">
        <f>F16-K16</f>
        <v>2904368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165209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29" activePane="bottomLeft" state="frozen"/>
      <selection activeCell="A47" sqref="A47"/>
      <selection pane="bottomLeft" activeCell="F187" sqref="F18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1975</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1167040</v>
      </c>
      <c r="G8" s="865"/>
    </row>
    <row r="9" spans="1:7" x14ac:dyDescent="0.2">
      <c r="A9" s="869" t="s">
        <v>460</v>
      </c>
      <c r="B9" s="870" t="s">
        <v>1877</v>
      </c>
      <c r="C9" s="871"/>
      <c r="D9" s="869" t="s">
        <v>501</v>
      </c>
      <c r="E9" s="868"/>
      <c r="F9" s="1909">
        <f>'Expenditures 15-22'!K151</f>
        <v>62791</v>
      </c>
      <c r="G9" s="872"/>
    </row>
    <row r="10" spans="1:7" x14ac:dyDescent="0.2">
      <c r="A10" s="869" t="s">
        <v>499</v>
      </c>
      <c r="B10" s="870" t="s">
        <v>1878</v>
      </c>
      <c r="C10" s="871"/>
      <c r="D10" s="869" t="s">
        <v>501</v>
      </c>
      <c r="E10" s="868"/>
      <c r="F10" s="1909">
        <f>'Expenditures 15-22'!K174</f>
        <v>67734</v>
      </c>
      <c r="G10" s="872"/>
    </row>
    <row r="11" spans="1:7" x14ac:dyDescent="0.2">
      <c r="A11" s="869" t="s">
        <v>461</v>
      </c>
      <c r="B11" s="870" t="s">
        <v>1879</v>
      </c>
      <c r="C11" s="871"/>
      <c r="D11" s="869" t="s">
        <v>501</v>
      </c>
      <c r="E11" s="868"/>
      <c r="F11" s="1909">
        <f>'Expenditures 15-22'!K210</f>
        <v>88719</v>
      </c>
      <c r="G11" s="872"/>
    </row>
    <row r="12" spans="1:7" x14ac:dyDescent="0.2">
      <c r="A12" s="869" t="s">
        <v>462</v>
      </c>
      <c r="B12" s="870" t="s">
        <v>1880</v>
      </c>
      <c r="C12" s="871"/>
      <c r="D12" s="869" t="s">
        <v>501</v>
      </c>
      <c r="E12" s="868"/>
      <c r="F12" s="1909">
        <f>'Expenditures 15-22'!K295</f>
        <v>44393</v>
      </c>
      <c r="G12" s="872"/>
    </row>
    <row r="13" spans="1:7" x14ac:dyDescent="0.2">
      <c r="A13" s="869" t="s">
        <v>106</v>
      </c>
      <c r="B13" s="870" t="s">
        <v>1881</v>
      </c>
      <c r="C13" s="871"/>
      <c r="D13" s="869" t="s">
        <v>501</v>
      </c>
      <c r="E13" s="868"/>
      <c r="F13" s="1909">
        <f>'Expenditures 15-22'!K342</f>
        <v>104002</v>
      </c>
      <c r="G13" s="873"/>
    </row>
    <row r="14" spans="1:7" ht="12" customHeight="1" thickBot="1" x14ac:dyDescent="0.25">
      <c r="A14" s="1770"/>
      <c r="B14" s="1771"/>
      <c r="C14" s="1772"/>
      <c r="D14" s="1773" t="s">
        <v>501</v>
      </c>
      <c r="E14" s="1774" t="s">
        <v>958</v>
      </c>
      <c r="F14" s="1775">
        <f>SUM(F8:F13)</f>
        <v>1534679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312</v>
      </c>
      <c r="G52" s="865"/>
    </row>
    <row r="53" spans="1:7" x14ac:dyDescent="0.2">
      <c r="A53" s="869" t="s">
        <v>459</v>
      </c>
      <c r="B53" s="869" t="s">
        <v>1475</v>
      </c>
      <c r="C53" s="889">
        <f>'Expenditures 15-22'!B102</f>
        <v>4000</v>
      </c>
      <c r="D53" s="888" t="str">
        <f>'Expenditures 15-22'!A102</f>
        <v>Total Payments to Other Govt Units</v>
      </c>
      <c r="E53" s="868"/>
      <c r="F53" s="1913">
        <f>'Expenditures 15-22'!K102</f>
        <v>8697</v>
      </c>
      <c r="G53" s="865"/>
    </row>
    <row r="54" spans="1:7" x14ac:dyDescent="0.2">
      <c r="A54" s="869" t="s">
        <v>459</v>
      </c>
      <c r="B54" s="869" t="s">
        <v>1476</v>
      </c>
      <c r="C54" s="889" t="s">
        <v>982</v>
      </c>
      <c r="D54" s="885" t="s">
        <v>1095</v>
      </c>
      <c r="E54" s="868"/>
      <c r="F54" s="1913">
        <f>'Expenditures 15-22'!G114</f>
        <v>6274</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56000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33472</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104755</v>
      </c>
      <c r="G76" s="865"/>
    </row>
    <row r="77" spans="1:8" s="893" customFormat="1" ht="12" customHeight="1" thickTop="1" thickBot="1" x14ac:dyDescent="0.25">
      <c r="A77" s="1779"/>
      <c r="B77" s="1776"/>
      <c r="C77" s="1772"/>
      <c r="D77" s="1777" t="s">
        <v>1900</v>
      </c>
      <c r="E77" s="1774"/>
      <c r="F77" s="1780">
        <f>(F14-F76)</f>
        <v>1429924</v>
      </c>
      <c r="G77" s="869"/>
    </row>
    <row r="78" spans="1:8" s="893" customFormat="1" ht="12" customHeight="1" thickTop="1" x14ac:dyDescent="0.2">
      <c r="A78" s="1781"/>
      <c r="B78" s="1776"/>
      <c r="C78" s="1772"/>
      <c r="D78" s="1777" t="s">
        <v>2062</v>
      </c>
      <c r="E78" s="1774"/>
      <c r="F78" s="898">
        <v>165.6</v>
      </c>
      <c r="G78" s="899"/>
      <c r="H78" s="869"/>
    </row>
    <row r="79" spans="1:8" s="893" customFormat="1" ht="12" customHeight="1" thickBot="1" x14ac:dyDescent="0.25">
      <c r="A79" s="1782"/>
      <c r="B79" s="1776"/>
      <c r="C79" s="1772"/>
      <c r="D79" s="1777" t="s">
        <v>1901</v>
      </c>
      <c r="E79" s="1774" t="s">
        <v>958</v>
      </c>
      <c r="F79" s="1783">
        <f>IF(F78&gt;0,F77/F78," Complete Line 78")</f>
        <v>8634.8067632850252</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75</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38932</v>
      </c>
      <c r="G94" s="912"/>
    </row>
    <row r="95" spans="1:7" x14ac:dyDescent="0.2">
      <c r="A95" s="908" t="s">
        <v>140</v>
      </c>
      <c r="B95" s="908" t="s">
        <v>175</v>
      </c>
      <c r="C95" s="910">
        <v>1700</v>
      </c>
      <c r="D95" s="918" t="str">
        <f>'Revenues 9-14'!A82</f>
        <v>Total District/School Activity Income</v>
      </c>
      <c r="E95" s="906"/>
      <c r="F95" s="1789">
        <f>SUM('Revenues 9-14'!C82,'Revenues 9-14'!D82)</f>
        <v>17781</v>
      </c>
      <c r="G95" s="912"/>
    </row>
    <row r="96" spans="1:7" x14ac:dyDescent="0.2">
      <c r="A96" s="908" t="s">
        <v>459</v>
      </c>
      <c r="B96" s="908" t="s">
        <v>176</v>
      </c>
      <c r="C96" s="910">
        <f>'Revenues 9-14'!B84</f>
        <v>1811</v>
      </c>
      <c r="D96" s="911" t="str">
        <f>'Revenues 9-14'!A84</f>
        <v>Rentals - Regular Textbooks</v>
      </c>
      <c r="E96" s="906"/>
      <c r="F96" s="1789">
        <f>'Revenues 9-14'!C84</f>
        <v>3220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32</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113</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177</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701</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49053</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47042</v>
      </c>
      <c r="G125" s="930"/>
    </row>
    <row r="126" spans="1:7" x14ac:dyDescent="0.2">
      <c r="A126" s="927" t="s">
        <v>668</v>
      </c>
      <c r="B126" s="927" t="s">
        <v>2024</v>
      </c>
      <c r="C126" s="932">
        <v>4300</v>
      </c>
      <c r="D126" s="933" t="str">
        <f>'Revenues 9-14'!A204</f>
        <v>Total Title I</v>
      </c>
      <c r="E126" s="906"/>
      <c r="F126" s="1789">
        <f>SUM('Revenues 9-14'!C204,'Revenues 9-14'!D204,'Revenues 9-14'!F204,'Revenues 9-14'!G204)</f>
        <v>35424</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6958</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2509</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4496</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28196</v>
      </c>
      <c r="G170" s="927"/>
    </row>
    <row r="171" spans="1:7" x14ac:dyDescent="0.2">
      <c r="A171" s="1918" t="s">
        <v>5</v>
      </c>
      <c r="B171" s="1919" t="s">
        <v>1920</v>
      </c>
      <c r="C171" s="1920">
        <v>3100</v>
      </c>
      <c r="D171" s="1921" t="s">
        <v>1922</v>
      </c>
      <c r="E171" s="906"/>
      <c r="F171" s="1906">
        <v>49420</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284129</v>
      </c>
    </row>
    <row r="175" spans="1:7" ht="12" customHeight="1" x14ac:dyDescent="0.2">
      <c r="A175" s="1770"/>
      <c r="B175" s="1784"/>
      <c r="C175" s="1785"/>
      <c r="D175" s="1786" t="s">
        <v>2057</v>
      </c>
      <c r="E175" s="1787"/>
      <c r="F175" s="1789">
        <f>'PCTC-OEPP 27-28'!F77-F174</f>
        <v>1145795</v>
      </c>
    </row>
    <row r="176" spans="1:7" ht="12" customHeight="1" x14ac:dyDescent="0.2">
      <c r="A176" s="1770"/>
      <c r="B176" s="1784"/>
      <c r="C176" s="1785"/>
      <c r="D176" s="1786" t="s">
        <v>1817</v>
      </c>
      <c r="E176" s="1787"/>
      <c r="F176" s="1789">
        <f>'Cap Outlay Deprec 26'!I18</f>
        <v>165209</v>
      </c>
    </row>
    <row r="177" spans="1:7" ht="12" customHeight="1" x14ac:dyDescent="0.2">
      <c r="A177" s="1770"/>
      <c r="B177" s="1784"/>
      <c r="C177" s="1785"/>
      <c r="D177" s="1786" t="s">
        <v>2058</v>
      </c>
      <c r="E177" s="1787"/>
      <c r="F177" s="1789">
        <f>F175+F176</f>
        <v>1311004</v>
      </c>
    </row>
    <row r="178" spans="1:7" ht="12" customHeight="1" x14ac:dyDescent="0.2">
      <c r="A178" s="1770"/>
      <c r="B178" s="1790"/>
      <c r="C178" s="1785"/>
      <c r="D178" s="1786" t="str">
        <f>D78</f>
        <v>9 Month ADA from District Average Daily Attendance/Prior General State Aid Inquiry 2018-2019</v>
      </c>
      <c r="E178" s="1787"/>
      <c r="F178" s="1791">
        <f>'PCTC-OEPP 27-28'!F78</f>
        <v>165.6</v>
      </c>
      <c r="G178" s="930"/>
    </row>
    <row r="179" spans="1:7" ht="12" customHeight="1" thickBot="1" x14ac:dyDescent="0.25">
      <c r="A179" s="1770"/>
      <c r="B179" s="1790"/>
      <c r="C179" s="1785"/>
      <c r="D179" s="1786" t="s">
        <v>2059</v>
      </c>
      <c r="E179" s="1787" t="s">
        <v>1545</v>
      </c>
      <c r="F179" s="1792">
        <f>F177/F178</f>
        <v>7916.6908212560393</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7" zoomScaleNormal="100" workbookViewId="0">
      <selection activeCell="B27" sqref="B2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534" t="s">
        <v>1819</v>
      </c>
      <c r="B6" s="1535"/>
      <c r="C6" s="1535"/>
      <c r="D6" s="1535"/>
      <c r="E6" s="1535"/>
      <c r="F6" s="1535"/>
      <c r="G6" s="1536"/>
    </row>
    <row r="7" spans="1:7" ht="30.75" customHeight="1" x14ac:dyDescent="0.25">
      <c r="A7" s="2277" t="s">
        <v>1932</v>
      </c>
      <c r="B7" s="2278"/>
      <c r="C7" s="2278"/>
      <c r="D7" s="2278"/>
      <c r="E7" s="2278"/>
      <c r="F7" s="2278"/>
      <c r="G7" s="2279"/>
    </row>
    <row r="8" spans="1:7" ht="15.75" customHeight="1" x14ac:dyDescent="0.25">
      <c r="A8" s="2280" t="s">
        <v>1907</v>
      </c>
      <c r="B8" s="2281"/>
      <c r="C8" s="2281"/>
      <c r="D8" s="2281"/>
      <c r="E8" s="2281"/>
      <c r="F8" s="2281"/>
      <c r="G8" s="2282"/>
    </row>
    <row r="9" spans="1:7" ht="35.25" customHeight="1" x14ac:dyDescent="0.25">
      <c r="A9" s="2277" t="s">
        <v>1935</v>
      </c>
      <c r="B9" s="2278"/>
      <c r="C9" s="2278"/>
      <c r="D9" s="2278"/>
      <c r="E9" s="2278"/>
      <c r="F9" s="2278"/>
      <c r="G9" s="2279"/>
    </row>
    <row r="10" spans="1:7" ht="15" customHeight="1" x14ac:dyDescent="0.25">
      <c r="A10" s="1537" t="s">
        <v>1820</v>
      </c>
      <c r="B10" s="1538"/>
      <c r="C10" s="1538"/>
      <c r="D10" s="1538"/>
      <c r="E10" s="1538"/>
      <c r="F10" s="1538"/>
      <c r="G10" s="1539"/>
    </row>
    <row r="11" spans="1:7" ht="17.25" customHeight="1" x14ac:dyDescent="0.25">
      <c r="A11" s="2277" t="s">
        <v>1934</v>
      </c>
      <c r="B11" s="2278"/>
      <c r="C11" s="2278"/>
      <c r="D11" s="2278"/>
      <c r="E11" s="2278"/>
      <c r="F11" s="2278"/>
      <c r="G11" s="2279"/>
    </row>
    <row r="12" spans="1:7" ht="15" customHeight="1" x14ac:dyDescent="0.25">
      <c r="A12" s="1537" t="s">
        <v>1825</v>
      </c>
      <c r="B12" s="1538"/>
      <c r="C12" s="1538"/>
      <c r="D12" s="1538"/>
      <c r="E12" s="1538"/>
      <c r="F12" s="1538"/>
      <c r="G12" s="1539"/>
    </row>
    <row r="13" spans="1:7" ht="32.25" customHeight="1" x14ac:dyDescent="0.25">
      <c r="A13" s="2268" t="s">
        <v>1976</v>
      </c>
      <c r="B13" s="2269"/>
      <c r="C13" s="2269"/>
      <c r="D13" s="2269"/>
      <c r="E13" s="2269"/>
      <c r="F13" s="2269"/>
      <c r="G13" s="2270"/>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30" x14ac:dyDescent="0.25">
      <c r="A17" s="1940" t="s">
        <v>2111</v>
      </c>
      <c r="B17" s="1941" t="s">
        <v>2141</v>
      </c>
      <c r="C17" s="1939" t="s">
        <v>2100</v>
      </c>
      <c r="D17" s="1844">
        <v>4363</v>
      </c>
      <c r="E17" s="1540">
        <f t="shared" ref="E17:E141" si="0">IF(D17&lt;=25000,D17,IF(D17&gt;25000,25000,0))</f>
        <v>4363</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4363</v>
      </c>
      <c r="G17" s="1793">
        <f>IF(F17=0,0,D17-F17)</f>
        <v>0</v>
      </c>
      <c r="H17" s="1647"/>
    </row>
    <row r="18" spans="1:8" ht="30" x14ac:dyDescent="0.25">
      <c r="A18" s="1940" t="s">
        <v>2110</v>
      </c>
      <c r="B18" s="1941" t="s">
        <v>2141</v>
      </c>
      <c r="C18" s="1939" t="s">
        <v>2101</v>
      </c>
      <c r="D18" s="1844">
        <v>1440</v>
      </c>
      <c r="E18" s="1540">
        <f t="shared" ref="E18:E140" si="2">IF(D18&lt;=25000,D18,IF(D18&gt;25000,25000,0))</f>
        <v>1440</v>
      </c>
      <c r="F18" s="1932">
        <f t="shared" si="1"/>
        <v>1440</v>
      </c>
      <c r="G18" s="1793">
        <f t="shared" ref="G18:G140" si="3">IF(F18=0,0,D18-F18)</f>
        <v>0</v>
      </c>
    </row>
    <row r="19" spans="1:8" ht="30" x14ac:dyDescent="0.25">
      <c r="A19" s="1940" t="s">
        <v>2111</v>
      </c>
      <c r="B19" s="1941" t="s">
        <v>2141</v>
      </c>
      <c r="C19" s="1939" t="s">
        <v>2102</v>
      </c>
      <c r="D19" s="1844">
        <v>2940</v>
      </c>
      <c r="E19" s="1540">
        <f t="shared" si="2"/>
        <v>2940</v>
      </c>
      <c r="F19" s="1932">
        <f t="shared" si="1"/>
        <v>2940</v>
      </c>
      <c r="G19" s="1793">
        <f t="shared" si="3"/>
        <v>0</v>
      </c>
    </row>
    <row r="20" spans="1:8" ht="30" x14ac:dyDescent="0.25">
      <c r="A20" s="1940" t="s">
        <v>2112</v>
      </c>
      <c r="B20" s="1941" t="s">
        <v>2142</v>
      </c>
      <c r="C20" s="1939" t="s">
        <v>2103</v>
      </c>
      <c r="D20" s="1844">
        <v>10548</v>
      </c>
      <c r="E20" s="1540">
        <f t="shared" si="2"/>
        <v>10548</v>
      </c>
      <c r="F20" s="1932">
        <f t="shared" si="1"/>
        <v>10548</v>
      </c>
      <c r="G20" s="1793">
        <f t="shared" si="3"/>
        <v>0</v>
      </c>
    </row>
    <row r="21" spans="1:8" ht="30" x14ac:dyDescent="0.25">
      <c r="A21" s="1940" t="s">
        <v>2111</v>
      </c>
      <c r="B21" s="1941" t="s">
        <v>2141</v>
      </c>
      <c r="C21" s="1939" t="s">
        <v>2104</v>
      </c>
      <c r="D21" s="1844">
        <v>2556</v>
      </c>
      <c r="E21" s="1540">
        <f t="shared" si="2"/>
        <v>2556</v>
      </c>
      <c r="F21" s="1932">
        <f t="shared" si="1"/>
        <v>2556</v>
      </c>
      <c r="G21" s="1793">
        <f t="shared" si="3"/>
        <v>0</v>
      </c>
    </row>
    <row r="22" spans="1:8" ht="30" x14ac:dyDescent="0.25">
      <c r="A22" s="1940" t="s">
        <v>2113</v>
      </c>
      <c r="B22" s="1941" t="s">
        <v>2142</v>
      </c>
      <c r="C22" s="1939" t="s">
        <v>2105</v>
      </c>
      <c r="D22" s="1844">
        <v>1785</v>
      </c>
      <c r="E22" s="1540">
        <f t="shared" si="2"/>
        <v>1785</v>
      </c>
      <c r="F22" s="1932">
        <f t="shared" si="1"/>
        <v>1785</v>
      </c>
      <c r="G22" s="1793">
        <f t="shared" si="3"/>
        <v>0</v>
      </c>
    </row>
    <row r="23" spans="1:8" ht="30" x14ac:dyDescent="0.25">
      <c r="A23" s="1940" t="s">
        <v>2113</v>
      </c>
      <c r="B23" s="1941" t="s">
        <v>2142</v>
      </c>
      <c r="C23" s="1939" t="s">
        <v>2106</v>
      </c>
      <c r="D23" s="1844">
        <v>3641</v>
      </c>
      <c r="E23" s="1540">
        <f t="shared" si="2"/>
        <v>3641</v>
      </c>
      <c r="F23" s="1932">
        <f t="shared" si="1"/>
        <v>3641</v>
      </c>
      <c r="G23" s="1793">
        <f t="shared" si="3"/>
        <v>0</v>
      </c>
    </row>
    <row r="24" spans="1:8" ht="30" x14ac:dyDescent="0.25">
      <c r="A24" s="1940" t="s">
        <v>2113</v>
      </c>
      <c r="B24" s="1941" t="s">
        <v>2142</v>
      </c>
      <c r="C24" s="1939" t="s">
        <v>2107</v>
      </c>
      <c r="D24" s="1844">
        <v>340</v>
      </c>
      <c r="E24" s="1540">
        <f t="shared" si="2"/>
        <v>340</v>
      </c>
      <c r="F24" s="1932">
        <f t="shared" si="1"/>
        <v>340</v>
      </c>
      <c r="G24" s="1793">
        <f t="shared" si="3"/>
        <v>0</v>
      </c>
    </row>
    <row r="25" spans="1:8" x14ac:dyDescent="0.25">
      <c r="A25" s="1940" t="s">
        <v>2114</v>
      </c>
      <c r="B25" s="1941" t="s">
        <v>2143</v>
      </c>
      <c r="C25" s="1939" t="s">
        <v>2108</v>
      </c>
      <c r="D25" s="1844">
        <v>400</v>
      </c>
      <c r="E25" s="1540">
        <f t="shared" si="2"/>
        <v>400</v>
      </c>
      <c r="F25" s="1932">
        <f t="shared" si="1"/>
        <v>400</v>
      </c>
      <c r="G25" s="1793">
        <f t="shared" si="3"/>
        <v>0</v>
      </c>
    </row>
    <row r="26" spans="1:8" ht="30" x14ac:dyDescent="0.25">
      <c r="A26" s="1940" t="s">
        <v>2113</v>
      </c>
      <c r="B26" s="1941" t="s">
        <v>2142</v>
      </c>
      <c r="C26" s="1939" t="s">
        <v>2109</v>
      </c>
      <c r="D26" s="1844">
        <v>6080</v>
      </c>
      <c r="E26" s="1540">
        <f t="shared" si="2"/>
        <v>6080</v>
      </c>
      <c r="F26" s="1932">
        <f t="shared" si="1"/>
        <v>6080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34093</v>
      </c>
      <c r="E141" s="1541">
        <f t="shared" si="0"/>
        <v>25000</v>
      </c>
      <c r="F141" s="1933">
        <f>SUM(F17:F140)</f>
        <v>34093</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4" colorId="8" zoomScale="110" zoomScaleNormal="110" workbookViewId="0">
      <selection activeCell="M40" sqref="M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47042</v>
      </c>
      <c r="F10" s="974"/>
      <c r="G10" s="975"/>
      <c r="H10" s="162"/>
      <c r="I10" s="162"/>
    </row>
    <row r="11" spans="1:9" s="668" customFormat="1" ht="22.5" customHeight="1" x14ac:dyDescent="0.2">
      <c r="A11" s="2288" t="s">
        <v>1977</v>
      </c>
      <c r="B11" s="2289"/>
      <c r="C11" s="2289"/>
      <c r="D11" s="2290"/>
      <c r="E11" s="977">
        <v>6718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794835</v>
      </c>
      <c r="F19" s="1799"/>
      <c r="G19" s="1801">
        <f>'Expenditures 15-22'!K33-SUM('Expenditures 15-22'!G33,'Expenditures 15-22'!I33)+'Expenditures 15-22'!D229</f>
        <v>794835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55014</v>
      </c>
      <c r="F21" s="1802"/>
      <c r="G21" s="1805">
        <f>'Expenditures 15-22'!K42-SUM('Expenditures 15-22'!G42,'Expenditures 15-22'!I42)+'Expenditures 15-22'!K120-SUM('Expenditures 15-22'!G120,'Expenditures 15-22'!I120)+'Expenditures 15-22'!K180-SUM('Expenditures 15-22'!G180,'Expenditures 15-22'!I180)+'Expenditures 15-22'!D238</f>
        <v>55014</v>
      </c>
      <c r="H21" s="987"/>
      <c r="I21" s="162"/>
    </row>
    <row r="22" spans="1:9" s="668" customFormat="1" ht="12" customHeight="1" x14ac:dyDescent="0.2">
      <c r="A22" s="994" t="s">
        <v>564</v>
      </c>
      <c r="B22" s="995"/>
      <c r="C22" s="993">
        <v>2200</v>
      </c>
      <c r="D22" s="1802"/>
      <c r="E22" s="1804">
        <f>'Expenditures 15-22'!K47-SUM('Expenditures 15-22'!G47,'Expenditures 15-22'!I47)+'Expenditures 15-22'!D243</f>
        <v>31860</v>
      </c>
      <c r="F22" s="1802"/>
      <c r="G22" s="1805">
        <f>'Expenditures 15-22'!K47-SUM('Expenditures 15-22'!G47,'Expenditures 15-22'!I47)+'Expenditures 15-22'!D243</f>
        <v>31860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172563</v>
      </c>
      <c r="F23" s="1802"/>
      <c r="G23" s="1804">
        <f>'Expenditures 15-22'!K53-SUM('Expenditures 15-22'!G53,'Expenditures 15-22'!I53)+'Expenditures 15-22'!D257+'Expenditures 15-22'!K330-SUM('Expenditures 15-22'!G330,'Expenditures 15-22'!I330)</f>
        <v>172563</v>
      </c>
      <c r="H23" s="987"/>
      <c r="I23" s="162"/>
    </row>
    <row r="24" spans="1:9" s="668" customFormat="1" ht="12" customHeight="1" x14ac:dyDescent="0.2">
      <c r="A24" s="994" t="s">
        <v>566</v>
      </c>
      <c r="B24" s="995"/>
      <c r="C24" s="993">
        <v>2400</v>
      </c>
      <c r="D24" s="1802"/>
      <c r="E24" s="1804">
        <f>'Expenditures 15-22'!K57-SUM('Expenditures 15-22'!G57,'Expenditures 15-22'!I57)+'Expenditures 15-22'!D261</f>
        <v>54246</v>
      </c>
      <c r="F24" s="1802"/>
      <c r="G24" s="1805">
        <f>'Expenditures 15-22'!K57-SUM('Expenditures 15-22'!G57,'Expenditures 15-22'!I57)+'Expenditures 15-22'!D261</f>
        <v>54246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59225</v>
      </c>
      <c r="E27" s="1804">
        <f>E8</f>
        <v>0</v>
      </c>
      <c r="F27" s="1804">
        <f>'Expenditures 15-22'!K60-SUM('Expenditures 15-22'!G60,'Expenditures 15-22'!I60)+'Expenditures 15-22'!D264-E8</f>
        <v>59225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107977</v>
      </c>
      <c r="F28" s="1806">
        <f>'Expenditures 15-22'!K61-SUM('Expenditures 15-22'!G61,'Expenditures 15-22'!I61)+'Expenditures 15-22'!K124-SUM('Expenditures 15-22'!G124,'Expenditures 15-22'!I124)+'Expenditures 15-22'!D266-E9</f>
        <v>107977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47850</v>
      </c>
      <c r="F29" s="1802"/>
      <c r="G29" s="1805">
        <f>'Expenditures 15-22'!K62-SUM('Expenditures 15-22'!G62,'Expenditures 15-22'!I62)+'Expenditures 15-22'!K125-SUM('Expenditures 15-22'!G125,'Expenditures 15-22'!I125)+'Expenditures 15-22'!K182-SUM('Expenditures 15-22'!G182,'Expenditures 15-22'!I182)+'Expenditures 15-22'!D267</f>
        <v>47850</v>
      </c>
      <c r="H29" s="985"/>
    </row>
    <row r="30" spans="1:9" ht="12" customHeight="1" x14ac:dyDescent="0.2">
      <c r="A30" s="994" t="s">
        <v>100</v>
      </c>
      <c r="B30" s="997"/>
      <c r="C30" s="993">
        <v>2560</v>
      </c>
      <c r="D30" s="1802"/>
      <c r="E30" s="1804">
        <f>'Expenditures 15-22'!K63-SUM('Expenditures 15-22'!G63,'Expenditures 15-22'!I63)+'Expenditures 15-22'!D268-E10</f>
        <v>41654</v>
      </c>
      <c r="F30" s="1802"/>
      <c r="G30" s="1804">
        <f>'Expenditures 15-22'!K63-SUM('Expenditures 15-22'!G63,'Expenditures 15-22'!I63)+'Expenditures 15-22'!D268-E10</f>
        <v>41654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312</v>
      </c>
      <c r="F39" s="1802"/>
      <c r="G39" s="1804">
        <f>'Expenditures 15-22'!K75-SUM('Expenditures 15-22'!G75,'Expenditures 15-22'!I75)+'Expenditures 15-22'!K130-SUM('Expenditures 15-22'!G130,'Expenditures 15-22'!I130)+'Expenditures 15-22'!K185-SUM('Expenditures 15-22'!G185,'Expenditures 15-22'!I185)+'Expenditures 15-22'!D280</f>
        <v>312</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59225</v>
      </c>
      <c r="E41" s="1806">
        <f>SUM(E19:E40)</f>
        <v>1306311</v>
      </c>
      <c r="F41" s="1806">
        <f>SUM(F19:F39)</f>
        <v>167202</v>
      </c>
      <c r="G41" s="1806">
        <f>SUM(G19:G40)</f>
        <v>1198334</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59225</v>
      </c>
      <c r="F43" s="1807" t="s">
        <v>473</v>
      </c>
      <c r="G43" s="1808">
        <f>F41</f>
        <v>167202</v>
      </c>
    </row>
    <row r="44" spans="1:7" ht="12" customHeight="1" x14ac:dyDescent="0.2">
      <c r="A44" s="987"/>
      <c r="B44" s="162"/>
      <c r="C44" s="1001"/>
      <c r="D44" s="1807" t="s">
        <v>474</v>
      </c>
      <c r="E44" s="1808">
        <f>E41</f>
        <v>1306311</v>
      </c>
      <c r="F44" s="1807" t="s">
        <v>474</v>
      </c>
      <c r="G44" s="1808">
        <f>G41</f>
        <v>1198334</v>
      </c>
    </row>
    <row r="45" spans="1:7" ht="12" customHeight="1" x14ac:dyDescent="0.2">
      <c r="A45" s="987"/>
      <c r="B45" s="162"/>
      <c r="C45" s="162"/>
      <c r="D45" s="1809" t="s">
        <v>1006</v>
      </c>
      <c r="E45" s="1810">
        <f>(E43/E44)</f>
        <v>4.5337595718018146E-2</v>
      </c>
      <c r="F45" s="1809" t="s">
        <v>1006</v>
      </c>
      <c r="G45" s="1810">
        <f>(G43/G44)</f>
        <v>0.13952871236232969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23" activePane="bottomLeft" state="frozen"/>
      <selection activeCell="A47" sqref="A47"/>
      <selection pane="bottomLeft" activeCell="A37" sqref="A37:F3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6" t="s">
        <v>1379</v>
      </c>
      <c r="B1" s="2306"/>
      <c r="C1" s="2306"/>
      <c r="D1" s="2306"/>
      <c r="E1" s="2306"/>
      <c r="F1" s="2306"/>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7" t="s">
        <v>1546</v>
      </c>
      <c r="B5" s="2308"/>
      <c r="C5" s="2309"/>
      <c r="D5" s="2309"/>
      <c r="E5" s="2309"/>
      <c r="F5" s="2309"/>
    </row>
    <row r="6" spans="1:10" ht="12" customHeight="1" x14ac:dyDescent="0.25">
      <c r="A6" s="1850"/>
      <c r="B6" s="1851"/>
      <c r="C6" s="2310" t="str">
        <f>COVER!A17</f>
        <v>New Hope CCSD 6</v>
      </c>
      <c r="D6" s="2310"/>
      <c r="E6" s="2310"/>
      <c r="F6" s="1852"/>
    </row>
    <row r="7" spans="1:10" ht="11.25" customHeight="1" thickBot="1" x14ac:dyDescent="0.3">
      <c r="A7" s="1850"/>
      <c r="B7" s="1851"/>
      <c r="C7" s="2311">
        <f>COVER!A13</f>
        <v>20096006004</v>
      </c>
      <c r="D7" s="2311"/>
      <c r="E7" s="2311"/>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t="s">
        <v>2064</v>
      </c>
      <c r="D27" s="1865" t="s">
        <v>2064</v>
      </c>
      <c r="E27" s="1868"/>
      <c r="F27" s="1867" t="s">
        <v>2084</v>
      </c>
      <c r="H27" s="1878">
        <f t="shared" si="0"/>
        <v>5</v>
      </c>
      <c r="I27" s="1878">
        <f t="shared" si="1"/>
        <v>5</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312"/>
      <c r="D35" s="2312"/>
      <c r="E35" s="2312"/>
      <c r="F35" s="2313"/>
    </row>
    <row r="36" spans="1:11" ht="12" customHeight="1" x14ac:dyDescent="0.2">
      <c r="A36" s="2305" t="s">
        <v>2085</v>
      </c>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3"/>
      <c r="B39" s="1873"/>
      <c r="C39" s="1873"/>
      <c r="D39" s="1873"/>
      <c r="E39" s="1873"/>
      <c r="F39" s="1873"/>
    </row>
    <row r="40" spans="1:11" s="1870" customFormat="1" ht="12" customHeight="1" x14ac:dyDescent="0.25">
      <c r="A40" s="1874" t="s">
        <v>1391</v>
      </c>
      <c r="B40" s="1875"/>
      <c r="C40" s="2300"/>
      <c r="D40" s="2300"/>
      <c r="E40" s="2300"/>
      <c r="F40" s="2301"/>
      <c r="H40" s="1879"/>
      <c r="I40" s="1879"/>
      <c r="J40" s="1879"/>
      <c r="K40" s="1879"/>
    </row>
    <row r="41" spans="1:11" s="1870" customFormat="1" ht="12" customHeight="1" x14ac:dyDescent="0.25">
      <c r="A41" s="2302"/>
      <c r="B41" s="2303"/>
      <c r="C41" s="2303"/>
      <c r="D41" s="2303"/>
      <c r="E41" s="2303"/>
      <c r="F41" s="2304"/>
      <c r="H41" s="1879"/>
      <c r="I41" s="1879"/>
      <c r="J41" s="1879"/>
      <c r="K41" s="1879"/>
    </row>
    <row r="42" spans="1:11" s="1870" customFormat="1" ht="12" customHeight="1" x14ac:dyDescent="0.25">
      <c r="A42" s="2302"/>
      <c r="B42" s="2303"/>
      <c r="C42" s="2303"/>
      <c r="D42" s="2303"/>
      <c r="E42" s="2303"/>
      <c r="F42" s="2304"/>
      <c r="H42" s="1879"/>
      <c r="I42" s="1879"/>
      <c r="J42" s="1879"/>
      <c r="K42" s="1879"/>
    </row>
    <row r="43" spans="1:11" s="1870" customFormat="1" ht="15" x14ac:dyDescent="0.25">
      <c r="A43" s="2291"/>
      <c r="B43" s="2292"/>
      <c r="C43" s="2292"/>
      <c r="D43" s="2292"/>
      <c r="E43" s="2292"/>
      <c r="F43" s="2293"/>
      <c r="H43" s="1879"/>
      <c r="I43" s="1879"/>
      <c r="J43" s="1879"/>
      <c r="K43" s="1879"/>
    </row>
    <row r="44" spans="1:11" s="1870" customFormat="1" ht="12" hidden="1" customHeight="1" x14ac:dyDescent="0.25">
      <c r="A44" s="2291"/>
      <c r="B44" s="2292"/>
      <c r="C44" s="2292"/>
      <c r="D44" s="2292"/>
      <c r="E44" s="2292"/>
      <c r="F44" s="229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4" colorId="8" zoomScale="110" zoomScaleNormal="110" workbookViewId="0">
      <selection activeCell="J25" sqref="J2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9" t="str">
        <f>COVER!A17</f>
        <v>New Hope CCSD 6</v>
      </c>
      <c r="J6" s="2320"/>
      <c r="Q6" s="1664"/>
    </row>
    <row r="7" spans="1:17" x14ac:dyDescent="0.2">
      <c r="A7" s="2321" t="s">
        <v>869</v>
      </c>
      <c r="B7" s="2322"/>
      <c r="C7" s="2322"/>
      <c r="D7" s="2322"/>
      <c r="E7" s="2323"/>
      <c r="F7" s="1017"/>
      <c r="G7" s="1009"/>
      <c r="H7" s="1016" t="s">
        <v>372</v>
      </c>
      <c r="I7" s="2324">
        <f>COVER!A13</f>
        <v>20096006004</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51637</v>
      </c>
      <c r="F12" s="1039"/>
      <c r="G12" s="1811">
        <f t="shared" ref="G12:G18" si="0">SUM(E12:F12)</f>
        <v>51637</v>
      </c>
      <c r="H12" s="1040">
        <v>54250</v>
      </c>
      <c r="I12" s="1039"/>
      <c r="J12" s="1811">
        <f t="shared" ref="J12:J18" si="1">SUM(H12:I12)</f>
        <v>54250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51637</v>
      </c>
      <c r="F19" s="1813">
        <f t="shared" si="2"/>
        <v>0</v>
      </c>
      <c r="G19" s="1813">
        <f t="shared" si="2"/>
        <v>51637</v>
      </c>
      <c r="H19" s="1813">
        <f t="shared" si="2"/>
        <v>54250</v>
      </c>
      <c r="I19" s="1813">
        <f t="shared" si="2"/>
        <v>0</v>
      </c>
      <c r="J19" s="1813">
        <f t="shared" si="2"/>
        <v>54250</v>
      </c>
    </row>
    <row r="20" spans="1:10" ht="13.5" thickTop="1" x14ac:dyDescent="0.2">
      <c r="A20" s="1035">
        <v>9</v>
      </c>
      <c r="B20" s="2331" t="s">
        <v>1981</v>
      </c>
      <c r="C20" s="2331"/>
      <c r="D20" s="2332"/>
      <c r="E20" s="1046"/>
      <c r="F20" s="1046"/>
      <c r="G20" s="1046"/>
      <c r="H20" s="1046"/>
      <c r="I20" s="1046"/>
      <c r="J20" s="1814">
        <f>IF(AND(G19&gt;0,J19&gt;0),(((J19-G19)/G19)),"Enter Budget Data")</f>
        <v>5.0603249607839337E-2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t="s">
        <v>2068</v>
      </c>
      <c r="D28" s="2335"/>
      <c r="E28" s="1054"/>
      <c r="F28" s="2335" t="s">
        <v>2070</v>
      </c>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1983</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I26" sqref="I2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4" spans="1:2" x14ac:dyDescent="0.2">
      <c r="B4" s="1937" t="s">
        <v>1155</v>
      </c>
    </row>
    <row r="5" spans="1:2" x14ac:dyDescent="0.2">
      <c r="A5" s="1068">
        <v>1</v>
      </c>
      <c r="B5" s="329" t="s">
        <v>2088</v>
      </c>
    </row>
    <row r="6" spans="1:2" x14ac:dyDescent="0.2">
      <c r="A6" s="1068"/>
    </row>
    <row r="7" spans="1:2" x14ac:dyDescent="0.2">
      <c r="A7" s="1068"/>
      <c r="B7" s="1937" t="s">
        <v>2089</v>
      </c>
    </row>
    <row r="8" spans="1:2" x14ac:dyDescent="0.2">
      <c r="A8" s="1068">
        <v>1</v>
      </c>
      <c r="B8" s="329" t="s">
        <v>2090</v>
      </c>
    </row>
    <row r="9" spans="1:2" x14ac:dyDescent="0.2">
      <c r="A9" s="1069"/>
    </row>
    <row r="10" spans="1:2" x14ac:dyDescent="0.2">
      <c r="A10" s="1069"/>
      <c r="B10" s="1937" t="s">
        <v>438</v>
      </c>
    </row>
    <row r="11" spans="1:2" x14ac:dyDescent="0.2">
      <c r="A11" s="1069">
        <v>1</v>
      </c>
      <c r="B11" s="329" t="s">
        <v>2091</v>
      </c>
    </row>
    <row r="12" spans="1:2" x14ac:dyDescent="0.2">
      <c r="A12" s="1069"/>
    </row>
    <row r="13" spans="1:2" x14ac:dyDescent="0.2">
      <c r="A13" s="1069"/>
      <c r="B13" s="1937" t="s">
        <v>155</v>
      </c>
    </row>
    <row r="14" spans="1:2" x14ac:dyDescent="0.2">
      <c r="A14" s="1069">
        <v>1</v>
      </c>
      <c r="B14" s="329" t="s">
        <v>2092</v>
      </c>
    </row>
    <row r="15" spans="1:2" x14ac:dyDescent="0.2">
      <c r="A15" s="1069">
        <v>2</v>
      </c>
      <c r="B15" s="329" t="s">
        <v>2093</v>
      </c>
    </row>
    <row r="16" spans="1:2" x14ac:dyDescent="0.2">
      <c r="A16" s="1069"/>
      <c r="B16" s="329" t="s">
        <v>2094</v>
      </c>
    </row>
    <row r="17" spans="1:2" x14ac:dyDescent="0.2">
      <c r="A17" s="1069"/>
    </row>
    <row r="18" spans="1:2" x14ac:dyDescent="0.2">
      <c r="A18" s="1069"/>
      <c r="B18" s="1937" t="s">
        <v>1179</v>
      </c>
    </row>
    <row r="19" spans="1:2" x14ac:dyDescent="0.2">
      <c r="A19" s="1069">
        <v>1</v>
      </c>
      <c r="B19" s="329" t="s">
        <v>2095</v>
      </c>
    </row>
    <row r="20" spans="1:2" x14ac:dyDescent="0.2">
      <c r="A20" s="1069"/>
    </row>
    <row r="21" spans="1:2" x14ac:dyDescent="0.2">
      <c r="A21" s="1069"/>
      <c r="B21" s="1937" t="s">
        <v>2086</v>
      </c>
    </row>
    <row r="22" spans="1:2" x14ac:dyDescent="0.2">
      <c r="A22" s="1069">
        <v>1</v>
      </c>
      <c r="B22" s="329" t="s">
        <v>2096</v>
      </c>
    </row>
    <row r="23" spans="1:2" x14ac:dyDescent="0.2">
      <c r="A23" s="1069"/>
      <c r="B23" s="329" t="s">
        <v>2097</v>
      </c>
    </row>
    <row r="24" spans="1:2" x14ac:dyDescent="0.2">
      <c r="A24" s="1069"/>
      <c r="B24" s="329" t="s">
        <v>2098</v>
      </c>
    </row>
    <row r="25" spans="1:2" x14ac:dyDescent="0.2">
      <c r="A25" s="1069"/>
      <c r="B25" s="329" t="s">
        <v>2087</v>
      </c>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New Hope CCSD 6</v>
      </c>
    </row>
    <row r="65" spans="2:2" x14ac:dyDescent="0.2">
      <c r="B65" s="1070">
        <f>COVER!A13</f>
        <v>20096006004</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34" zoomScale="110" zoomScaleNormal="110" workbookViewId="0">
      <selection activeCell="F53" sqref="F5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6"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6866" r:id="rId4"/>
      </mc:Fallback>
    </mc:AlternateContent>
    <mc:AlternateContent xmlns:mc="http://schemas.openxmlformats.org/markup-compatibility/2006">
      <mc:Choice Requires="x14">
        <oleObject progId="Acrobat Document" dvAspect="DVASPECT_ICON" shapeId="36867" r:id="rId6">
          <objectPr defaultSize="0" r:id="rId7">
            <anchor moveWithCells="1">
              <from>
                <xdr:col>1</xdr:col>
                <xdr:colOff>1000125</xdr:colOff>
                <xdr:row>3</xdr:row>
                <xdr:rowOff>9525</xdr:rowOff>
              </from>
              <to>
                <xdr:col>1</xdr:col>
                <xdr:colOff>1914525</xdr:colOff>
                <xdr:row>7</xdr:row>
                <xdr:rowOff>47625</xdr:rowOff>
              </to>
            </anchor>
          </objectPr>
        </oleObject>
      </mc:Choice>
      <mc:Fallback>
        <oleObject progId="Acrobat Document" dvAspect="DVASPECT_ICON" shapeId="36867" r:id="rId6"/>
      </mc:Fallback>
    </mc:AlternateContent>
    <mc:AlternateContent xmlns:mc="http://schemas.openxmlformats.org/markup-compatibility/2006">
      <mc:Choice Requires="x14">
        <oleObject progId="Acrobat Document" dvAspect="DVASPECT_ICON" shapeId="36868" r:id="rId8">
          <objectPr defaultSize="0" r:id="rId9">
            <anchor moveWithCells="1">
              <from>
                <xdr:col>1</xdr:col>
                <xdr:colOff>2028825</xdr:colOff>
                <xdr:row>3</xdr:row>
                <xdr:rowOff>19050</xdr:rowOff>
              </from>
              <to>
                <xdr:col>1</xdr:col>
                <xdr:colOff>2943225</xdr:colOff>
                <xdr:row>7</xdr:row>
                <xdr:rowOff>57150</xdr:rowOff>
              </to>
            </anchor>
          </objectPr>
        </oleObject>
      </mc:Choice>
      <mc:Fallback>
        <oleObject progId="Acrobat Document" dvAspect="DVASPECT_ICON" shapeId="36868" r:id="rId8"/>
      </mc:Fallback>
    </mc:AlternateContent>
    <mc:AlternateContent xmlns:mc="http://schemas.openxmlformats.org/markup-compatibility/2006">
      <mc:Choice Requires="x14">
        <oleObject progId="Acrobat Document" dvAspect="DVASPECT_ICON" shapeId="36869" r:id="rId10">
          <objectPr defaultSize="0" r:id="rId11">
            <anchor moveWithCells="1">
              <from>
                <xdr:col>1</xdr:col>
                <xdr:colOff>3057525</xdr:colOff>
                <xdr:row>3</xdr:row>
                <xdr:rowOff>0</xdr:rowOff>
              </from>
              <to>
                <xdr:col>1</xdr:col>
                <xdr:colOff>3971925</xdr:colOff>
                <xdr:row>7</xdr:row>
                <xdr:rowOff>38100</xdr:rowOff>
              </to>
            </anchor>
          </objectPr>
        </oleObject>
      </mc:Choice>
      <mc:Fallback>
        <oleObject progId="Acrobat Document" dvAspect="DVASPECT_ICON" shapeId="36869"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4" zoomScale="110" zoomScaleNormal="110" workbookViewId="0">
      <selection activeCell="H33" sqref="H3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1987</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1988</v>
      </c>
      <c r="B4" s="2359"/>
      <c r="C4" s="2359"/>
      <c r="D4" s="2359"/>
      <c r="E4" s="2359"/>
      <c r="F4" s="2360"/>
      <c r="G4" s="1074"/>
      <c r="H4" s="1074"/>
    </row>
    <row r="5" spans="1:8" ht="14.25" customHeight="1" x14ac:dyDescent="0.2">
      <c r="A5" s="2361" t="s">
        <v>1984</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1222363</v>
      </c>
      <c r="C8" s="1815">
        <f>'Acct Summary 7-8'!D8</f>
        <v>94881</v>
      </c>
      <c r="D8" s="1815">
        <f>'Acct Summary 7-8'!F8</f>
        <v>103241</v>
      </c>
      <c r="E8" s="1815">
        <f>'Acct Summary 7-8'!I8</f>
        <v>9986</v>
      </c>
      <c r="F8" s="1815">
        <f>SUM(B8:E8)</f>
        <v>1430471</v>
      </c>
    </row>
    <row r="9" spans="1:8" s="1079" customFormat="1" ht="14.25" customHeight="1" thickBot="1" x14ac:dyDescent="0.25">
      <c r="A9" s="1078" t="s">
        <v>1369</v>
      </c>
      <c r="B9" s="1816">
        <f>'Acct Summary 7-8'!C17</f>
        <v>1167040</v>
      </c>
      <c r="C9" s="1816">
        <f>'Acct Summary 7-8'!D17</f>
        <v>62791</v>
      </c>
      <c r="D9" s="1816">
        <f>'Acct Summary 7-8'!F17</f>
        <v>88719</v>
      </c>
      <c r="E9" s="1815"/>
      <c r="F9" s="1815">
        <f>SUM(B9:E9)</f>
        <v>1318550</v>
      </c>
    </row>
    <row r="10" spans="1:8" s="1079" customFormat="1" ht="14.25" thickTop="1" thickBot="1" x14ac:dyDescent="0.25">
      <c r="A10" s="1080" t="s">
        <v>1370</v>
      </c>
      <c r="B10" s="1817">
        <f>(B8-B9)</f>
        <v>55323</v>
      </c>
      <c r="C10" s="1817">
        <f>(C8-C9)</f>
        <v>32090</v>
      </c>
      <c r="D10" s="1817">
        <f>(D8-D9)</f>
        <v>14522</v>
      </c>
      <c r="E10" s="1816">
        <f>(E8-E9)</f>
        <v>9986</v>
      </c>
      <c r="F10" s="1818">
        <f>SUM(F8-F9)</f>
        <v>111921</v>
      </c>
    </row>
    <row r="11" spans="1:8" s="1079" customFormat="1" ht="14.25" thickTop="1" thickBot="1" x14ac:dyDescent="0.25">
      <c r="A11" s="1081" t="s">
        <v>1985</v>
      </c>
      <c r="B11" s="1819">
        <f>'Acct Summary 7-8'!C81</f>
        <v>933388</v>
      </c>
      <c r="C11" s="1819">
        <f>'Acct Summary 7-8'!D81</f>
        <v>159915</v>
      </c>
      <c r="D11" s="1819">
        <f>'Acct Summary 7-8'!F81</f>
        <v>103160</v>
      </c>
      <c r="E11" s="1819">
        <f>'Acct Summary 7-8'!I81</f>
        <v>0</v>
      </c>
      <c r="F11" s="1820">
        <f>SUM(B11:E11)</f>
        <v>1196463</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G77" sqref="G7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20096006004</v>
      </c>
    </row>
    <row r="3" spans="1:2" x14ac:dyDescent="0.2">
      <c r="A3" t="s">
        <v>956</v>
      </c>
      <c r="B3" s="138" t="str">
        <f>COVER!A15</f>
        <v>Wayne</v>
      </c>
    </row>
    <row r="4" spans="1:2" x14ac:dyDescent="0.2">
      <c r="A4" t="s">
        <v>1007</v>
      </c>
      <c r="B4" s="138" t="str">
        <f>COVER!A17</f>
        <v>New Hope CCSD 6</v>
      </c>
    </row>
    <row r="5" spans="1:2" x14ac:dyDescent="0.2">
      <c r="A5" t="s">
        <v>704</v>
      </c>
      <c r="B5" s="138" t="str">
        <f>COVER!A38</f>
        <v>Julie Harrelson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f>COVER!T23</f>
        <v>65.032562999999996</v>
      </c>
    </row>
    <row r="16" spans="1:2" x14ac:dyDescent="0.2">
      <c r="A16" t="s">
        <v>422</v>
      </c>
      <c r="B16" s="138" t="str">
        <f>COVER!T13</f>
        <v>Kemper CPA Group LLP</v>
      </c>
    </row>
    <row r="17" spans="1:2" x14ac:dyDescent="0.2">
      <c r="A17" t="s">
        <v>884</v>
      </c>
      <c r="B17" s="138" t="str">
        <f>COVER!T15</f>
        <v>Krista McLaren</v>
      </c>
    </row>
    <row r="18" spans="1:2" x14ac:dyDescent="0.2">
      <c r="A18" t="s">
        <v>1150</v>
      </c>
      <c r="B18" s="138" t="str">
        <f>COVER!T17</f>
        <v>703 W. Main St, PO Box 447</v>
      </c>
    </row>
    <row r="19" spans="1:2" x14ac:dyDescent="0.2">
      <c r="A19" t="s">
        <v>886</v>
      </c>
      <c r="B19" s="138" t="str">
        <f>COVER!T25</f>
        <v>kmclaren@kempercpa.com</v>
      </c>
    </row>
    <row r="20" spans="1:2" x14ac:dyDescent="0.2">
      <c r="A20" t="s">
        <v>887</v>
      </c>
      <c r="B20" s="138" t="str">
        <f>COVER!T19</f>
        <v>Olney</v>
      </c>
    </row>
    <row r="21" spans="1:2" x14ac:dyDescent="0.2">
      <c r="A21" t="s">
        <v>479</v>
      </c>
      <c r="B21" s="138" t="str">
        <f>COVER!X19</f>
        <v>IL</v>
      </c>
    </row>
    <row r="22" spans="1:2" x14ac:dyDescent="0.2">
      <c r="A22" t="s">
        <v>888</v>
      </c>
      <c r="B22" s="138">
        <f>COVER!Z19</f>
        <v>62450</v>
      </c>
    </row>
    <row r="23" spans="1:2" x14ac:dyDescent="0.2">
      <c r="A23" t="s">
        <v>1152</v>
      </c>
      <c r="B23" s="138" t="str">
        <f>COVER!T21</f>
        <v>618-395-2105</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339092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933388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933388</v>
      </c>
      <c r="D92" s="2" t="str">
        <f t="shared" si="0"/>
        <v>Error?</v>
      </c>
    </row>
    <row r="93" spans="1:4" x14ac:dyDescent="0.2">
      <c r="A93" s="5">
        <v>32</v>
      </c>
      <c r="B93" s="138">
        <f>'Assets-Liab 5-6'!C41</f>
        <v>933388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159915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159915</v>
      </c>
      <c r="D123" s="2" t="str">
        <f t="shared" si="0"/>
        <v>Error?</v>
      </c>
    </row>
    <row r="124" spans="1:4" x14ac:dyDescent="0.2">
      <c r="A124" s="5">
        <v>63</v>
      </c>
      <c r="B124" s="138">
        <f>'Assets-Liab 5-6'!D41</f>
        <v>159915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62442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62442</v>
      </c>
      <c r="D140" s="2" t="str">
        <f t="shared" si="1"/>
        <v>Error?</v>
      </c>
    </row>
    <row r="141" spans="1:4" x14ac:dyDescent="0.2">
      <c r="A141" s="5">
        <v>80</v>
      </c>
      <c r="B141" s="138">
        <f>'Assets-Liab 5-6'!E41</f>
        <v>62442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103160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103160</v>
      </c>
      <c r="D170" s="2" t="str">
        <f t="shared" si="1"/>
        <v>Error?</v>
      </c>
    </row>
    <row r="171" spans="1:4" x14ac:dyDescent="0.2">
      <c r="A171" s="5">
        <v>110</v>
      </c>
      <c r="B171" s="138">
        <f>'Assets-Liab 5-6'!F41</f>
        <v>103160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242169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156350</v>
      </c>
      <c r="D189" s="2" t="str">
        <f t="shared" si="1"/>
        <v>Error?</v>
      </c>
    </row>
    <row r="190" spans="1:4" x14ac:dyDescent="0.2">
      <c r="A190" s="5">
        <v>129</v>
      </c>
      <c r="B190" s="138">
        <f>'Assets-Liab 5-6'!G41</f>
        <v>242169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24910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24910</v>
      </c>
      <c r="D212" s="2" t="str">
        <f t="shared" si="2"/>
        <v>Error?</v>
      </c>
    </row>
    <row r="213" spans="1:4" x14ac:dyDescent="0.2">
      <c r="A213" s="12">
        <v>152</v>
      </c>
      <c r="B213" s="138">
        <f>'Assets-Liab 5-6'!H41</f>
        <v>24910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15515</v>
      </c>
      <c r="D273" s="2" t="str">
        <f t="shared" si="3"/>
        <v>Error?</v>
      </c>
    </row>
    <row r="274" spans="1:4" x14ac:dyDescent="0.2">
      <c r="A274" s="5">
        <v>213</v>
      </c>
      <c r="B274" s="138">
        <f>'Assets-Liab 5-6'!M17</f>
        <v>4136679</v>
      </c>
      <c r="D274" s="2" t="str">
        <f t="shared" si="3"/>
        <v>Error?</v>
      </c>
    </row>
    <row r="275" spans="1:4" x14ac:dyDescent="0.2">
      <c r="A275" s="5">
        <v>214</v>
      </c>
      <c r="B275" s="138">
        <f>'Assets-Liab 5-6'!M18</f>
        <v>213517</v>
      </c>
      <c r="D275" s="2" t="str">
        <f t="shared" si="3"/>
        <v>Error?</v>
      </c>
    </row>
    <row r="276" spans="1:4" x14ac:dyDescent="0.2">
      <c r="A276" s="5">
        <v>215</v>
      </c>
      <c r="B276" s="138">
        <f>'Assets-Liab 5-6'!M19</f>
        <v>428328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4794039</v>
      </c>
      <c r="C279" s="2" t="s">
        <v>573</v>
      </c>
      <c r="D279" s="2" t="str">
        <f t="shared" si="3"/>
        <v>Error?</v>
      </c>
    </row>
    <row r="280" spans="1:4" x14ac:dyDescent="0.2">
      <c r="A280" s="5">
        <v>219</v>
      </c>
      <c r="B280" s="138">
        <f>'Assets-Liab 5-6'!M40</f>
        <v>4794039</v>
      </c>
      <c r="D280" s="2" t="str">
        <f t="shared" si="3"/>
        <v>Error?</v>
      </c>
    </row>
    <row r="281" spans="1:4" x14ac:dyDescent="0.2">
      <c r="A281" s="5">
        <v>220</v>
      </c>
      <c r="B281" s="138">
        <f>'Assets-Liab 5-6'!M41</f>
        <v>4794039</v>
      </c>
      <c r="C281" s="2" t="s">
        <v>573</v>
      </c>
      <c r="D281" s="2" t="str">
        <f t="shared" si="3"/>
        <v>Error?</v>
      </c>
    </row>
    <row r="282" spans="1:4" x14ac:dyDescent="0.2">
      <c r="A282" s="5">
        <v>221</v>
      </c>
      <c r="B282" s="138">
        <f>'Assets-Liab 5-6'!N21</f>
        <v>62442</v>
      </c>
      <c r="D282" s="2" t="str">
        <f t="shared" si="3"/>
        <v>Error?</v>
      </c>
    </row>
    <row r="283" spans="1:4" x14ac:dyDescent="0.2">
      <c r="A283" s="5">
        <v>222</v>
      </c>
      <c r="B283" s="138">
        <f>'Assets-Liab 5-6'!N22</f>
        <v>479930</v>
      </c>
      <c r="D283" s="2" t="str">
        <f t="shared" si="3"/>
        <v>Error?</v>
      </c>
    </row>
    <row r="284" spans="1:4" x14ac:dyDescent="0.2">
      <c r="A284" s="5">
        <v>223</v>
      </c>
      <c r="B284" s="138">
        <f>'Assets-Liab 5-6'!N23</f>
        <v>542372</v>
      </c>
      <c r="C284" s="2" t="s">
        <v>573</v>
      </c>
      <c r="D284" s="2" t="str">
        <f t="shared" si="3"/>
        <v>Error?</v>
      </c>
    </row>
    <row r="285" spans="1:4" x14ac:dyDescent="0.2">
      <c r="A285" s="5">
        <v>224</v>
      </c>
      <c r="B285" s="138">
        <f>'Assets-Liab 5-6'!N36</f>
        <v>542372</v>
      </c>
      <c r="D285" s="2" t="str">
        <f t="shared" si="3"/>
        <v>Error?</v>
      </c>
    </row>
    <row r="286" spans="1:4" x14ac:dyDescent="0.2">
      <c r="A286" s="10">
        <v>225</v>
      </c>
      <c r="D286" s="2" t="str">
        <f t="shared" si="3"/>
        <v>OK</v>
      </c>
    </row>
    <row r="287" spans="1:4" x14ac:dyDescent="0.2">
      <c r="A287" s="5">
        <v>226</v>
      </c>
      <c r="B287" s="138">
        <f>'Assets-Liab 5-6'!N37</f>
        <v>542372</v>
      </c>
      <c r="C287" s="2" t="s">
        <v>573</v>
      </c>
      <c r="D287" s="2" t="str">
        <f t="shared" si="3"/>
        <v>Error?</v>
      </c>
    </row>
    <row r="288" spans="1:4" x14ac:dyDescent="0.2">
      <c r="A288" s="5">
        <v>227</v>
      </c>
      <c r="B288" s="138">
        <f>'Assets-Liab 5-6'!N41</f>
        <v>542372</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9986</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9092</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535956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16279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614463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41416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41416</v>
      </c>
      <c r="C727" s="2" t="s">
        <v>573</v>
      </c>
      <c r="D727" s="2" t="str">
        <f t="shared" si="10"/>
        <v>Error?</v>
      </c>
    </row>
    <row r="728" spans="1:4" x14ac:dyDescent="0.2">
      <c r="A728" s="5">
        <v>667</v>
      </c>
      <c r="B728" s="138">
        <f>'Expenditures 15-22'!C44</f>
        <v>6580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6580</v>
      </c>
      <c r="C731" s="2" t="s">
        <v>573</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40765</v>
      </c>
      <c r="D733" s="2" t="str">
        <f t="shared" si="10"/>
        <v>Error?</v>
      </c>
    </row>
    <row r="734" spans="1:4" x14ac:dyDescent="0.2">
      <c r="A734" s="5">
        <v>673</v>
      </c>
      <c r="B734" s="138">
        <f>'Expenditures 15-22'!C53</f>
        <v>42765</v>
      </c>
      <c r="C734" s="2" t="s">
        <v>573</v>
      </c>
      <c r="D734" s="2" t="str">
        <f t="shared" si="10"/>
        <v>Error?</v>
      </c>
    </row>
    <row r="735" spans="1:4" x14ac:dyDescent="0.2">
      <c r="A735" s="5">
        <v>674</v>
      </c>
      <c r="B735" s="138">
        <f>'Expenditures 15-22'!C55</f>
        <v>45816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45816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43828</v>
      </c>
      <c r="D739" s="2" t="str">
        <f t="shared" si="10"/>
        <v>Error?</v>
      </c>
    </row>
    <row r="740" spans="1:4" x14ac:dyDescent="0.2">
      <c r="A740" s="5">
        <v>679</v>
      </c>
      <c r="B740" s="138">
        <f>'Expenditures 15-22'!C61</f>
        <v>36314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30691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110833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247410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861873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75171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1066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81940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6538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6538</v>
      </c>
      <c r="C785" s="2" t="s">
        <v>573</v>
      </c>
      <c r="D785" s="2" t="str">
        <f t="shared" si="11"/>
        <v>Error?</v>
      </c>
    </row>
    <row r="786" spans="1:4" x14ac:dyDescent="0.2">
      <c r="A786" s="5">
        <v>725</v>
      </c>
      <c r="B786" s="138">
        <f>'Expenditures 15-22'!D44</f>
        <v>1886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1886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7839</v>
      </c>
      <c r="D791" s="2" t="str">
        <f t="shared" si="11"/>
        <v>Error?</v>
      </c>
    </row>
    <row r="792" spans="1:4" x14ac:dyDescent="0.2">
      <c r="A792" s="5">
        <v>731</v>
      </c>
      <c r="B792" s="138">
        <f>'Expenditures 15-22'!D53</f>
        <v>7839</v>
      </c>
      <c r="C792" s="2" t="s">
        <v>573</v>
      </c>
      <c r="D792" s="2" t="str">
        <f t="shared" si="11"/>
        <v>Error?</v>
      </c>
    </row>
    <row r="793" spans="1:4" x14ac:dyDescent="0.2">
      <c r="A793" s="5">
        <v>732</v>
      </c>
      <c r="B793" s="138">
        <f>'Expenditures 15-22'!D55</f>
        <v>7774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7774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871</v>
      </c>
      <c r="D797" s="2" t="str">
        <f t="shared" si="11"/>
        <v>Error?</v>
      </c>
    </row>
    <row r="798" spans="1:4" x14ac:dyDescent="0.2">
      <c r="A798" s="5">
        <v>737</v>
      </c>
      <c r="B798" s="138">
        <f>'Expenditures 15-22'!D61</f>
        <v>2295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895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4061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28098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110038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23855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6465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30320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549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484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1033</v>
      </c>
      <c r="C843" s="2" t="s">
        <v>573</v>
      </c>
      <c r="D843" s="2" t="str">
        <f t="shared" si="12"/>
        <v>Error?</v>
      </c>
    </row>
    <row r="844" spans="1:4" x14ac:dyDescent="0.2">
      <c r="A844" s="5">
        <v>783</v>
      </c>
      <c r="B844" s="138">
        <f>'Expenditures 15-22'!E44</f>
        <v>4978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4978</v>
      </c>
      <c r="C847" s="2" t="s">
        <v>573</v>
      </c>
      <c r="D847" s="2" t="str">
        <f t="shared" si="12"/>
        <v>Error?</v>
      </c>
    </row>
    <row r="848" spans="1:4" x14ac:dyDescent="0.2">
      <c r="A848" s="5">
        <v>787</v>
      </c>
      <c r="B848" s="138">
        <f>'Expenditures 15-22'!E49</f>
        <v>11263</v>
      </c>
      <c r="D848" s="2" t="str">
        <f t="shared" si="12"/>
        <v>Error?</v>
      </c>
    </row>
    <row r="849" spans="1:4" x14ac:dyDescent="0.2">
      <c r="A849" s="5">
        <v>788</v>
      </c>
      <c r="B849" s="138">
        <f>'Expenditures 15-22'!E50</f>
        <v>3033</v>
      </c>
      <c r="D849" s="2" t="str">
        <f t="shared" si="12"/>
        <v>Error?</v>
      </c>
    </row>
    <row r="850" spans="1:4" x14ac:dyDescent="0.2">
      <c r="A850" s="5">
        <v>789</v>
      </c>
      <c r="B850" s="138">
        <f>'Expenditures 15-22'!E53</f>
        <v>14296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5819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1768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7587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27894</v>
      </c>
      <c r="C871" s="2" t="s">
        <v>573</v>
      </c>
      <c r="D871" s="2" t="str">
        <f t="shared" si="12"/>
        <v>Error?</v>
      </c>
    </row>
    <row r="872" spans="1:4" x14ac:dyDescent="0.2">
      <c r="A872" s="5">
        <v>811</v>
      </c>
      <c r="B872" s="138">
        <f>'Expenditures 15-22'!E75</f>
        <v>312</v>
      </c>
      <c r="D872" s="2" t="str">
        <f t="shared" si="12"/>
        <v>Error?</v>
      </c>
    </row>
    <row r="873" spans="1:4" x14ac:dyDescent="0.2">
      <c r="A873" s="5">
        <v>812</v>
      </c>
      <c r="B873" s="138">
        <f>'Expenditures 15-22'!E114</f>
        <v>64526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39851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2279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50476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92</v>
      </c>
      <c r="C901" s="2" t="s">
        <v>573</v>
      </c>
      <c r="D901" s="2" t="str">
        <f t="shared" si="13"/>
        <v>Error?</v>
      </c>
    </row>
    <row r="902" spans="1:4" x14ac:dyDescent="0.2">
      <c r="A902" s="5">
        <v>841</v>
      </c>
      <c r="B902" s="138">
        <f>'Expenditures 15-22'!F44</f>
        <v>18323</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18323</v>
      </c>
      <c r="C905" s="2" t="s">
        <v>573</v>
      </c>
      <c r="D905" s="2" t="str">
        <f t="shared" si="13"/>
        <v>Error?</v>
      </c>
    </row>
    <row r="906" spans="1:4" x14ac:dyDescent="0.2">
      <c r="A906" s="5">
        <v>845</v>
      </c>
      <c r="B906" s="138">
        <f>'Expenditures 15-22'!F49</f>
        <v>854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854</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305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49217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49522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68791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119267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6274</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6274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6274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6274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490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490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1875</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1875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1875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2697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5062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674833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26579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777689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641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48438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49079</v>
      </c>
      <c r="C1115" s="2" t="s">
        <v>573</v>
      </c>
      <c r="D1115" s="2" t="str">
        <f t="shared" si="16"/>
        <v>Error?</v>
      </c>
    </row>
    <row r="1116" spans="1:4" x14ac:dyDescent="0.2">
      <c r="A1116" s="5">
        <v>1055</v>
      </c>
      <c r="B1116" s="138">
        <f>'Expenditures 15-22'!K44</f>
        <v>38041</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38041</v>
      </c>
      <c r="C1119" s="2" t="s">
        <v>573</v>
      </c>
      <c r="D1119" s="2" t="str">
        <f t="shared" si="16"/>
        <v>Error?</v>
      </c>
    </row>
    <row r="1120" spans="1:4" x14ac:dyDescent="0.2">
      <c r="A1120" s="5">
        <v>1059</v>
      </c>
      <c r="B1120" s="138">
        <f>'Expenditures 15-22'!K49</f>
        <v>15992</v>
      </c>
      <c r="C1120" s="2" t="s">
        <v>573</v>
      </c>
      <c r="D1120" s="2" t="str">
        <f t="shared" si="16"/>
        <v>Error?</v>
      </c>
    </row>
    <row r="1121" spans="1:4" x14ac:dyDescent="0.2">
      <c r="A1121" s="5">
        <v>1060</v>
      </c>
      <c r="B1121" s="138">
        <f>'Expenditures 15-22'!K50</f>
        <v>51637</v>
      </c>
      <c r="C1121" s="2" t="s">
        <v>573</v>
      </c>
      <c r="D1121" s="2" t="str">
        <f t="shared" si="16"/>
        <v>Error?</v>
      </c>
    </row>
    <row r="1122" spans="1:4" x14ac:dyDescent="0.2">
      <c r="A1122" s="5">
        <v>1061</v>
      </c>
      <c r="B1122" s="138">
        <f>'Expenditures 15-22'!K53</f>
        <v>67629</v>
      </c>
      <c r="C1122" s="2" t="s">
        <v>573</v>
      </c>
      <c r="D1122" s="2" t="str">
        <f t="shared" si="16"/>
        <v>Error?</v>
      </c>
    </row>
    <row r="1123" spans="1:4" x14ac:dyDescent="0.2">
      <c r="A1123" s="5">
        <v>1062</v>
      </c>
      <c r="B1123" s="138">
        <f>'Expenditures 15-22'!K55</f>
        <v>53590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53590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50823</v>
      </c>
      <c r="C1127" s="2" t="s">
        <v>573</v>
      </c>
      <c r="D1127" s="2" t="str">
        <f t="shared" si="16"/>
        <v>Error?</v>
      </c>
    </row>
    <row r="1128" spans="1:4" x14ac:dyDescent="0.2">
      <c r="A1128" s="5">
        <v>1067</v>
      </c>
      <c r="B1128" s="138">
        <f>'Expenditures 15-22'!K61</f>
        <v>38609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82571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172003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380342</v>
      </c>
      <c r="C1143" s="2" t="s">
        <v>573</v>
      </c>
      <c r="D1143" s="2" t="str">
        <f t="shared" si="16"/>
        <v>Error?</v>
      </c>
    </row>
    <row r="1144" spans="1:4" x14ac:dyDescent="0.2">
      <c r="A1144" s="5">
        <v>1083</v>
      </c>
      <c r="B1144" s="138">
        <f>'Expenditures 15-22'!K75</f>
        <v>312</v>
      </c>
      <c r="C1144" s="2" t="s">
        <v>573</v>
      </c>
      <c r="D1144" s="2" t="str">
        <f t="shared" si="16"/>
        <v>Error?</v>
      </c>
    </row>
    <row r="1145" spans="1:4" x14ac:dyDescent="0.2">
      <c r="A1145" s="5">
        <v>1084</v>
      </c>
      <c r="B1145" s="138">
        <f>'Expenditures 15-22'!K102</f>
        <v>8697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1167040</v>
      </c>
      <c r="C1152" s="2" t="s">
        <v>573</v>
      </c>
      <c r="D1152" s="2" t="str">
        <f t="shared" si="17"/>
        <v>Error?</v>
      </c>
    </row>
    <row r="1153" spans="1:4" x14ac:dyDescent="0.2">
      <c r="A1153" s="5">
        <v>1092</v>
      </c>
      <c r="B1153" s="138">
        <f>'Expenditures 15-22'!K115</f>
        <v>55323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17514</v>
      </c>
      <c r="D1237" s="2" t="str">
        <f t="shared" si="18"/>
        <v>Error?</v>
      </c>
    </row>
    <row r="1238" spans="1:4" x14ac:dyDescent="0.2">
      <c r="A1238" s="10">
        <v>1177</v>
      </c>
      <c r="D1238" s="2" t="str">
        <f t="shared" si="18"/>
        <v>OK</v>
      </c>
    </row>
    <row r="1239" spans="1:4" x14ac:dyDescent="0.2">
      <c r="A1239" s="5">
        <v>1178</v>
      </c>
      <c r="B1239" s="138">
        <f>'Expenditures 15-22'!E127</f>
        <v>17514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17514</v>
      </c>
      <c r="C1241" s="2" t="s">
        <v>573</v>
      </c>
      <c r="D1241" s="2" t="str">
        <f t="shared" si="18"/>
        <v>Error?</v>
      </c>
    </row>
    <row r="1242" spans="1:4" x14ac:dyDescent="0.2">
      <c r="A1242" s="5">
        <v>1181</v>
      </c>
      <c r="B1242" s="138">
        <f>'Expenditures 15-22'!E151</f>
        <v>17514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45277</v>
      </c>
      <c r="D1245" s="2" t="str">
        <f t="shared" si="18"/>
        <v>Error?</v>
      </c>
    </row>
    <row r="1246" spans="1:4" x14ac:dyDescent="0.2">
      <c r="A1246" s="10">
        <v>1185</v>
      </c>
      <c r="D1246" s="2" t="str">
        <f t="shared" si="18"/>
        <v>OK</v>
      </c>
    </row>
    <row r="1247" spans="1:4" x14ac:dyDescent="0.2">
      <c r="A1247" s="5">
        <v>1186</v>
      </c>
      <c r="B1247" s="138">
        <f>'Expenditures 15-22'!F127</f>
        <v>45277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45277</v>
      </c>
      <c r="C1249" s="2" t="s">
        <v>573</v>
      </c>
      <c r="D1249" s="2" t="str">
        <f t="shared" si="18"/>
        <v>Error?</v>
      </c>
    </row>
    <row r="1250" spans="1:4" x14ac:dyDescent="0.2">
      <c r="A1250" s="5">
        <v>1189</v>
      </c>
      <c r="B1250" s="138">
        <f>'Expenditures 15-22'!F151</f>
        <v>45277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62791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62791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62791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62791</v>
      </c>
      <c r="C1288" s="2" t="s">
        <v>573</v>
      </c>
      <c r="D1288" s="2" t="str">
        <f t="shared" si="19"/>
        <v>Error?</v>
      </c>
    </row>
    <row r="1289" spans="1:4" x14ac:dyDescent="0.2">
      <c r="A1289" s="5">
        <v>1228</v>
      </c>
      <c r="B1289" s="138">
        <f>'Expenditures 15-22'!K152</f>
        <v>32090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9292</v>
      </c>
      <c r="D1307" s="2" t="str">
        <f t="shared" si="19"/>
        <v>Error?</v>
      </c>
    </row>
    <row r="1308" spans="1:4" x14ac:dyDescent="0.2">
      <c r="A1308" s="5">
        <v>1247</v>
      </c>
      <c r="B1308" s="138">
        <f>'Expenditures 15-22'!E172</f>
        <v>9292</v>
      </c>
      <c r="C1308" s="2" t="s">
        <v>573</v>
      </c>
      <c r="D1308" s="2" t="str">
        <f t="shared" si="19"/>
        <v>Error?</v>
      </c>
    </row>
    <row r="1309" spans="1:4" x14ac:dyDescent="0.2">
      <c r="A1309" s="5">
        <v>1248</v>
      </c>
      <c r="B1309" s="138">
        <f>'Expenditures 15-22'!E174</f>
        <v>9292</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2442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56000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58442</v>
      </c>
      <c r="C1317" s="2" t="s">
        <v>573</v>
      </c>
      <c r="D1317" s="2" t="str">
        <f t="shared" si="19"/>
        <v>Error?</v>
      </c>
    </row>
    <row r="1318" spans="1:4" x14ac:dyDescent="0.2">
      <c r="A1318" s="5">
        <v>1257</v>
      </c>
      <c r="B1318" s="138">
        <f>'Expenditures 15-22'!H174</f>
        <v>58442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2442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56000</v>
      </c>
      <c r="C1329" s="2" t="s">
        <v>573</v>
      </c>
      <c r="D1329" s="2" t="str">
        <f t="shared" si="19"/>
        <v>Error?</v>
      </c>
    </row>
    <row r="1330" spans="1:4" x14ac:dyDescent="0.2">
      <c r="A1330" s="5">
        <v>1269</v>
      </c>
      <c r="B1330" s="138">
        <f>'Expenditures 15-22'!K171</f>
        <v>9292</v>
      </c>
      <c r="C1330" s="2" t="s">
        <v>573</v>
      </c>
      <c r="D1330" s="2" t="str">
        <f t="shared" si="19"/>
        <v>Error?</v>
      </c>
    </row>
    <row r="1331" spans="1:4" x14ac:dyDescent="0.2">
      <c r="A1331" s="5">
        <v>1270</v>
      </c>
      <c r="B1331" s="138">
        <f>'Expenditures 15-22'!K172</f>
        <v>67734</v>
      </c>
      <c r="C1331" s="2" t="s">
        <v>573</v>
      </c>
      <c r="D1331" s="2" t="str">
        <f t="shared" si="19"/>
        <v>Error?</v>
      </c>
    </row>
    <row r="1332" spans="1:4" x14ac:dyDescent="0.2">
      <c r="A1332" s="5">
        <v>1271</v>
      </c>
      <c r="B1332" s="138">
        <f>'Expenditures 15-22'!K174</f>
        <v>67734</v>
      </c>
      <c r="C1332" s="2" t="s">
        <v>573</v>
      </c>
      <c r="D1332" s="2" t="str">
        <f t="shared" si="19"/>
        <v>Error?</v>
      </c>
    </row>
    <row r="1333" spans="1:4" x14ac:dyDescent="0.2">
      <c r="A1333" s="5">
        <v>1272</v>
      </c>
      <c r="B1333" s="138">
        <f>'Expenditures 15-22'!K175</f>
        <v>-7771</v>
      </c>
      <c r="C1333" s="2" t="s">
        <v>573</v>
      </c>
      <c r="D1333" s="2" t="str">
        <f t="shared" si="19"/>
        <v>Error?</v>
      </c>
    </row>
    <row r="1334" spans="1:4" x14ac:dyDescent="0.2">
      <c r="A1334" s="10">
        <v>1273</v>
      </c>
      <c r="D1334" s="2" t="str">
        <f t="shared" si="19"/>
        <v>OK</v>
      </c>
    </row>
    <row r="1335" spans="1:4" x14ac:dyDescent="0.2">
      <c r="A1335" s="5">
        <v>1274</v>
      </c>
      <c r="B1335" s="138">
        <f>'Expenditures 15-22'!C182</f>
        <v>26796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31197</v>
      </c>
      <c r="C1339" s="2" t="s">
        <v>573</v>
      </c>
      <c r="D1339" s="2" t="str">
        <f t="shared" si="19"/>
        <v>Error?</v>
      </c>
    </row>
    <row r="1340" spans="1:4" x14ac:dyDescent="0.2">
      <c r="A1340" s="5">
        <v>1279</v>
      </c>
      <c r="B1340" s="138">
        <f>'Expenditures 15-22'!C210</f>
        <v>31197</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812</v>
      </c>
      <c r="C1345" s="2" t="s">
        <v>573</v>
      </c>
      <c r="D1345" s="2" t="str">
        <f t="shared" si="20"/>
        <v>Error?</v>
      </c>
    </row>
    <row r="1346" spans="1:4" x14ac:dyDescent="0.2">
      <c r="A1346" s="5">
        <v>1285</v>
      </c>
      <c r="B1346" s="138">
        <f>'Expenditures 15-22'!D210</f>
        <v>812</v>
      </c>
      <c r="C1346" s="2" t="s">
        <v>573</v>
      </c>
      <c r="D1346" s="2" t="str">
        <f t="shared" si="20"/>
        <v>Error?</v>
      </c>
    </row>
    <row r="1347" spans="1:4" x14ac:dyDescent="0.2">
      <c r="A1347" s="5">
        <v>1286</v>
      </c>
      <c r="B1347" s="138">
        <f>'Expenditures 15-22'!E182</f>
        <v>2790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2790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2790</v>
      </c>
      <c r="C1353" s="2" t="s">
        <v>573</v>
      </c>
      <c r="D1353" s="2" t="str">
        <f t="shared" si="20"/>
        <v>Error?</v>
      </c>
    </row>
    <row r="1354" spans="1:4" x14ac:dyDescent="0.2">
      <c r="A1354" s="5">
        <v>1293</v>
      </c>
      <c r="B1354" s="138">
        <f>'Expenditures 15-22'!F182</f>
        <v>14524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14524</v>
      </c>
      <c r="C1358" s="2" t="s">
        <v>573</v>
      </c>
      <c r="D1358" s="2" t="str">
        <f t="shared" si="20"/>
        <v>Error?</v>
      </c>
    </row>
    <row r="1359" spans="1:4" x14ac:dyDescent="0.2">
      <c r="A1359" s="5">
        <v>1298</v>
      </c>
      <c r="B1359" s="138">
        <f>'Expenditures 15-22'!F210</f>
        <v>14524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39396</v>
      </c>
      <c r="C1375" s="2" t="s">
        <v>573</v>
      </c>
      <c r="D1375" s="2" t="str">
        <f t="shared" si="20"/>
        <v>Error?</v>
      </c>
    </row>
    <row r="1376" spans="1:4" x14ac:dyDescent="0.2">
      <c r="A1376" s="5">
        <v>1315</v>
      </c>
      <c r="B1376" s="138">
        <f>'Expenditures 15-22'!H210</f>
        <v>39396</v>
      </c>
      <c r="C1376" s="2" t="s">
        <v>573</v>
      </c>
      <c r="D1376" s="2" t="str">
        <f t="shared" si="20"/>
        <v>Error?</v>
      </c>
    </row>
    <row r="1377" spans="1:4" x14ac:dyDescent="0.2">
      <c r="A1377" s="5">
        <v>1316</v>
      </c>
      <c r="B1377" s="138">
        <f>'Expenditures 15-22'!K182</f>
        <v>44110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49323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39396</v>
      </c>
      <c r="C1387" s="2" t="s">
        <v>573</v>
      </c>
      <c r="D1387" s="2" t="str">
        <f t="shared" si="20"/>
        <v>Error?</v>
      </c>
    </row>
    <row r="1388" spans="1:4" x14ac:dyDescent="0.2">
      <c r="A1388" s="5">
        <v>1327</v>
      </c>
      <c r="B1388" s="138">
        <f>'Expenditures 15-22'!K210</f>
        <v>88719</v>
      </c>
      <c r="C1388" s="2" t="s">
        <v>573</v>
      </c>
      <c r="D1388" s="2" t="str">
        <f t="shared" si="20"/>
        <v>Error?</v>
      </c>
    </row>
    <row r="1389" spans="1:4" x14ac:dyDescent="0.2">
      <c r="A1389" s="5">
        <v>1328</v>
      </c>
      <c r="B1389" s="138">
        <f>'Expenditures 15-22'!K211</f>
        <v>14522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886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17146</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648</v>
      </c>
      <c r="D1415" s="2" t="str">
        <f t="shared" si="21"/>
        <v>Error?</v>
      </c>
    </row>
    <row r="1416" spans="1:4" x14ac:dyDescent="0.2">
      <c r="A1416" s="5">
        <v>1355</v>
      </c>
      <c r="B1416" s="138">
        <f>'Expenditures 15-22'!D237</f>
        <v>74</v>
      </c>
      <c r="D1416" s="2" t="str">
        <f t="shared" si="21"/>
        <v>Error?</v>
      </c>
    </row>
    <row r="1417" spans="1:4" x14ac:dyDescent="0.2">
      <c r="A1417" s="5">
        <v>1356</v>
      </c>
      <c r="B1417" s="138">
        <f>'Expenditures 15-22'!D238</f>
        <v>722</v>
      </c>
      <c r="C1417" s="2" t="s">
        <v>573</v>
      </c>
      <c r="D1417" s="2" t="str">
        <f t="shared" si="21"/>
        <v>Error?</v>
      </c>
    </row>
    <row r="1418" spans="1:4" x14ac:dyDescent="0.2">
      <c r="A1418" s="5">
        <v>1357</v>
      </c>
      <c r="B1418" s="138">
        <f>'Expenditures 15-22'!D240</f>
        <v>93</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93</v>
      </c>
      <c r="C1421" s="2" t="s">
        <v>573</v>
      </c>
      <c r="D1421" s="2" t="str">
        <f t="shared" si="21"/>
        <v>Error?</v>
      </c>
    </row>
    <row r="1422" spans="1:4" x14ac:dyDescent="0.2">
      <c r="A1422" s="5">
        <v>1361</v>
      </c>
      <c r="B1422" s="138">
        <f>'Expenditures 15-22'!D245</f>
        <v>153</v>
      </c>
      <c r="D1422" s="2" t="str">
        <f t="shared" si="21"/>
        <v>Error?</v>
      </c>
    </row>
    <row r="1423" spans="1:4" x14ac:dyDescent="0.2">
      <c r="A1423" s="5">
        <v>1362</v>
      </c>
      <c r="B1423" s="138">
        <f>'Expenditures 15-22'!D246</f>
        <v>779</v>
      </c>
      <c r="D1423" s="2" t="str">
        <f t="shared" si="21"/>
        <v>Error?</v>
      </c>
    </row>
    <row r="1424" spans="1:4" x14ac:dyDescent="0.2">
      <c r="A1424" s="5">
        <v>1363</v>
      </c>
      <c r="B1424" s="138">
        <f>'Expenditures 15-22'!D257</f>
        <v>932</v>
      </c>
      <c r="C1424" s="2" t="s">
        <v>573</v>
      </c>
      <c r="D1424" s="2" t="str">
        <f t="shared" si="21"/>
        <v>Error?</v>
      </c>
    </row>
    <row r="1425" spans="1:4" x14ac:dyDescent="0.2">
      <c r="A1425" s="5">
        <v>1364</v>
      </c>
      <c r="B1425" s="138">
        <f>'Expenditures 15-22'!D259</f>
        <v>656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656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8402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6577</v>
      </c>
      <c r="D1431" s="2" t="str">
        <f t="shared" si="21"/>
        <v>Error?</v>
      </c>
    </row>
    <row r="1432" spans="1:4" x14ac:dyDescent="0.2">
      <c r="A1432" s="5">
        <v>1371</v>
      </c>
      <c r="B1432" s="138">
        <f>'Expenditures 15-22'!D267</f>
        <v>3740</v>
      </c>
      <c r="D1432" s="2" t="str">
        <f t="shared" si="21"/>
        <v>Error?</v>
      </c>
    </row>
    <row r="1433" spans="1:4" x14ac:dyDescent="0.2">
      <c r="A1433" s="5">
        <v>1372</v>
      </c>
      <c r="B1433" s="138">
        <f>'Expenditures 15-22'!D268</f>
        <v>6125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24844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27247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44393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886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17146</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648</v>
      </c>
      <c r="C1479" s="2" t="s">
        <v>573</v>
      </c>
      <c r="D1479" s="2" t="str">
        <f t="shared" si="22"/>
        <v>Error?</v>
      </c>
    </row>
    <row r="1480" spans="1:4" x14ac:dyDescent="0.2">
      <c r="A1480" s="5">
        <v>1419</v>
      </c>
      <c r="B1480" s="138">
        <f>'Expenditures 15-22'!K237</f>
        <v>74</v>
      </c>
      <c r="C1480" s="2" t="s">
        <v>573</v>
      </c>
      <c r="D1480" s="2" t="str">
        <f t="shared" si="22"/>
        <v>Error?</v>
      </c>
    </row>
    <row r="1481" spans="1:4" x14ac:dyDescent="0.2">
      <c r="A1481" s="5">
        <v>1420</v>
      </c>
      <c r="B1481" s="138">
        <f>'Expenditures 15-22'!K238</f>
        <v>722</v>
      </c>
      <c r="C1481" s="2" t="s">
        <v>573</v>
      </c>
      <c r="D1481" s="2" t="str">
        <f t="shared" si="22"/>
        <v>Error?</v>
      </c>
    </row>
    <row r="1482" spans="1:4" x14ac:dyDescent="0.2">
      <c r="A1482" s="5">
        <v>1421</v>
      </c>
      <c r="B1482" s="138">
        <f>'Expenditures 15-22'!K240</f>
        <v>93</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93</v>
      </c>
      <c r="C1485" s="2" t="s">
        <v>573</v>
      </c>
      <c r="D1485" s="2" t="str">
        <f t="shared" si="22"/>
        <v>Error?</v>
      </c>
    </row>
    <row r="1486" spans="1:4" x14ac:dyDescent="0.2">
      <c r="A1486" s="5">
        <v>1425</v>
      </c>
      <c r="B1486" s="138">
        <f>'Expenditures 15-22'!K245</f>
        <v>153</v>
      </c>
      <c r="C1486" s="2" t="s">
        <v>573</v>
      </c>
      <c r="D1486" s="2" t="str">
        <f t="shared" si="22"/>
        <v>Error?</v>
      </c>
    </row>
    <row r="1487" spans="1:4" x14ac:dyDescent="0.2">
      <c r="A1487" s="5">
        <v>1426</v>
      </c>
      <c r="B1487" s="138">
        <f>'Expenditures 15-22'!K246</f>
        <v>779</v>
      </c>
      <c r="C1487" s="2" t="s">
        <v>573</v>
      </c>
      <c r="D1487" s="2" t="str">
        <f t="shared" si="22"/>
        <v>Error?</v>
      </c>
    </row>
    <row r="1488" spans="1:4" x14ac:dyDescent="0.2">
      <c r="A1488" s="5">
        <v>1427</v>
      </c>
      <c r="B1488" s="138">
        <f>'Expenditures 15-22'!K257</f>
        <v>932</v>
      </c>
      <c r="C1488" s="2" t="s">
        <v>573</v>
      </c>
      <c r="D1488" s="2" t="str">
        <f t="shared" si="22"/>
        <v>Error?</v>
      </c>
    </row>
    <row r="1489" spans="1:4" x14ac:dyDescent="0.2">
      <c r="A1489" s="5">
        <v>1428</v>
      </c>
      <c r="B1489" s="138">
        <f>'Expenditures 15-22'!K259</f>
        <v>656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656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8402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6577</v>
      </c>
      <c r="C1495" s="2" t="s">
        <v>573</v>
      </c>
      <c r="D1495" s="2" t="str">
        <f t="shared" si="22"/>
        <v>Error?</v>
      </c>
    </row>
    <row r="1496" spans="1:4" x14ac:dyDescent="0.2">
      <c r="A1496" s="5">
        <v>1435</v>
      </c>
      <c r="B1496" s="138">
        <f>'Expenditures 15-22'!K267</f>
        <v>3740</v>
      </c>
      <c r="C1496" s="2" t="s">
        <v>573</v>
      </c>
      <c r="D1496" s="2" t="str">
        <f t="shared" si="22"/>
        <v>Error?</v>
      </c>
    </row>
    <row r="1497" spans="1:4" x14ac:dyDescent="0.2">
      <c r="A1497" s="5">
        <v>1436</v>
      </c>
      <c r="B1497" s="138">
        <f>'Expenditures 15-22'!K268</f>
        <v>6125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24844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27247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44393</v>
      </c>
      <c r="C1517" s="2" t="s">
        <v>573</v>
      </c>
      <c r="D1517" s="2" t="str">
        <f t="shared" si="22"/>
        <v>Error?</v>
      </c>
    </row>
    <row r="1518" spans="1:4" x14ac:dyDescent="0.2">
      <c r="A1518" s="5">
        <v>1457</v>
      </c>
      <c r="B1518" s="138">
        <f>'Expenditures 15-22'!K296</f>
        <v>-19486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4640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4640</v>
      </c>
      <c r="C1535" s="2" t="s">
        <v>573</v>
      </c>
      <c r="D1535" s="2" t="str">
        <f t="shared" ref="D1535:D1598" si="23">IF(ISBLANK(B1535),"OK",IF(A1535-B1535=0,"OK","Error?"))</f>
        <v>Error?</v>
      </c>
    </row>
    <row r="1536" spans="1:4" x14ac:dyDescent="0.2">
      <c r="A1536" s="5">
        <v>1475</v>
      </c>
      <c r="B1536" s="138">
        <f>'Expenditures 15-22'!E312</f>
        <v>4640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751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751</v>
      </c>
      <c r="C1547" s="2" t="s">
        <v>573</v>
      </c>
      <c r="D1547" s="2" t="str">
        <f t="shared" si="23"/>
        <v>Error?</v>
      </c>
    </row>
    <row r="1548" spans="1:4" x14ac:dyDescent="0.2">
      <c r="A1548" s="5">
        <v>1487</v>
      </c>
      <c r="B1548" s="138">
        <f>'Expenditures 15-22'!G312</f>
        <v>751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5391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5391</v>
      </c>
      <c r="C1559" s="2" t="s">
        <v>573</v>
      </c>
      <c r="D1559" s="2" t="str">
        <f t="shared" si="23"/>
        <v>Error?</v>
      </c>
    </row>
    <row r="1560" spans="1:4" x14ac:dyDescent="0.2">
      <c r="A1560" s="5">
        <v>1499</v>
      </c>
      <c r="B1560" s="138">
        <f>'Expenditures 15-22'!K312</f>
        <v>5391</v>
      </c>
      <c r="C1560" s="2" t="s">
        <v>573</v>
      </c>
      <c r="D1560" s="2" t="str">
        <f t="shared" si="23"/>
        <v>Error?</v>
      </c>
    </row>
    <row r="1561" spans="1:4" x14ac:dyDescent="0.2">
      <c r="A1561" s="5">
        <v>1500</v>
      </c>
      <c r="B1561" s="138">
        <f>'Expenditures 15-22'!K313</f>
        <v>9550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868079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933388</v>
      </c>
      <c r="C1630" s="2" t="s">
        <v>573</v>
      </c>
      <c r="D1630" s="2" t="str">
        <f t="shared" si="24"/>
        <v>Error?</v>
      </c>
    </row>
    <row r="1631" spans="1:4" x14ac:dyDescent="0.2">
      <c r="A1631" s="5">
        <v>1570</v>
      </c>
      <c r="B1631" s="138">
        <f>'Acct Summary 7-8'!D79</f>
        <v>127825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159915</v>
      </c>
      <c r="C1644" s="2" t="s">
        <v>573</v>
      </c>
      <c r="D1644" s="2" t="str">
        <f t="shared" si="24"/>
        <v>Error?</v>
      </c>
    </row>
    <row r="1645" spans="1:4" x14ac:dyDescent="0.2">
      <c r="A1645" s="5">
        <v>1584</v>
      </c>
      <c r="B1645" s="138">
        <f>'Acct Summary 7-8'!E79</f>
        <v>61121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62442</v>
      </c>
      <c r="C1658" s="2" t="s">
        <v>573</v>
      </c>
      <c r="D1658" s="2" t="str">
        <f t="shared" si="24"/>
        <v>Error?</v>
      </c>
    </row>
    <row r="1659" spans="1:4" x14ac:dyDescent="0.2">
      <c r="A1659" s="5">
        <v>1598</v>
      </c>
      <c r="B1659" s="138">
        <f>'Acct Summary 7-8'!F79</f>
        <v>88638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103160</v>
      </c>
      <c r="C1672" s="2" t="s">
        <v>573</v>
      </c>
      <c r="D1672" s="2" t="str">
        <f t="shared" si="25"/>
        <v>Error?</v>
      </c>
    </row>
    <row r="1673" spans="1:4" x14ac:dyDescent="0.2">
      <c r="A1673" s="5">
        <v>1612</v>
      </c>
      <c r="B1673" s="138">
        <f>'Acct Summary 7-8'!G79</f>
        <v>261655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242169</v>
      </c>
      <c r="C1686" s="2" t="s">
        <v>573</v>
      </c>
      <c r="D1686" s="2" t="str">
        <f t="shared" si="25"/>
        <v>Error?</v>
      </c>
    </row>
    <row r="1687" spans="1:4" x14ac:dyDescent="0.2">
      <c r="A1687" s="5">
        <v>1626</v>
      </c>
      <c r="B1687" s="138">
        <f>'Acct Summary 7-8'!H79</f>
        <v>15360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24910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179453</v>
      </c>
      <c r="C1744" s="2" t="s">
        <v>573</v>
      </c>
      <c r="D1744" s="2" t="str">
        <f t="shared" si="26"/>
        <v>Error?</v>
      </c>
    </row>
    <row r="1745" spans="1:5" x14ac:dyDescent="0.2">
      <c r="A1745" s="5">
        <v>1684</v>
      </c>
      <c r="B1745" s="138">
        <f>'Tax Sched 23'!B5</f>
        <v>49478</v>
      </c>
      <c r="C1745" s="2" t="s">
        <v>573</v>
      </c>
      <c r="D1745" s="2" t="str">
        <f t="shared" si="26"/>
        <v>Error?</v>
      </c>
    </row>
    <row r="1746" spans="1:5" x14ac:dyDescent="0.2">
      <c r="A1746" s="5">
        <v>1685</v>
      </c>
      <c r="B1746" s="138">
        <f>'Tax Sched 23'!B6</f>
        <v>59307</v>
      </c>
      <c r="C1746" s="2" t="s">
        <v>573</v>
      </c>
      <c r="D1746" s="2" t="str">
        <f t="shared" si="26"/>
        <v>Error?</v>
      </c>
    </row>
    <row r="1747" spans="1:5" x14ac:dyDescent="0.2">
      <c r="A1747" s="5">
        <v>1686</v>
      </c>
      <c r="B1747" s="138">
        <f>'Tax Sched 23'!B7</f>
        <v>23749</v>
      </c>
      <c r="C1747" s="2" t="s">
        <v>573</v>
      </c>
      <c r="D1747" s="2" t="str">
        <f t="shared" si="26"/>
        <v>Error?</v>
      </c>
    </row>
    <row r="1748" spans="1:5" x14ac:dyDescent="0.2">
      <c r="A1748" s="5">
        <v>1687</v>
      </c>
      <c r="B1748" s="138">
        <f>'Tax Sched 23'!B8</f>
        <v>10124</v>
      </c>
      <c r="C1748" s="2" t="s">
        <v>573</v>
      </c>
      <c r="D1748" s="2" t="str">
        <f t="shared" si="26"/>
        <v>Error?</v>
      </c>
    </row>
    <row r="1749" spans="1:5" x14ac:dyDescent="0.2">
      <c r="A1749" s="5">
        <v>1688</v>
      </c>
      <c r="B1749" s="138">
        <f>'Tax Sched 23'!B10</f>
        <v>9896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119460</v>
      </c>
      <c r="C1752" s="2" t="s">
        <v>573</v>
      </c>
      <c r="D1752" s="2" t="str">
        <f t="shared" si="26"/>
        <v>Error?</v>
      </c>
    </row>
    <row r="1753" spans="1:5" x14ac:dyDescent="0.2">
      <c r="A1753" s="5">
        <v>1692</v>
      </c>
      <c r="B1753" s="138">
        <f>'Tax Sched 23'!B12</f>
        <v>9896</v>
      </c>
      <c r="C1753" s="2" t="s">
        <v>573</v>
      </c>
      <c r="D1753" s="2" t="str">
        <f t="shared" si="26"/>
        <v>Error?</v>
      </c>
    </row>
    <row r="1754" spans="1:5" x14ac:dyDescent="0.2">
      <c r="A1754" s="5">
        <v>1693</v>
      </c>
      <c r="B1754" s="138">
        <f>'Tax Sched 23'!B14</f>
        <v>3958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488378</v>
      </c>
      <c r="C1759" s="2" t="s">
        <v>573</v>
      </c>
      <c r="D1759" s="2" t="str">
        <f t="shared" si="26"/>
        <v>Error?</v>
      </c>
    </row>
    <row r="1760" spans="1:5" x14ac:dyDescent="0.2">
      <c r="A1760" s="5">
        <v>1699</v>
      </c>
      <c r="B1760" s="138">
        <f>'Tax Sched 23'!D4</f>
        <v>179453</v>
      </c>
      <c r="C1760" s="2" t="s">
        <v>573</v>
      </c>
      <c r="D1760" s="2" t="str">
        <f t="shared" si="26"/>
        <v>Error?</v>
      </c>
    </row>
    <row r="1761" spans="1:5" x14ac:dyDescent="0.2">
      <c r="A1761" s="5">
        <v>1700</v>
      </c>
      <c r="B1761" s="138">
        <f>'Tax Sched 23'!D5</f>
        <v>49478</v>
      </c>
      <c r="C1761" s="2" t="s">
        <v>573</v>
      </c>
      <c r="D1761" s="2" t="str">
        <f t="shared" si="26"/>
        <v>Error?</v>
      </c>
    </row>
    <row r="1762" spans="1:5" s="8" customFormat="1" x14ac:dyDescent="0.2">
      <c r="A1762" s="5">
        <v>1701</v>
      </c>
      <c r="B1762" s="138">
        <f>'Tax Sched 23'!D6</f>
        <v>59307</v>
      </c>
      <c r="C1762" s="2" t="s">
        <v>573</v>
      </c>
      <c r="D1762" s="2" t="str">
        <f t="shared" si="26"/>
        <v>Error?</v>
      </c>
      <c r="E1762" s="9"/>
    </row>
    <row r="1763" spans="1:5" x14ac:dyDescent="0.2">
      <c r="A1763" s="5">
        <v>1702</v>
      </c>
      <c r="B1763" s="138">
        <f>'Tax Sched 23'!D7</f>
        <v>23749</v>
      </c>
      <c r="C1763" s="2" t="s">
        <v>573</v>
      </c>
      <c r="D1763" s="2" t="str">
        <f t="shared" si="26"/>
        <v>Error?</v>
      </c>
    </row>
    <row r="1764" spans="1:5" x14ac:dyDescent="0.2">
      <c r="A1764" s="5">
        <v>1703</v>
      </c>
      <c r="B1764" s="138">
        <f>'Tax Sched 23'!D8</f>
        <v>10124</v>
      </c>
      <c r="C1764" s="2" t="s">
        <v>573</v>
      </c>
      <c r="D1764" s="2" t="str">
        <f t="shared" si="26"/>
        <v>Error?</v>
      </c>
    </row>
    <row r="1765" spans="1:5" x14ac:dyDescent="0.2">
      <c r="A1765" s="5">
        <v>1704</v>
      </c>
      <c r="B1765" s="138">
        <f>'Tax Sched 23'!D10</f>
        <v>9896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119460</v>
      </c>
      <c r="C1768" s="2" t="s">
        <v>573</v>
      </c>
      <c r="D1768" s="2" t="str">
        <f t="shared" si="26"/>
        <v>Error?</v>
      </c>
    </row>
    <row r="1769" spans="1:5" x14ac:dyDescent="0.2">
      <c r="A1769" s="5">
        <v>1708</v>
      </c>
      <c r="B1769" s="138">
        <f>'Tax Sched 23'!D12</f>
        <v>9896</v>
      </c>
      <c r="C1769" s="2" t="s">
        <v>573</v>
      </c>
      <c r="D1769" s="2" t="str">
        <f t="shared" si="26"/>
        <v>Error?</v>
      </c>
    </row>
    <row r="1770" spans="1:5" x14ac:dyDescent="0.2">
      <c r="A1770" s="5">
        <v>1709</v>
      </c>
      <c r="B1770" s="138">
        <f>'Tax Sched 23'!D14</f>
        <v>3958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488378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240291</v>
      </c>
      <c r="C1792" s="2" t="s">
        <v>573</v>
      </c>
      <c r="D1792" s="2" t="str">
        <f t="shared" si="27"/>
        <v>Error?</v>
      </c>
    </row>
    <row r="1793" spans="1:4" x14ac:dyDescent="0.2">
      <c r="A1793" s="5">
        <v>1732</v>
      </c>
      <c r="B1793" s="138">
        <f>'Tax Sched 23'!F5</f>
        <v>65296</v>
      </c>
      <c r="C1793" s="2" t="s">
        <v>573</v>
      </c>
      <c r="D1793" s="2" t="str">
        <f t="shared" si="27"/>
        <v>Error?</v>
      </c>
    </row>
    <row r="1794" spans="1:4" x14ac:dyDescent="0.2">
      <c r="A1794" s="5">
        <v>1733</v>
      </c>
      <c r="B1794" s="138">
        <f>'Tax Sched 23'!F6</f>
        <v>74091</v>
      </c>
      <c r="C1794" s="2" t="s">
        <v>573</v>
      </c>
      <c r="D1794" s="2" t="str">
        <f t="shared" si="27"/>
        <v>Error?</v>
      </c>
    </row>
    <row r="1795" spans="1:4" x14ac:dyDescent="0.2">
      <c r="A1795" s="5">
        <v>1734</v>
      </c>
      <c r="B1795" s="138">
        <f>'Tax Sched 23'!F7</f>
        <v>31342</v>
      </c>
      <c r="C1795" s="2" t="s">
        <v>573</v>
      </c>
      <c r="D1795" s="2" t="str">
        <f t="shared" si="27"/>
        <v>Error?</v>
      </c>
    </row>
    <row r="1796" spans="1:4" x14ac:dyDescent="0.2">
      <c r="A1796" s="5">
        <v>1735</v>
      </c>
      <c r="B1796" s="138">
        <f>'Tax Sched 23'!F8</f>
        <v>7426</v>
      </c>
      <c r="C1796" s="2" t="s">
        <v>573</v>
      </c>
      <c r="D1796" s="2" t="str">
        <f t="shared" si="27"/>
        <v>Error?</v>
      </c>
    </row>
    <row r="1797" spans="1:4" x14ac:dyDescent="0.2">
      <c r="A1797" s="5">
        <v>1736</v>
      </c>
      <c r="B1797" s="138">
        <f>'Tax Sched 23'!F10</f>
        <v>13059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156440</v>
      </c>
      <c r="C1800" s="2" t="s">
        <v>573</v>
      </c>
      <c r="D1800" s="2" t="str">
        <f t="shared" si="27"/>
        <v>Error?</v>
      </c>
    </row>
    <row r="1801" spans="1:4" x14ac:dyDescent="0.2">
      <c r="A1801" s="5">
        <v>1740</v>
      </c>
      <c r="B1801" s="138">
        <f>'Tax Sched 23'!F12</f>
        <v>13059</v>
      </c>
      <c r="C1801" s="2" t="s">
        <v>573</v>
      </c>
      <c r="D1801" s="2" t="str">
        <f t="shared" si="27"/>
        <v>Error?</v>
      </c>
    </row>
    <row r="1802" spans="1:4" x14ac:dyDescent="0.2">
      <c r="A1802" s="5">
        <v>1741</v>
      </c>
      <c r="B1802" s="138">
        <f>'Tax Sched 23'!F14</f>
        <v>5224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626713</v>
      </c>
      <c r="C1807" s="2" t="s">
        <v>573</v>
      </c>
      <c r="D1807" s="2" t="str">
        <f t="shared" si="27"/>
        <v>Error?</v>
      </c>
    </row>
    <row r="1808" spans="1:4" x14ac:dyDescent="0.2">
      <c r="A1808" s="5">
        <v>1747</v>
      </c>
      <c r="B1808" s="138">
        <f>'Tax Sched 23'!E4</f>
        <v>240291</v>
      </c>
      <c r="D1808" s="2" t="str">
        <f t="shared" si="27"/>
        <v>Error?</v>
      </c>
    </row>
    <row r="1809" spans="1:4" x14ac:dyDescent="0.2">
      <c r="A1809" s="5">
        <v>1748</v>
      </c>
      <c r="B1809" s="138">
        <f>'Tax Sched 23'!E5</f>
        <v>65296</v>
      </c>
      <c r="D1809" s="2" t="str">
        <f t="shared" si="27"/>
        <v>Error?</v>
      </c>
    </row>
    <row r="1810" spans="1:4" x14ac:dyDescent="0.2">
      <c r="A1810" s="5">
        <v>1749</v>
      </c>
      <c r="B1810" s="138">
        <f>'Tax Sched 23'!E6</f>
        <v>74091</v>
      </c>
      <c r="D1810" s="2" t="str">
        <f t="shared" si="27"/>
        <v>Error?</v>
      </c>
    </row>
    <row r="1811" spans="1:4" x14ac:dyDescent="0.2">
      <c r="A1811" s="5">
        <v>1750</v>
      </c>
      <c r="B1811" s="138">
        <f>'Tax Sched 23'!E7</f>
        <v>31342</v>
      </c>
      <c r="D1811" s="2" t="str">
        <f t="shared" si="27"/>
        <v>Error?</v>
      </c>
    </row>
    <row r="1812" spans="1:4" x14ac:dyDescent="0.2">
      <c r="A1812" s="5">
        <v>1751</v>
      </c>
      <c r="B1812" s="138">
        <f>'Tax Sched 23'!E8</f>
        <v>7426</v>
      </c>
      <c r="D1812" s="2" t="str">
        <f t="shared" si="27"/>
        <v>Error?</v>
      </c>
    </row>
    <row r="1813" spans="1:4" x14ac:dyDescent="0.2">
      <c r="A1813" s="5">
        <v>1752</v>
      </c>
      <c r="B1813" s="138">
        <f>'Tax Sched 23'!E10</f>
        <v>13059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156440</v>
      </c>
      <c r="D1816" s="2" t="str">
        <f t="shared" si="27"/>
        <v>Error?</v>
      </c>
    </row>
    <row r="1817" spans="1:4" x14ac:dyDescent="0.2">
      <c r="A1817" s="5">
        <v>1756</v>
      </c>
      <c r="B1817" s="138">
        <f>'Tax Sched 23'!E12</f>
        <v>13059</v>
      </c>
      <c r="D1817" s="2" t="str">
        <f t="shared" si="27"/>
        <v>Error?</v>
      </c>
    </row>
    <row r="1818" spans="1:4" x14ac:dyDescent="0.2">
      <c r="A1818" s="5">
        <v>1757</v>
      </c>
      <c r="B1818" s="138">
        <f>'Tax Sched 23'!E14</f>
        <v>5224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626713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301844</v>
      </c>
      <c r="C1939" s="2" t="s">
        <v>573</v>
      </c>
      <c r="D1939" s="2" t="str">
        <f t="shared" si="29"/>
        <v>Error?</v>
      </c>
    </row>
    <row r="1940" spans="1:5" x14ac:dyDescent="0.2">
      <c r="A1940" s="5">
        <v>1879</v>
      </c>
      <c r="B1940" s="138">
        <f>'Short-Term Long-Term Debt 24'!F49</f>
        <v>330000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3958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3958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3958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15515</v>
      </c>
      <c r="D2008" s="2" t="str">
        <f t="shared" si="30"/>
        <v>Error?</v>
      </c>
    </row>
    <row r="2009" spans="1:4" x14ac:dyDescent="0.2">
      <c r="A2009" s="5">
        <v>1948</v>
      </c>
      <c r="B2009" s="138">
        <f>'Cap Outlay Deprec 26'!C8</f>
        <v>4136679</v>
      </c>
      <c r="D2009" s="2" t="str">
        <f t="shared" si="30"/>
        <v>Error?</v>
      </c>
    </row>
    <row r="2010" spans="1:4" x14ac:dyDescent="0.2">
      <c r="A2010" s="5">
        <v>1949</v>
      </c>
      <c r="B2010" s="138">
        <f>'Cap Outlay Deprec 26'!C10</f>
        <v>213517</v>
      </c>
      <c r="D2010" s="2" t="str">
        <f t="shared" si="30"/>
        <v>Error?</v>
      </c>
    </row>
    <row r="2011" spans="1:4" x14ac:dyDescent="0.2">
      <c r="A2011" s="5">
        <v>1950</v>
      </c>
      <c r="B2011" s="138">
        <f>'Cap Outlay Deprec 26'!C12</f>
        <v>151457</v>
      </c>
      <c r="D2011" s="2" t="str">
        <f t="shared" si="30"/>
        <v>Error?</v>
      </c>
    </row>
    <row r="2012" spans="1:4" x14ac:dyDescent="0.2">
      <c r="A2012" s="5">
        <v>1951</v>
      </c>
      <c r="B2012" s="138">
        <f>'Cap Outlay Deprec 26'!C13</f>
        <v>279785</v>
      </c>
      <c r="D2012" s="2" t="str">
        <f t="shared" si="30"/>
        <v>Error?</v>
      </c>
    </row>
    <row r="2013" spans="1:4" x14ac:dyDescent="0.2">
      <c r="A2013" s="5">
        <v>1952</v>
      </c>
      <c r="B2013" s="138">
        <f>'Cap Outlay Deprec 26'!C16</f>
        <v>4796953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7024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7024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9938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9938</v>
      </c>
      <c r="C2025" s="2" t="s">
        <v>573</v>
      </c>
      <c r="D2025" s="2" t="str">
        <f t="shared" si="30"/>
        <v>Error?</v>
      </c>
    </row>
    <row r="2026" spans="1:4" x14ac:dyDescent="0.2">
      <c r="A2026" s="5">
        <v>1965</v>
      </c>
      <c r="B2026" s="138">
        <f>'Cap Outlay Deprec 26'!F5</f>
        <v>15515</v>
      </c>
      <c r="C2026" s="2" t="s">
        <v>573</v>
      </c>
      <c r="D2026" s="2" t="str">
        <f t="shared" si="30"/>
        <v>Error?</v>
      </c>
    </row>
    <row r="2027" spans="1:4" x14ac:dyDescent="0.2">
      <c r="A2027" s="5">
        <v>1966</v>
      </c>
      <c r="B2027" s="138">
        <f>'Cap Outlay Deprec 26'!F8</f>
        <v>4136679</v>
      </c>
      <c r="C2027" s="2" t="s">
        <v>573</v>
      </c>
      <c r="D2027" s="2" t="str">
        <f t="shared" si="30"/>
        <v>Error?</v>
      </c>
    </row>
    <row r="2028" spans="1:4" x14ac:dyDescent="0.2">
      <c r="A2028" s="5">
        <v>1967</v>
      </c>
      <c r="B2028" s="138">
        <f>'Cap Outlay Deprec 26'!F10</f>
        <v>213517</v>
      </c>
      <c r="C2028" s="2" t="s">
        <v>573</v>
      </c>
      <c r="D2028" s="2" t="str">
        <f t="shared" si="30"/>
        <v>Error?</v>
      </c>
    </row>
    <row r="2029" spans="1:4" x14ac:dyDescent="0.2">
      <c r="A2029" s="5">
        <v>1968</v>
      </c>
      <c r="B2029" s="138">
        <f>'Cap Outlay Deprec 26'!F12</f>
        <v>148543</v>
      </c>
      <c r="C2029" s="2" t="s">
        <v>573</v>
      </c>
      <c r="D2029" s="2" t="str">
        <f t="shared" si="30"/>
        <v>Error?</v>
      </c>
    </row>
    <row r="2030" spans="1:4" x14ac:dyDescent="0.2">
      <c r="A2030" s="5">
        <v>1969</v>
      </c>
      <c r="B2030" s="138">
        <f>'Cap Outlay Deprec 26'!F13</f>
        <v>279785</v>
      </c>
      <c r="C2030" s="2" t="s">
        <v>573</v>
      </c>
      <c r="D2030" s="2" t="str">
        <f t="shared" si="30"/>
        <v>Error?</v>
      </c>
    </row>
    <row r="2031" spans="1:4" x14ac:dyDescent="0.2">
      <c r="A2031" s="5">
        <v>1970</v>
      </c>
      <c r="B2031" s="138">
        <f>'Cap Outlay Deprec 26'!F16</f>
        <v>4794039</v>
      </c>
      <c r="C2031" s="2" t="s">
        <v>573</v>
      </c>
      <c r="D2031" s="2" t="str">
        <f t="shared" si="30"/>
        <v>Error?</v>
      </c>
    </row>
    <row r="2032" spans="1:4" x14ac:dyDescent="0.2">
      <c r="A2032" s="10">
        <v>1971</v>
      </c>
      <c r="D2032" s="2" t="str">
        <f t="shared" si="30"/>
        <v>OK</v>
      </c>
    </row>
    <row r="2033" spans="1:4" x14ac:dyDescent="0.2">
      <c r="A2033" s="5">
        <v>1972</v>
      </c>
      <c r="B2033" s="138">
        <f>'Cap Outlay Deprec 26'!H8</f>
        <v>1475962</v>
      </c>
      <c r="D2033" s="2" t="str">
        <f t="shared" si="30"/>
        <v>Error?</v>
      </c>
    </row>
    <row r="2034" spans="1:4" x14ac:dyDescent="0.2">
      <c r="A2034" s="5">
        <v>1973</v>
      </c>
      <c r="B2034" s="138">
        <f>'Cap Outlay Deprec 26'!H10</f>
        <v>91374</v>
      </c>
      <c r="D2034" s="2" t="str">
        <f t="shared" si="30"/>
        <v>Error?</v>
      </c>
    </row>
    <row r="2035" spans="1:4" x14ac:dyDescent="0.2">
      <c r="A2035" s="5">
        <v>1974</v>
      </c>
      <c r="B2035" s="138">
        <f>'Cap Outlay Deprec 26'!H12</f>
        <v>72693</v>
      </c>
      <c r="D2035" s="2" t="str">
        <f t="shared" si="30"/>
        <v>Error?</v>
      </c>
    </row>
    <row r="2036" spans="1:4" x14ac:dyDescent="0.2">
      <c r="A2036" s="5">
        <v>1975</v>
      </c>
      <c r="B2036" s="138">
        <f>'Cap Outlay Deprec 26'!H13</f>
        <v>94371</v>
      </c>
      <c r="D2036" s="2" t="str">
        <f t="shared" si="30"/>
        <v>Error?</v>
      </c>
    </row>
    <row r="2037" spans="1:4" x14ac:dyDescent="0.2">
      <c r="A2037" s="5">
        <v>1976</v>
      </c>
      <c r="B2037" s="138">
        <f>'Cap Outlay Deprec 26'!H16</f>
        <v>1734400</v>
      </c>
      <c r="C2037" s="2" t="s">
        <v>573</v>
      </c>
      <c r="D2037" s="2" t="str">
        <f t="shared" si="30"/>
        <v>Error?</v>
      </c>
    </row>
    <row r="2038" spans="1:4" x14ac:dyDescent="0.2">
      <c r="A2038" s="10">
        <v>1977</v>
      </c>
      <c r="D2038" s="2" t="str">
        <f t="shared" si="30"/>
        <v>OK</v>
      </c>
    </row>
    <row r="2039" spans="1:4" x14ac:dyDescent="0.2">
      <c r="A2039" s="5">
        <v>1978</v>
      </c>
      <c r="B2039" s="138">
        <f>'Cap Outlay Deprec 26'!I8</f>
        <v>82733</v>
      </c>
      <c r="D2039" s="2" t="str">
        <f t="shared" si="30"/>
        <v>Error?</v>
      </c>
    </row>
    <row r="2040" spans="1:4" x14ac:dyDescent="0.2">
      <c r="A2040" s="5">
        <v>1979</v>
      </c>
      <c r="B2040" s="138">
        <f>'Cap Outlay Deprec 26'!I10</f>
        <v>10676</v>
      </c>
      <c r="D2040" s="2" t="str">
        <f t="shared" si="30"/>
        <v>Error?</v>
      </c>
    </row>
    <row r="2041" spans="1:4" x14ac:dyDescent="0.2">
      <c r="A2041" s="5">
        <v>1980</v>
      </c>
      <c r="B2041" s="138">
        <f>'Cap Outlay Deprec 26'!I12</f>
        <v>15843</v>
      </c>
      <c r="D2041" s="2" t="str">
        <f t="shared" si="30"/>
        <v>Error?</v>
      </c>
    </row>
    <row r="2042" spans="1:4" x14ac:dyDescent="0.2">
      <c r="A2042" s="5">
        <v>1981</v>
      </c>
      <c r="B2042" s="138">
        <f>'Cap Outlay Deprec 26'!I13</f>
        <v>55957</v>
      </c>
      <c r="D2042" s="2" t="str">
        <f t="shared" si="30"/>
        <v>Error?</v>
      </c>
    </row>
    <row r="2043" spans="1:4" x14ac:dyDescent="0.2">
      <c r="A2043" s="5">
        <v>1982</v>
      </c>
      <c r="B2043" s="138">
        <f>'Cap Outlay Deprec 26'!I16</f>
        <v>165209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9938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9938</v>
      </c>
      <c r="C2049" s="2" t="s">
        <v>573</v>
      </c>
      <c r="D2049" s="2" t="str">
        <f t="shared" si="31"/>
        <v>Error?</v>
      </c>
    </row>
    <row r="2050" spans="1:4" x14ac:dyDescent="0.2">
      <c r="A2050" s="10">
        <v>1989</v>
      </c>
      <c r="D2050" s="2" t="str">
        <f t="shared" si="31"/>
        <v>OK</v>
      </c>
    </row>
    <row r="2051" spans="1:4" x14ac:dyDescent="0.2">
      <c r="A2051" s="5">
        <v>1990</v>
      </c>
      <c r="B2051" s="138">
        <f>'Cap Outlay Deprec 26'!K8</f>
        <v>1558695</v>
      </c>
      <c r="C2051" s="2" t="s">
        <v>573</v>
      </c>
      <c r="D2051" s="2" t="str">
        <f t="shared" si="31"/>
        <v>Error?</v>
      </c>
    </row>
    <row r="2052" spans="1:4" x14ac:dyDescent="0.2">
      <c r="A2052" s="5">
        <v>1991</v>
      </c>
      <c r="B2052" s="138">
        <f>'Cap Outlay Deprec 26'!K10</f>
        <v>102050</v>
      </c>
      <c r="C2052" s="2" t="s">
        <v>573</v>
      </c>
      <c r="D2052" s="2" t="str">
        <f t="shared" si="31"/>
        <v>Error?</v>
      </c>
    </row>
    <row r="2053" spans="1:4" x14ac:dyDescent="0.2">
      <c r="A2053" s="5">
        <v>1992</v>
      </c>
      <c r="B2053" s="138">
        <f>'Cap Outlay Deprec 26'!K12</f>
        <v>78598</v>
      </c>
      <c r="C2053" s="2" t="s">
        <v>573</v>
      </c>
      <c r="D2053" s="2" t="str">
        <f t="shared" si="31"/>
        <v>Error?</v>
      </c>
    </row>
    <row r="2054" spans="1:4" x14ac:dyDescent="0.2">
      <c r="A2054" s="5">
        <v>1993</v>
      </c>
      <c r="B2054" s="138">
        <f>'Cap Outlay Deprec 26'!K13</f>
        <v>150328</v>
      </c>
      <c r="C2054" s="2" t="s">
        <v>573</v>
      </c>
      <c r="D2054" s="2" t="str">
        <f t="shared" si="31"/>
        <v>Error?</v>
      </c>
    </row>
    <row r="2055" spans="1:4" x14ac:dyDescent="0.2">
      <c r="A2055" s="5">
        <v>1994</v>
      </c>
      <c r="B2055" s="138">
        <f>'Cap Outlay Deprec 26'!K16</f>
        <v>1889671</v>
      </c>
      <c r="C2055" s="2" t="s">
        <v>573</v>
      </c>
      <c r="D2055" s="2" t="str">
        <f t="shared" si="31"/>
        <v>Error?</v>
      </c>
    </row>
    <row r="2056" spans="1:4" x14ac:dyDescent="0.2">
      <c r="A2056" s="5">
        <v>1995</v>
      </c>
      <c r="B2056" s="138">
        <f>'Cap Outlay Deprec 26'!L5</f>
        <v>15515</v>
      </c>
      <c r="C2056" s="2" t="s">
        <v>573</v>
      </c>
      <c r="D2056" s="2" t="str">
        <f t="shared" si="31"/>
        <v>Error?</v>
      </c>
    </row>
    <row r="2057" spans="1:4" x14ac:dyDescent="0.2">
      <c r="A2057" s="5">
        <v>1996</v>
      </c>
      <c r="B2057" s="138">
        <f>'Cap Outlay Deprec 26'!L8</f>
        <v>2577984</v>
      </c>
      <c r="C2057" s="2" t="s">
        <v>573</v>
      </c>
      <c r="D2057" s="2" t="str">
        <f t="shared" si="31"/>
        <v>Error?</v>
      </c>
    </row>
    <row r="2058" spans="1:4" x14ac:dyDescent="0.2">
      <c r="A2058" s="5">
        <v>1997</v>
      </c>
      <c r="B2058" s="138">
        <f>'Cap Outlay Deprec 26'!L10</f>
        <v>111467</v>
      </c>
      <c r="C2058" s="2" t="s">
        <v>573</v>
      </c>
      <c r="D2058" s="2" t="str">
        <f t="shared" si="31"/>
        <v>Error?</v>
      </c>
    </row>
    <row r="2059" spans="1:4" x14ac:dyDescent="0.2">
      <c r="A2059" s="5">
        <v>1998</v>
      </c>
      <c r="B2059" s="138">
        <f>'Cap Outlay Deprec 26'!L12</f>
        <v>69945</v>
      </c>
      <c r="C2059" s="2" t="s">
        <v>573</v>
      </c>
      <c r="D2059" s="2" t="str">
        <f t="shared" si="31"/>
        <v>Error?</v>
      </c>
    </row>
    <row r="2060" spans="1:4" x14ac:dyDescent="0.2">
      <c r="A2060" s="5">
        <v>1999</v>
      </c>
      <c r="B2060" s="138">
        <f>'Cap Outlay Deprec 26'!L13</f>
        <v>129457</v>
      </c>
      <c r="C2060" s="2" t="s">
        <v>573</v>
      </c>
      <c r="D2060" s="2" t="str">
        <f t="shared" si="31"/>
        <v>Error?</v>
      </c>
    </row>
    <row r="2061" spans="1:4" x14ac:dyDescent="0.2">
      <c r="A2061" s="5">
        <v>2000</v>
      </c>
      <c r="B2061" s="138">
        <f>'Cap Outlay Deprec 26'!L16</f>
        <v>2904368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2697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8697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9986</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85819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257588</v>
      </c>
      <c r="C2551" s="2" t="s">
        <v>573</v>
      </c>
      <c r="D2551" s="2" t="str">
        <f t="shared" si="38"/>
        <v>Error?</v>
      </c>
    </row>
    <row r="2552" spans="1:4" x14ac:dyDescent="0.2">
      <c r="A2552" s="10">
        <v>2491</v>
      </c>
      <c r="D2552" s="2" t="str">
        <f t="shared" si="38"/>
        <v>OK</v>
      </c>
    </row>
    <row r="2553" spans="1:4" x14ac:dyDescent="0.2">
      <c r="A2553" s="5">
        <v>2492</v>
      </c>
      <c r="B2553" s="138">
        <f>'Acct Summary 7-8'!C6</f>
        <v>840150</v>
      </c>
      <c r="C2553" s="2" t="s">
        <v>573</v>
      </c>
      <c r="D2553" s="2" t="str">
        <f t="shared" si="38"/>
        <v>Error?</v>
      </c>
    </row>
    <row r="2554" spans="1:4" x14ac:dyDescent="0.2">
      <c r="A2554" s="5">
        <v>2493</v>
      </c>
      <c r="B2554" s="138">
        <f>'Acct Summary 7-8'!C7</f>
        <v>124625</v>
      </c>
      <c r="C2554" s="2" t="s">
        <v>573</v>
      </c>
      <c r="D2554" s="2" t="str">
        <f t="shared" si="38"/>
        <v>Error?</v>
      </c>
    </row>
    <row r="2555" spans="1:4" x14ac:dyDescent="0.2">
      <c r="A2555" s="5">
        <v>2494</v>
      </c>
      <c r="B2555" s="138">
        <f>'Acct Summary 7-8'!C8</f>
        <v>1222363</v>
      </c>
      <c r="C2555" s="2" t="s">
        <v>573</v>
      </c>
      <c r="D2555" s="2" t="str">
        <f t="shared" si="38"/>
        <v>Error?</v>
      </c>
    </row>
    <row r="2556" spans="1:4" x14ac:dyDescent="0.2">
      <c r="A2556" s="5">
        <v>2495</v>
      </c>
      <c r="B2556" s="138">
        <f>'Acct Summary 7-8'!C12</f>
        <v>777689</v>
      </c>
      <c r="C2556" s="2" t="s">
        <v>573</v>
      </c>
      <c r="D2556" s="2" t="str">
        <f t="shared" si="38"/>
        <v>Error?</v>
      </c>
    </row>
    <row r="2557" spans="1:4" x14ac:dyDescent="0.2">
      <c r="A2557" s="5">
        <v>2496</v>
      </c>
      <c r="B2557" s="138">
        <f>'Acct Summary 7-8'!C13</f>
        <v>380342</v>
      </c>
      <c r="C2557" s="2" t="s">
        <v>573</v>
      </c>
      <c r="D2557" s="2" t="str">
        <f t="shared" si="38"/>
        <v>Error?</v>
      </c>
    </row>
    <row r="2558" spans="1:4" x14ac:dyDescent="0.2">
      <c r="A2558" s="5">
        <v>2497</v>
      </c>
      <c r="B2558" s="138">
        <f>'Acct Summary 7-8'!C14</f>
        <v>312</v>
      </c>
      <c r="C2558" s="2" t="s">
        <v>573</v>
      </c>
      <c r="D2558" s="2" t="str">
        <f t="shared" si="38"/>
        <v>Error?</v>
      </c>
    </row>
    <row r="2559" spans="1:4" x14ac:dyDescent="0.2">
      <c r="A2559" s="5">
        <v>2498</v>
      </c>
      <c r="B2559" s="138">
        <f>'Acct Summary 7-8'!C15</f>
        <v>8697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1167040</v>
      </c>
      <c r="C2561" s="2" t="s">
        <v>573</v>
      </c>
      <c r="D2561" s="2" t="str">
        <f t="shared" si="39"/>
        <v>Error?</v>
      </c>
    </row>
    <row r="2562" spans="1:4" x14ac:dyDescent="0.2">
      <c r="A2562" s="5">
        <v>2501</v>
      </c>
      <c r="B2562" s="138">
        <f>'Acct Summary 7-8'!C20</f>
        <v>55323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64881</v>
      </c>
      <c r="C2564" s="2" t="s">
        <v>573</v>
      </c>
      <c r="D2564" s="2" t="str">
        <f t="shared" si="39"/>
        <v>Error?</v>
      </c>
    </row>
    <row r="2565" spans="1:4" x14ac:dyDescent="0.2">
      <c r="A2565" s="10">
        <v>2504</v>
      </c>
      <c r="D2565" s="2" t="str">
        <f t="shared" si="39"/>
        <v>OK</v>
      </c>
    </row>
    <row r="2566" spans="1:4" x14ac:dyDescent="0.2">
      <c r="A2566" s="5">
        <v>2505</v>
      </c>
      <c r="B2566" s="138">
        <f>'Acct Summary 7-8'!D6</f>
        <v>30000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94881</v>
      </c>
      <c r="C2568" s="2" t="s">
        <v>573</v>
      </c>
      <c r="D2568" s="2" t="str">
        <f t="shared" si="39"/>
        <v>Error?</v>
      </c>
    </row>
    <row r="2569" spans="1:4" x14ac:dyDescent="0.2">
      <c r="A2569" s="5">
        <v>2508</v>
      </c>
      <c r="B2569" s="138">
        <f>'Acct Summary 7-8'!D13</f>
        <v>62791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62791</v>
      </c>
      <c r="C2573" s="2" t="s">
        <v>573</v>
      </c>
      <c r="D2573" s="2" t="str">
        <f t="shared" si="39"/>
        <v>Error?</v>
      </c>
    </row>
    <row r="2574" spans="1:4" x14ac:dyDescent="0.2">
      <c r="A2574" s="5">
        <v>2513</v>
      </c>
      <c r="B2574" s="138">
        <f>'Acct Summary 7-8'!D20</f>
        <v>32090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24188</v>
      </c>
      <c r="C2591" s="2" t="s">
        <v>573</v>
      </c>
      <c r="D2591" s="2" t="str">
        <f t="shared" si="39"/>
        <v>Error?</v>
      </c>
    </row>
    <row r="2592" spans="1:4" x14ac:dyDescent="0.2">
      <c r="A2592" s="10">
        <v>2531</v>
      </c>
      <c r="D2592" s="2" t="str">
        <f t="shared" si="39"/>
        <v>OK</v>
      </c>
    </row>
    <row r="2593" spans="1:4" x14ac:dyDescent="0.2">
      <c r="A2593" s="5">
        <v>2532</v>
      </c>
      <c r="B2593" s="138">
        <f>'Acct Summary 7-8'!F6</f>
        <v>79053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103241</v>
      </c>
      <c r="C2595" s="2" t="s">
        <v>573</v>
      </c>
      <c r="D2595" s="2" t="str">
        <f t="shared" si="39"/>
        <v>Error?</v>
      </c>
    </row>
    <row r="2596" spans="1:4" x14ac:dyDescent="0.2">
      <c r="A2596" s="5">
        <v>2535</v>
      </c>
      <c r="B2596" s="138">
        <f>'Acct Summary 7-8'!F13</f>
        <v>49323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39396</v>
      </c>
      <c r="C2599" s="2" t="s">
        <v>573</v>
      </c>
      <c r="D2599" s="2" t="str">
        <f t="shared" si="39"/>
        <v>Error?</v>
      </c>
    </row>
    <row r="2600" spans="1:4" x14ac:dyDescent="0.2">
      <c r="A2600" s="5">
        <v>2539</v>
      </c>
      <c r="B2600" s="138">
        <f>'Acct Summary 7-8'!F17</f>
        <v>88719</v>
      </c>
      <c r="C2600" s="2" t="s">
        <v>573</v>
      </c>
      <c r="D2600" s="2" t="str">
        <f t="shared" si="39"/>
        <v>Error?</v>
      </c>
    </row>
    <row r="2601" spans="1:4" x14ac:dyDescent="0.2">
      <c r="A2601" s="5">
        <v>2540</v>
      </c>
      <c r="B2601" s="138">
        <f>'Acct Summary 7-8'!F20</f>
        <v>14522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24907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24907</v>
      </c>
      <c r="C2606" s="2" t="s">
        <v>573</v>
      </c>
      <c r="D2606" s="2" t="str">
        <f t="shared" si="39"/>
        <v>Error?</v>
      </c>
    </row>
    <row r="2607" spans="1:4" x14ac:dyDescent="0.2">
      <c r="A2607" s="5">
        <v>2546</v>
      </c>
      <c r="B2607" s="138">
        <f>'Acct Summary 7-8'!G12</f>
        <v>17146</v>
      </c>
      <c r="C2607" s="2" t="s">
        <v>573</v>
      </c>
      <c r="D2607" s="2" t="str">
        <f t="shared" si="39"/>
        <v>Error?</v>
      </c>
    </row>
    <row r="2608" spans="1:4" x14ac:dyDescent="0.2">
      <c r="A2608" s="5">
        <v>2547</v>
      </c>
      <c r="B2608" s="138">
        <f>'Acct Summary 7-8'!G13</f>
        <v>27247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44393</v>
      </c>
      <c r="C2612" s="2" t="s">
        <v>573</v>
      </c>
      <c r="D2612" s="2" t="str">
        <f t="shared" si="39"/>
        <v>Error?</v>
      </c>
    </row>
    <row r="2613" spans="1:4" x14ac:dyDescent="0.2">
      <c r="A2613" s="5">
        <v>2552</v>
      </c>
      <c r="B2613" s="138">
        <f>'Acct Summary 7-8'!G20</f>
        <v>-19486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59963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59963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67734</v>
      </c>
      <c r="C2634" s="2" t="s">
        <v>573</v>
      </c>
      <c r="D2634" s="2" t="str">
        <f t="shared" si="40"/>
        <v>Error?</v>
      </c>
    </row>
    <row r="2635" spans="1:4" x14ac:dyDescent="0.2">
      <c r="A2635" s="5">
        <v>2574</v>
      </c>
      <c r="B2635" s="138">
        <f>'Acct Summary 7-8'!E17</f>
        <v>67734</v>
      </c>
      <c r="C2635" s="2" t="s">
        <v>573</v>
      </c>
      <c r="D2635" s="2" t="str">
        <f t="shared" si="40"/>
        <v>Error?</v>
      </c>
    </row>
    <row r="2636" spans="1:4" x14ac:dyDescent="0.2">
      <c r="A2636" s="5">
        <v>2575</v>
      </c>
      <c r="B2636" s="138">
        <f>'Acct Summary 7-8'!E20</f>
        <v>-7771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14941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14941</v>
      </c>
      <c r="C2658" s="2" t="s">
        <v>573</v>
      </c>
      <c r="D2658" s="2" t="str">
        <f t="shared" si="40"/>
        <v>Error?</v>
      </c>
    </row>
    <row r="2659" spans="1:4" x14ac:dyDescent="0.2">
      <c r="A2659" s="5">
        <v>2598</v>
      </c>
      <c r="B2659" s="138">
        <f>'Acct Summary 7-8'!H13</f>
        <v>5391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5391</v>
      </c>
      <c r="C2661" s="2" t="s">
        <v>573</v>
      </c>
      <c r="D2661" s="2" t="str">
        <f t="shared" si="40"/>
        <v>Error?</v>
      </c>
    </row>
    <row r="2662" spans="1:4" x14ac:dyDescent="0.2">
      <c r="A2662" s="5">
        <v>2601</v>
      </c>
      <c r="B2662" s="138">
        <f>'Acct Summary 7-8'!H20</f>
        <v>9550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6000</v>
      </c>
      <c r="C2789" s="2" t="s">
        <v>573</v>
      </c>
      <c r="D2789" s="2" t="str">
        <f t="shared" si="42"/>
        <v>Error?</v>
      </c>
    </row>
    <row r="2790" spans="1:4" x14ac:dyDescent="0.2">
      <c r="A2790" s="5">
        <v>2729</v>
      </c>
      <c r="B2790" s="138">
        <f>'Expenditures 15-22'!E102</f>
        <v>6000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10930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10930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6000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2697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8697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27044</v>
      </c>
      <c r="D3055" s="2" t="str">
        <f t="shared" si="46"/>
        <v>Error?</v>
      </c>
    </row>
    <row r="3056" spans="1:4" x14ac:dyDescent="0.2">
      <c r="A3056" s="5">
        <v>2995</v>
      </c>
      <c r="B3056" s="138">
        <f>'Expenditures 15-22'!D10</f>
        <v>682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8346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36072</v>
      </c>
      <c r="C3062" s="2" t="s">
        <v>573</v>
      </c>
      <c r="D3062" s="2" t="str">
        <f t="shared" si="46"/>
        <v>Error?</v>
      </c>
    </row>
    <row r="3063" spans="1:4" x14ac:dyDescent="0.2">
      <c r="A3063" s="10">
        <v>3002</v>
      </c>
      <c r="D3063" s="2" t="str">
        <f t="shared" si="46"/>
        <v>OK</v>
      </c>
    </row>
    <row r="3064" spans="1:4" x14ac:dyDescent="0.2">
      <c r="A3064" s="5">
        <v>3003</v>
      </c>
      <c r="B3064" s="138">
        <f>'Expenditures 15-22'!D219</f>
        <v>4921</v>
      </c>
      <c r="D3064" s="2" t="str">
        <f t="shared" si="46"/>
        <v>Error?</v>
      </c>
    </row>
    <row r="3065" spans="1:4" x14ac:dyDescent="0.2">
      <c r="A3065" s="5">
        <v>3004</v>
      </c>
      <c r="B3065" s="138">
        <f>'Expenditures 15-22'!K219</f>
        <v>4921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10930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9986</v>
      </c>
      <c r="C3225" s="2" t="s">
        <v>573</v>
      </c>
      <c r="D3225" s="2" t="str">
        <f t="shared" si="49"/>
        <v>Error?</v>
      </c>
    </row>
    <row r="3226" spans="1:4" x14ac:dyDescent="0.2">
      <c r="A3226" s="5">
        <v>3165</v>
      </c>
      <c r="B3226" s="138">
        <f>'Acct Summary 7-8'!I8</f>
        <v>9986</v>
      </c>
      <c r="C3226" s="2" t="s">
        <v>573</v>
      </c>
      <c r="D3226" s="2" t="str">
        <f t="shared" si="49"/>
        <v>Error?</v>
      </c>
    </row>
    <row r="3227" spans="1:4" x14ac:dyDescent="0.2">
      <c r="A3227" s="5">
        <v>3166</v>
      </c>
      <c r="B3227" s="138">
        <f>'Acct Summary 7-8'!I20</f>
        <v>9986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9986</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9986</v>
      </c>
      <c r="C3232" s="2" t="s">
        <v>573</v>
      </c>
      <c r="D3232" s="2" t="str">
        <f t="shared" si="49"/>
        <v>Error?</v>
      </c>
    </row>
    <row r="3233" spans="1:4" x14ac:dyDescent="0.2">
      <c r="A3233" s="5">
        <v>3172</v>
      </c>
      <c r="B3233" s="138">
        <f>'Acct Summary 7-8'!C78</f>
        <v>65309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32090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14522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-19486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9092</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9092</v>
      </c>
      <c r="C3277" s="2" t="s">
        <v>573</v>
      </c>
      <c r="D3277" s="2" t="str">
        <f t="shared" si="50"/>
        <v>Error?</v>
      </c>
    </row>
    <row r="3278" spans="1:4" x14ac:dyDescent="0.2">
      <c r="A3278" s="5">
        <v>3217</v>
      </c>
      <c r="B3278" s="138">
        <f>'Acct Summary 7-8'!E78</f>
        <v>1321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9550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9986</v>
      </c>
      <c r="C3318" s="2" t="s">
        <v>573</v>
      </c>
      <c r="D3318" s="2" t="str">
        <f t="shared" si="50"/>
        <v>Error?</v>
      </c>
    </row>
    <row r="3319" spans="1:4" x14ac:dyDescent="0.2">
      <c r="A3319" s="5">
        <v>3258</v>
      </c>
      <c r="B3319" s="138">
        <f>'Acct Summary 7-8'!I77</f>
        <v>-9986</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35184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5021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40205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10772</v>
      </c>
      <c r="D3387" s="2" t="str">
        <f t="shared" si="51"/>
        <v>Error?</v>
      </c>
    </row>
    <row r="3388" spans="1:4" x14ac:dyDescent="0.2">
      <c r="A3388" s="5">
        <v>3327</v>
      </c>
      <c r="B3388" s="138">
        <f>'Expenditures 15-22'!D217</f>
        <v>567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10772</v>
      </c>
      <c r="C3390" s="2" t="s">
        <v>573</v>
      </c>
      <c r="D3390" s="2" t="str">
        <f t="shared" si="51"/>
        <v>Error?</v>
      </c>
    </row>
    <row r="3391" spans="1:4" x14ac:dyDescent="0.2">
      <c r="A3391" s="5">
        <v>3330</v>
      </c>
      <c r="B3391" s="138">
        <f>'Expenditures 15-22'!K217</f>
        <v>567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594296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159915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62442</v>
      </c>
      <c r="D3417" s="2" t="str">
        <f t="shared" si="52"/>
        <v>Error?</v>
      </c>
    </row>
    <row r="3418" spans="1:4" x14ac:dyDescent="0.2">
      <c r="A3418" s="10">
        <v>3357</v>
      </c>
      <c r="D3418" s="2" t="str">
        <f t="shared" si="52"/>
        <v>OK</v>
      </c>
    </row>
    <row r="3419" spans="1:4" x14ac:dyDescent="0.2">
      <c r="A3419" s="5">
        <v>3358</v>
      </c>
      <c r="B3419" s="138">
        <f>'Assets-Liab 5-6'!F4</f>
        <v>103160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242169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24910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10930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13161</v>
      </c>
      <c r="C3446" s="2" t="s">
        <v>573</v>
      </c>
      <c r="D3446" s="2" t="str">
        <f t="shared" si="52"/>
        <v>Error?</v>
      </c>
    </row>
    <row r="3447" spans="1:4" x14ac:dyDescent="0.2">
      <c r="A3447" s="5">
        <v>3386</v>
      </c>
      <c r="B3447" s="138">
        <f>'Tax Sched 23'!D16</f>
        <v>13161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7426</v>
      </c>
      <c r="C3449" s="2" t="s">
        <v>573</v>
      </c>
      <c r="D3449" s="2" t="str">
        <f t="shared" si="52"/>
        <v>Error?</v>
      </c>
    </row>
    <row r="3450" spans="1:4" x14ac:dyDescent="0.2">
      <c r="A3450" s="5">
        <v>3389</v>
      </c>
      <c r="B3450" s="138">
        <f>'Tax Sched 23'!E16</f>
        <v>7426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478968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478968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478968</v>
      </c>
      <c r="D3567" s="2" t="str">
        <f t="shared" si="54"/>
        <v>Error?</v>
      </c>
    </row>
    <row r="3568" spans="1:4" x14ac:dyDescent="0.2">
      <c r="A3568" s="5">
        <v>3507</v>
      </c>
      <c r="B3568" s="138">
        <f>'Assets-Liab 5-6'!K41</f>
        <v>478968</v>
      </c>
      <c r="C3568" s="2" t="s">
        <v>573</v>
      </c>
      <c r="D3568" s="2" t="str">
        <f t="shared" si="54"/>
        <v>Error?</v>
      </c>
    </row>
    <row r="3569" spans="1:4" x14ac:dyDescent="0.2">
      <c r="A3569" s="5">
        <v>3508</v>
      </c>
      <c r="B3569" s="138">
        <f>'Acct Summary 7-8'!K4</f>
        <v>10756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10756</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10756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330000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330000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330000</v>
      </c>
      <c r="C3587" s="2" t="s">
        <v>573</v>
      </c>
      <c r="D3587" s="2" t="str">
        <f t="shared" si="55"/>
        <v>Error?</v>
      </c>
    </row>
    <row r="3588" spans="1:4" x14ac:dyDescent="0.2">
      <c r="A3588" s="5">
        <v>3527</v>
      </c>
      <c r="B3588" s="138">
        <f>'Acct Summary 7-8'!K78</f>
        <v>340756</v>
      </c>
      <c r="C3588" s="2" t="s">
        <v>573</v>
      </c>
      <c r="D3588" s="2" t="str">
        <f t="shared" si="55"/>
        <v>Error?</v>
      </c>
    </row>
    <row r="3589" spans="1:4" x14ac:dyDescent="0.2">
      <c r="A3589" s="5">
        <v>3528</v>
      </c>
      <c r="B3589" s="138">
        <f>'Acct Summary 7-8'!K79</f>
        <v>138212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478968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10756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9896</v>
      </c>
      <c r="C3725" s="2" t="s">
        <v>573</v>
      </c>
      <c r="D3725" s="2" t="str">
        <f t="shared" si="57"/>
        <v>Error?</v>
      </c>
    </row>
    <row r="3726" spans="1:4" x14ac:dyDescent="0.2">
      <c r="A3726" s="5">
        <v>3665</v>
      </c>
      <c r="B3726" s="138">
        <f>'Tax Sched 23'!D13</f>
        <v>9896</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13059</v>
      </c>
      <c r="C3728" s="2" t="s">
        <v>573</v>
      </c>
      <c r="D3728" s="2" t="str">
        <f t="shared" si="57"/>
        <v>Error?</v>
      </c>
    </row>
    <row r="3729" spans="1:4" x14ac:dyDescent="0.2">
      <c r="A3729" s="5">
        <v>3668</v>
      </c>
      <c r="B3729" s="138">
        <f>'Tax Sched 23'!E13</f>
        <v>13059</v>
      </c>
      <c r="D3729" s="2" t="str">
        <f t="shared" si="57"/>
        <v>Error?</v>
      </c>
    </row>
    <row r="3730" spans="1:4" x14ac:dyDescent="0.2">
      <c r="A3730" s="5">
        <v>3669</v>
      </c>
      <c r="B3730" s="138">
        <f>'ICR Computation 30'!E10</f>
        <v>47042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4401</v>
      </c>
      <c r="D4081" s="2" t="str">
        <f t="shared" si="62"/>
        <v>Error?</v>
      </c>
    </row>
    <row r="4082" spans="1:4" x14ac:dyDescent="0.2">
      <c r="A4082" s="5">
        <v>4021</v>
      </c>
      <c r="B4082" s="138">
        <f>'Expenditures 15-22'!D180</f>
        <v>812</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5213</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538226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1760589</v>
      </c>
      <c r="C4122" s="2" t="s">
        <v>573</v>
      </c>
      <c r="D4122" s="2" t="str">
        <f t="shared" si="63"/>
        <v>Error?</v>
      </c>
    </row>
    <row r="4123" spans="1:4" x14ac:dyDescent="0.2">
      <c r="A4123" s="5">
        <v>4062</v>
      </c>
      <c r="B4123" s="138">
        <f>'Acct Summary 7-8'!D10</f>
        <v>94881</v>
      </c>
      <c r="C4123" s="2" t="s">
        <v>573</v>
      </c>
      <c r="D4123" s="2" t="str">
        <f t="shared" si="63"/>
        <v>Error?</v>
      </c>
    </row>
    <row r="4124" spans="1:4" x14ac:dyDescent="0.2">
      <c r="A4124" s="5">
        <v>4063</v>
      </c>
      <c r="B4124" s="138">
        <f>'Acct Summary 7-8'!E10</f>
        <v>59963</v>
      </c>
      <c r="C4124" s="2" t="s">
        <v>573</v>
      </c>
      <c r="D4124" s="2" t="str">
        <f t="shared" si="63"/>
        <v>Error?</v>
      </c>
    </row>
    <row r="4125" spans="1:4" x14ac:dyDescent="0.2">
      <c r="A4125" s="5">
        <v>4064</v>
      </c>
      <c r="B4125" s="138">
        <f>'Acct Summary 7-8'!F10</f>
        <v>103241</v>
      </c>
      <c r="C4125" s="2" t="s">
        <v>573</v>
      </c>
      <c r="D4125" s="2" t="str">
        <f t="shared" si="63"/>
        <v>Error?</v>
      </c>
    </row>
    <row r="4126" spans="1:4" x14ac:dyDescent="0.2">
      <c r="A4126" s="5">
        <v>4065</v>
      </c>
      <c r="B4126" s="138">
        <f>'Acct Summary 7-8'!G10</f>
        <v>24907</v>
      </c>
      <c r="C4126" s="2" t="s">
        <v>573</v>
      </c>
      <c r="D4126" s="2" t="str">
        <f t="shared" si="63"/>
        <v>Error?</v>
      </c>
    </row>
    <row r="4127" spans="1:4" x14ac:dyDescent="0.2">
      <c r="A4127" s="5">
        <v>4066</v>
      </c>
      <c r="B4127" s="138">
        <f>'Acct Summary 7-8'!H10</f>
        <v>14941</v>
      </c>
      <c r="C4127" s="2" t="s">
        <v>573</v>
      </c>
      <c r="D4127" s="2" t="str">
        <f t="shared" si="63"/>
        <v>Error?</v>
      </c>
    </row>
    <row r="4128" spans="1:4" x14ac:dyDescent="0.2">
      <c r="A4128" s="5">
        <v>4067</v>
      </c>
      <c r="B4128" s="138">
        <f>'Acct Summary 7-8'!I10</f>
        <v>9986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10756</v>
      </c>
      <c r="C4130" s="2" t="s">
        <v>573</v>
      </c>
      <c r="D4130" s="2" t="str">
        <f t="shared" si="63"/>
        <v>Error?</v>
      </c>
    </row>
    <row r="4131" spans="1:4" x14ac:dyDescent="0.2">
      <c r="A4131" s="5">
        <v>4070</v>
      </c>
      <c r="B4131" s="138">
        <f>'Acct Summary 7-8'!C18</f>
        <v>538226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1705266</v>
      </c>
      <c r="C4136" s="2" t="s">
        <v>573</v>
      </c>
      <c r="D4136" s="2" t="str">
        <f t="shared" si="63"/>
        <v>Error?</v>
      </c>
    </row>
    <row r="4137" spans="1:4" x14ac:dyDescent="0.2">
      <c r="A4137" s="5">
        <v>4076</v>
      </c>
      <c r="B4137" s="138">
        <f>'Acct Summary 7-8'!D19</f>
        <v>62791</v>
      </c>
      <c r="C4137" s="2" t="s">
        <v>573</v>
      </c>
      <c r="D4137" s="2" t="str">
        <f t="shared" si="63"/>
        <v>Error?</v>
      </c>
    </row>
    <row r="4138" spans="1:4" x14ac:dyDescent="0.2">
      <c r="A4138" s="5">
        <v>4077</v>
      </c>
      <c r="B4138" s="138">
        <f>'Acct Summary 7-8'!E19</f>
        <v>67734</v>
      </c>
      <c r="C4138" s="2" t="s">
        <v>573</v>
      </c>
      <c r="D4138" s="2" t="str">
        <f t="shared" si="63"/>
        <v>Error?</v>
      </c>
    </row>
    <row r="4139" spans="1:4" x14ac:dyDescent="0.2">
      <c r="A4139" s="5">
        <v>4078</v>
      </c>
      <c r="B4139" s="138">
        <f>'Acct Summary 7-8'!F19</f>
        <v>88719</v>
      </c>
      <c r="C4139" s="2" t="s">
        <v>573</v>
      </c>
      <c r="D4139" s="2" t="str">
        <f t="shared" si="63"/>
        <v>Error?</v>
      </c>
    </row>
    <row r="4140" spans="1:4" x14ac:dyDescent="0.2">
      <c r="A4140" s="5">
        <v>4079</v>
      </c>
      <c r="B4140" s="138">
        <f>'Acct Summary 7-8'!G19</f>
        <v>44393</v>
      </c>
      <c r="C4140" s="2" t="s">
        <v>573</v>
      </c>
      <c r="D4140" s="2" t="str">
        <f t="shared" si="63"/>
        <v>Error?</v>
      </c>
    </row>
    <row r="4141" spans="1:4" x14ac:dyDescent="0.2">
      <c r="A4141" s="5">
        <v>4080</v>
      </c>
      <c r="B4141" s="138">
        <f>'Acct Summary 7-8'!H19</f>
        <v>5391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542372</v>
      </c>
      <c r="C4171" s="2" t="s">
        <v>573</v>
      </c>
      <c r="D4171" s="2" t="str">
        <f t="shared" si="64"/>
        <v>Error?</v>
      </c>
    </row>
    <row r="4172" spans="1:4" x14ac:dyDescent="0.2">
      <c r="A4172" s="5">
        <v>4111</v>
      </c>
      <c r="B4172" s="138">
        <f>'Short-Term Long-Term Debt 24'!J49</f>
        <v>479930</v>
      </c>
      <c r="C4172" s="2" t="s">
        <v>573</v>
      </c>
      <c r="D4172" s="2" t="str">
        <f t="shared" si="64"/>
        <v>Error?</v>
      </c>
    </row>
    <row r="4173" spans="1:4" x14ac:dyDescent="0.2">
      <c r="A4173" s="5">
        <v>4112</v>
      </c>
      <c r="B4173" s="138">
        <f>'Short-Term Long-Term Debt 24'!H49</f>
        <v>56000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-33472</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33472</v>
      </c>
      <c r="D4210" s="2" t="str">
        <f t="shared" si="64"/>
        <v>Error?</v>
      </c>
    </row>
    <row r="4211" spans="1:4" x14ac:dyDescent="0.2">
      <c r="A4211" s="5">
        <v>4150</v>
      </c>
      <c r="B4211" s="138">
        <f>'Expenditures 15-22'!K206</f>
        <v>33472</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1290</v>
      </c>
      <c r="C4268" s="2" t="s">
        <v>573</v>
      </c>
      <c r="D4268" s="2" t="str">
        <f t="shared" si="65"/>
        <v>Error?</v>
      </c>
    </row>
    <row r="4269" spans="1:5" x14ac:dyDescent="0.2">
      <c r="A4269" s="12">
        <v>4208</v>
      </c>
      <c r="B4269" s="138">
        <f>'FP Info 3'!J16</f>
        <v>1196463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2509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4496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6958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28196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21102604</v>
      </c>
      <c r="D4995" s="2" t="str">
        <f t="shared" si="77"/>
        <v>Error?</v>
      </c>
    </row>
    <row r="4996" spans="1:4" x14ac:dyDescent="0.2">
      <c r="A4996" s="12">
        <v>4935</v>
      </c>
      <c r="B4996" s="138">
        <f>'FP Info 3'!H31</f>
        <v>1456079.6760000002</v>
      </c>
      <c r="D4996" s="2" t="str">
        <f t="shared" si="77"/>
        <v>Error?</v>
      </c>
    </row>
    <row r="4997" spans="1:4" x14ac:dyDescent="0.2">
      <c r="A4997" s="12">
        <v>4936</v>
      </c>
      <c r="B4997" s="138">
        <f>'FP Info 3'!H37</f>
        <v>542372</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9896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179453</v>
      </c>
      <c r="D5061" s="2" t="str">
        <f t="shared" si="78"/>
        <v>Error?</v>
      </c>
    </row>
    <row r="5062" spans="1:4" x14ac:dyDescent="0.2">
      <c r="A5062" s="10">
        <v>5001</v>
      </c>
      <c r="D5062" s="2" t="str">
        <f t="shared" si="78"/>
        <v>OK</v>
      </c>
    </row>
    <row r="5063" spans="1:4" x14ac:dyDescent="0.2">
      <c r="A5063" s="5">
        <v>5002</v>
      </c>
      <c r="B5063" s="138">
        <f>'Revenues 9-14'!C7</f>
        <v>3958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193307</v>
      </c>
      <c r="C5066" s="2" t="s">
        <v>573</v>
      </c>
      <c r="D5066" s="2" t="str">
        <f t="shared" si="78"/>
        <v>Error?</v>
      </c>
    </row>
    <row r="5067" spans="1:4" x14ac:dyDescent="0.2">
      <c r="A5067" s="5">
        <v>5006</v>
      </c>
      <c r="B5067" s="138">
        <f>'Revenues 9-14'!C14</f>
        <v>1614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1614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1671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1671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2887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38932</v>
      </c>
      <c r="C5096" s="2" t="s">
        <v>573</v>
      </c>
      <c r="D5096" s="2" t="str">
        <f t="shared" si="78"/>
        <v>Error?</v>
      </c>
    </row>
    <row r="5097" spans="1:4" x14ac:dyDescent="0.2">
      <c r="A5097" s="5">
        <v>5036</v>
      </c>
      <c r="B5097" s="138">
        <f>'Revenues 9-14'!C77</f>
        <v>10465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7316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17781</v>
      </c>
      <c r="C5102" s="2" t="s">
        <v>573</v>
      </c>
      <c r="D5102" s="2" t="str">
        <f t="shared" si="78"/>
        <v>Error?</v>
      </c>
    </row>
    <row r="5103" spans="1:4" x14ac:dyDescent="0.2">
      <c r="A5103" s="5">
        <v>5042</v>
      </c>
      <c r="B5103" s="138">
        <f>'Revenues 9-14'!C84</f>
        <v>3220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32</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3252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1031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1031</v>
      </c>
      <c r="C5120" s="2" t="s">
        <v>573</v>
      </c>
      <c r="D5120" s="2" t="str">
        <f t="shared" si="79"/>
        <v>Error?</v>
      </c>
    </row>
    <row r="5121" spans="1:4" x14ac:dyDescent="0.2">
      <c r="A5121" s="5">
        <v>5060</v>
      </c>
      <c r="B5121" s="138">
        <f>'Revenues 9-14'!C109</f>
        <v>257588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839272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839272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177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701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878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840150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33025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14017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47042</v>
      </c>
      <c r="C5246" s="2" t="s">
        <v>573</v>
      </c>
      <c r="D5246" s="2" t="str">
        <f t="shared" si="80"/>
        <v>Error?</v>
      </c>
    </row>
    <row r="5247" spans="1:4" x14ac:dyDescent="0.2">
      <c r="A5247" s="5">
        <v>5186</v>
      </c>
      <c r="B5247" s="138">
        <f>'Revenues 9-14'!C200</f>
        <v>35424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35424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124625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124625</v>
      </c>
      <c r="C5326" s="2" t="s">
        <v>573</v>
      </c>
      <c r="D5326" s="2" t="str">
        <f t="shared" si="82"/>
        <v>Error?</v>
      </c>
    </row>
    <row r="5327" spans="1:5" x14ac:dyDescent="0.2">
      <c r="A5327" s="5">
        <v>5266</v>
      </c>
      <c r="B5327" s="138">
        <f>'Revenues 9-14'!C268</f>
        <v>1222363</v>
      </c>
      <c r="C5327" s="2" t="s">
        <v>573</v>
      </c>
      <c r="D5327" s="2" t="str">
        <f t="shared" si="82"/>
        <v>Error?</v>
      </c>
    </row>
    <row r="5328" spans="1:5" x14ac:dyDescent="0.2">
      <c r="A5328" s="5">
        <v>5267</v>
      </c>
      <c r="B5328" s="138">
        <f>'Revenues 9-14'!D5</f>
        <v>49478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49478</v>
      </c>
      <c r="C5334" s="2" t="s">
        <v>573</v>
      </c>
      <c r="D5334" s="2" t="str">
        <f t="shared" si="82"/>
        <v>Error?</v>
      </c>
    </row>
    <row r="5335" spans="1:4" x14ac:dyDescent="0.2">
      <c r="A5335" s="5">
        <v>5274</v>
      </c>
      <c r="B5335" s="138">
        <f>'Revenues 9-14'!D14</f>
        <v>408</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14279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14687</v>
      </c>
      <c r="C5339" s="2" t="s">
        <v>573</v>
      </c>
      <c r="D5339" s="2" t="str">
        <f t="shared" si="82"/>
        <v>Error?</v>
      </c>
    </row>
    <row r="5340" spans="1:4" x14ac:dyDescent="0.2">
      <c r="A5340" s="5">
        <v>5279</v>
      </c>
      <c r="B5340" s="138">
        <f>'Revenues 9-14'!D65</f>
        <v>127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113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476</v>
      </c>
      <c r="D5354" s="2" t="str">
        <f t="shared" si="82"/>
        <v>Error?</v>
      </c>
    </row>
    <row r="5355" spans="1:4" x14ac:dyDescent="0.2">
      <c r="A5355" s="5">
        <v>5294</v>
      </c>
      <c r="B5355" s="138">
        <f>'Revenues 9-14'!D108</f>
        <v>589</v>
      </c>
      <c r="C5355" s="2" t="s">
        <v>573</v>
      </c>
      <c r="D5355" s="2" t="str">
        <f t="shared" si="82"/>
        <v>Error?</v>
      </c>
    </row>
    <row r="5356" spans="1:4" x14ac:dyDescent="0.2">
      <c r="A5356" s="5">
        <v>5295</v>
      </c>
      <c r="B5356" s="138">
        <f>'Revenues 9-14'!D109</f>
        <v>64881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30000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94881</v>
      </c>
      <c r="C5508" s="2" t="s">
        <v>573</v>
      </c>
      <c r="D5508" s="2" t="str">
        <f t="shared" si="85"/>
        <v>Error?</v>
      </c>
    </row>
    <row r="5509" spans="1:4" x14ac:dyDescent="0.2">
      <c r="A5509" s="5">
        <v>5448</v>
      </c>
      <c r="B5509" s="138">
        <f>'Revenues 9-14'!E5</f>
        <v>59307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59307</v>
      </c>
      <c r="C5513" s="2" t="s">
        <v>573</v>
      </c>
      <c r="D5513" s="2" t="str">
        <f t="shared" si="85"/>
        <v>Error?</v>
      </c>
    </row>
    <row r="5514" spans="1:4" x14ac:dyDescent="0.2">
      <c r="A5514" s="5">
        <v>5453</v>
      </c>
      <c r="B5514" s="138">
        <f>'Revenues 9-14'!E14</f>
        <v>481</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481</v>
      </c>
      <c r="C5518" s="2" t="s">
        <v>573</v>
      </c>
      <c r="D5518" s="2" t="str">
        <f t="shared" si="85"/>
        <v>Error?</v>
      </c>
    </row>
    <row r="5519" spans="1:4" x14ac:dyDescent="0.2">
      <c r="A5519" s="5">
        <v>5458</v>
      </c>
      <c r="B5519" s="138">
        <f>'Revenues 9-14'!E65</f>
        <v>175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59963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59963</v>
      </c>
      <c r="C5552" s="2" t="s">
        <v>573</v>
      </c>
      <c r="D5552" s="2" t="str">
        <f t="shared" si="85"/>
        <v>Error?</v>
      </c>
    </row>
    <row r="5553" spans="1:4" x14ac:dyDescent="0.2">
      <c r="A5553" s="5">
        <v>5492</v>
      </c>
      <c r="B5553" s="138">
        <f>'Revenues 9-14'!F5</f>
        <v>23749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23749</v>
      </c>
      <c r="C5557" s="2" t="s">
        <v>573</v>
      </c>
      <c r="D5557" s="2" t="str">
        <f t="shared" si="85"/>
        <v>Error?</v>
      </c>
    </row>
    <row r="5558" spans="1:4" x14ac:dyDescent="0.2">
      <c r="A5558" s="5">
        <v>5497</v>
      </c>
      <c r="B5558" s="138">
        <f>'Revenues 9-14'!F14</f>
        <v>196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196</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75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75</v>
      </c>
      <c r="C5579" s="2" t="s">
        <v>573</v>
      </c>
      <c r="D5579" s="2" t="str">
        <f t="shared" si="86"/>
        <v>Error?</v>
      </c>
    </row>
    <row r="5580" spans="1:4" x14ac:dyDescent="0.2">
      <c r="A5580" s="5">
        <v>5519</v>
      </c>
      <c r="B5580" s="138">
        <f>'Revenues 9-14'!F65</f>
        <v>63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105</v>
      </c>
      <c r="D5586" s="2" t="str">
        <f t="shared" si="86"/>
        <v>Error?</v>
      </c>
    </row>
    <row r="5587" spans="1:4" x14ac:dyDescent="0.2">
      <c r="A5587" s="5">
        <v>5526</v>
      </c>
      <c r="B5587" s="138">
        <f>'Revenues 9-14'!F108</f>
        <v>105</v>
      </c>
      <c r="C5587" s="2" t="s">
        <v>573</v>
      </c>
      <c r="D5587" s="2" t="str">
        <f t="shared" si="86"/>
        <v>Error?</v>
      </c>
    </row>
    <row r="5588" spans="1:4" x14ac:dyDescent="0.2">
      <c r="A5588" s="5">
        <v>5527</v>
      </c>
      <c r="B5588" s="138">
        <f>'Revenues 9-14'!F109</f>
        <v>24188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30000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30000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49053</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49053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49053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79053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103241</v>
      </c>
      <c r="C5720" s="2" t="s">
        <v>573</v>
      </c>
      <c r="D5720" s="2" t="str">
        <f t="shared" si="88"/>
        <v>Error?</v>
      </c>
    </row>
    <row r="5721" spans="1:4" x14ac:dyDescent="0.2">
      <c r="A5721" s="5">
        <v>5660</v>
      </c>
      <c r="B5721" s="138">
        <f>'Revenues 9-14'!G5</f>
        <v>10124</v>
      </c>
      <c r="D5721" s="2" t="str">
        <f t="shared" si="88"/>
        <v>Error?</v>
      </c>
    </row>
    <row r="5722" spans="1:4" x14ac:dyDescent="0.2">
      <c r="A5722" s="5">
        <v>5661</v>
      </c>
      <c r="B5722" s="138">
        <f>'Revenues 9-14'!G7</f>
        <v>0</v>
      </c>
      <c r="D5722" s="2" t="str">
        <f t="shared" si="88"/>
        <v>Error?</v>
      </c>
    </row>
    <row r="5723" spans="1:4" x14ac:dyDescent="0.2">
      <c r="A5723" s="5">
        <v>5662</v>
      </c>
      <c r="B5723" s="138">
        <f>'Revenues 9-14'!G8</f>
        <v>13161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23285</v>
      </c>
      <c r="C5725" s="2" t="s">
        <v>573</v>
      </c>
      <c r="D5725" s="2" t="str">
        <f t="shared" si="88"/>
        <v>Error?</v>
      </c>
    </row>
    <row r="5726" spans="1:4" x14ac:dyDescent="0.2">
      <c r="A5726" s="5">
        <v>5665</v>
      </c>
      <c r="B5726" s="138">
        <f>'Revenues 9-14'!G14</f>
        <v>189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1239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1428</v>
      </c>
      <c r="C5730" s="2" t="s">
        <v>573</v>
      </c>
      <c r="D5730" s="2" t="str">
        <f t="shared" si="88"/>
        <v>Error?</v>
      </c>
    </row>
    <row r="5731" spans="1:4" x14ac:dyDescent="0.2">
      <c r="A5731" s="5">
        <v>5670</v>
      </c>
      <c r="B5731" s="138">
        <f>'Revenues 9-14'!G65</f>
        <v>194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24907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14928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14941</v>
      </c>
      <c r="C5915" s="2" t="s">
        <v>573</v>
      </c>
      <c r="D5915" s="2" t="str">
        <f t="shared" si="91"/>
        <v>Error?</v>
      </c>
    </row>
    <row r="5916" spans="1:4" x14ac:dyDescent="0.2">
      <c r="A5916" s="5">
        <v>5855</v>
      </c>
      <c r="B5916" s="138">
        <f>'Revenues 9-14'!I5</f>
        <v>9896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9896</v>
      </c>
      <c r="C5918" s="2" t="s">
        <v>573</v>
      </c>
      <c r="D5918" s="2" t="str">
        <f t="shared" si="91"/>
        <v>Error?</v>
      </c>
    </row>
    <row r="5919" spans="1:4" x14ac:dyDescent="0.2">
      <c r="A5919" s="5">
        <v>5858</v>
      </c>
      <c r="B5919" s="138">
        <f>'Revenues 9-14'!I14</f>
        <v>81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81</v>
      </c>
      <c r="C5923" s="2" t="s">
        <v>573</v>
      </c>
      <c r="D5923" s="2" t="str">
        <f t="shared" si="91"/>
        <v>Error?</v>
      </c>
    </row>
    <row r="5924" spans="1:4" x14ac:dyDescent="0.2">
      <c r="A5924" s="5">
        <v>5863</v>
      </c>
      <c r="B5924" s="138">
        <f>'Revenues 9-14'!I65</f>
        <v>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9986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9896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9896</v>
      </c>
      <c r="C5987" s="2" t="s">
        <v>573</v>
      </c>
      <c r="D5987" s="2" t="str">
        <f t="shared" si="92"/>
        <v>Error?</v>
      </c>
    </row>
    <row r="5988" spans="1:4" x14ac:dyDescent="0.2">
      <c r="A5988" s="5">
        <v>5927</v>
      </c>
      <c r="B5988" s="138">
        <f>'Revenues 9-14'!K14</f>
        <v>81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81</v>
      </c>
      <c r="C5992" s="2" t="s">
        <v>573</v>
      </c>
      <c r="D5992" s="2" t="str">
        <f t="shared" si="92"/>
        <v>Error?</v>
      </c>
    </row>
    <row r="5993" spans="1:4" x14ac:dyDescent="0.2">
      <c r="A5993" s="5">
        <v>5932</v>
      </c>
      <c r="B5993" s="138">
        <f>'Revenues 9-14'!K65</f>
        <v>779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779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10756</v>
      </c>
      <c r="C6023" s="2" t="s">
        <v>573</v>
      </c>
      <c r="D6023" s="2" t="str">
        <f t="shared" si="93"/>
        <v>Error?</v>
      </c>
    </row>
    <row r="6024" spans="1:5" x14ac:dyDescent="0.2">
      <c r="A6024" s="5">
        <v>5963</v>
      </c>
      <c r="B6024" s="138">
        <f>'Revenues 9-14'!G109</f>
        <v>24907</v>
      </c>
      <c r="C6024" s="2" t="s">
        <v>573</v>
      </c>
      <c r="D6024" s="2" t="str">
        <f t="shared" si="93"/>
        <v>Error?</v>
      </c>
    </row>
    <row r="6025" spans="1:5" x14ac:dyDescent="0.2">
      <c r="A6025" s="5">
        <v>5964</v>
      </c>
      <c r="B6025" s="138">
        <f>'Revenues 9-14'!H109</f>
        <v>14941</v>
      </c>
      <c r="C6025" s="2" t="s">
        <v>573</v>
      </c>
      <c r="D6025" s="2" t="str">
        <f t="shared" si="93"/>
        <v>Error?</v>
      </c>
    </row>
    <row r="6026" spans="1:5" x14ac:dyDescent="0.2">
      <c r="A6026" s="5">
        <v>5965</v>
      </c>
      <c r="B6026" s="138">
        <f>'Revenues 9-14'!I109</f>
        <v>9986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10756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36045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6718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165.6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67141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67141</v>
      </c>
      <c r="D6215" s="2" t="str">
        <f t="shared" si="96"/>
        <v>Error?</v>
      </c>
      <c r="E6215" s="2" t="s">
        <v>190</v>
      </c>
    </row>
    <row r="6216" spans="1:5" x14ac:dyDescent="0.2">
      <c r="A6216">
        <v>6155</v>
      </c>
      <c r="B6216" s="138">
        <f>'Assets-Liab 5-6'!J41</f>
        <v>67141</v>
      </c>
      <c r="D6216" s="2" t="str">
        <f t="shared" si="96"/>
        <v>Error?</v>
      </c>
      <c r="E6216" s="2" t="s">
        <v>190</v>
      </c>
    </row>
    <row r="6217" spans="1:5" x14ac:dyDescent="0.2">
      <c r="A6217">
        <v>6156</v>
      </c>
      <c r="B6217" s="138">
        <f>'Assets-Liab 5-6'!J4</f>
        <v>67141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120560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120560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120560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104002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104002</v>
      </c>
      <c r="D6229" s="2" t="str">
        <f t="shared" si="96"/>
        <v>Error?</v>
      </c>
      <c r="E6229" s="2" t="s">
        <v>190</v>
      </c>
    </row>
    <row r="6230" spans="1:5" x14ac:dyDescent="0.2">
      <c r="A6230">
        <v>6169</v>
      </c>
      <c r="B6230" s="138">
        <f>'Acct Summary 7-8'!J20</f>
        <v>16558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16558</v>
      </c>
      <c r="D6263" s="2" t="str">
        <f t="shared" si="96"/>
        <v>Error?</v>
      </c>
      <c r="E6263" s="2" t="s">
        <v>190</v>
      </c>
    </row>
    <row r="6264" spans="1:5" x14ac:dyDescent="0.2">
      <c r="A6264">
        <v>6203</v>
      </c>
      <c r="B6264" s="138">
        <f>'Acct Summary 7-8'!J79</f>
        <v>50583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67141</v>
      </c>
      <c r="D6266" s="2" t="str">
        <f t="shared" si="96"/>
        <v>Error?</v>
      </c>
      <c r="E6266" s="2" t="s">
        <v>190</v>
      </c>
    </row>
    <row r="6267" spans="1:5" x14ac:dyDescent="0.2">
      <c r="A6267">
        <v>6206</v>
      </c>
      <c r="B6267" s="138">
        <f>'Acct Summary 7-8'!C82</f>
        <v>65309</v>
      </c>
      <c r="D6267" s="2" t="str">
        <f t="shared" si="96"/>
        <v>Error?</v>
      </c>
      <c r="E6267" s="2" t="s">
        <v>190</v>
      </c>
    </row>
    <row r="6268" spans="1:5" x14ac:dyDescent="0.2">
      <c r="A6268">
        <v>6207</v>
      </c>
      <c r="B6268" s="138">
        <f>'Acct Summary 7-8'!D82</f>
        <v>32090</v>
      </c>
      <c r="D6268" s="2" t="str">
        <f t="shared" si="96"/>
        <v>Error?</v>
      </c>
      <c r="E6268" s="2" t="s">
        <v>190</v>
      </c>
    </row>
    <row r="6269" spans="1:5" x14ac:dyDescent="0.2">
      <c r="A6269">
        <v>6208</v>
      </c>
      <c r="B6269" s="138">
        <f>'Acct Summary 7-8'!E82</f>
        <v>1321</v>
      </c>
      <c r="D6269" s="2" t="str">
        <f t="shared" si="96"/>
        <v>Error?</v>
      </c>
      <c r="E6269" s="2" t="s">
        <v>190</v>
      </c>
    </row>
    <row r="6270" spans="1:5" x14ac:dyDescent="0.2">
      <c r="A6270">
        <v>6209</v>
      </c>
      <c r="B6270" s="138">
        <f>'Acct Summary 7-8'!F82</f>
        <v>14522</v>
      </c>
      <c r="D6270" s="2" t="str">
        <f t="shared" si="96"/>
        <v>Error?</v>
      </c>
      <c r="E6270" s="2" t="s">
        <v>190</v>
      </c>
    </row>
    <row r="6271" spans="1:5" x14ac:dyDescent="0.2">
      <c r="A6271">
        <v>6210</v>
      </c>
      <c r="B6271" s="138">
        <f>'Acct Summary 7-8'!G82</f>
        <v>-19486</v>
      </c>
      <c r="D6271" s="2" t="str">
        <f t="shared" ref="D6271:D6334" si="97">IF(ISBLANK(B6271),"OK",IF(A6271-B6271=0,"OK","Error?"))</f>
        <v>Error?</v>
      </c>
      <c r="E6271" s="2" t="s">
        <v>190</v>
      </c>
    </row>
    <row r="6272" spans="1:5" x14ac:dyDescent="0.2">
      <c r="A6272">
        <v>6211</v>
      </c>
      <c r="B6272" s="138">
        <f>'Acct Summary 7-8'!H82</f>
        <v>9550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16558</v>
      </c>
      <c r="D6274" s="2" t="str">
        <f t="shared" si="97"/>
        <v>Error?</v>
      </c>
      <c r="E6274" s="2" t="s">
        <v>190</v>
      </c>
    </row>
    <row r="6275" spans="1:5" x14ac:dyDescent="0.2">
      <c r="A6275">
        <v>6214</v>
      </c>
      <c r="B6275" s="138">
        <f>'Acct Summary 7-8'!K82</f>
        <v>340756</v>
      </c>
      <c r="D6275" s="2" t="str">
        <f t="shared" si="97"/>
        <v>Error?</v>
      </c>
      <c r="E6275" s="2" t="s">
        <v>190</v>
      </c>
    </row>
    <row r="6276" spans="1:5" x14ac:dyDescent="0.2">
      <c r="A6276">
        <v>6215</v>
      </c>
      <c r="B6276" s="138">
        <f>'Acct Summary 7-8'!C83</f>
        <v>6.9969830338508746E-2</v>
      </c>
      <c r="D6276" s="2" t="str">
        <f t="shared" si="97"/>
        <v>Error?</v>
      </c>
      <c r="E6276" s="2" t="s">
        <v>190</v>
      </c>
    </row>
    <row r="6277" spans="1:5" x14ac:dyDescent="0.2">
      <c r="A6277">
        <v>6216</v>
      </c>
      <c r="B6277" s="138">
        <f>'Acct Summary 7-8'!D83</f>
        <v>0.20066910546227684</v>
      </c>
      <c r="D6277" s="2" t="str">
        <f t="shared" si="97"/>
        <v>Error?</v>
      </c>
      <c r="E6277" s="2" t="s">
        <v>190</v>
      </c>
    </row>
    <row r="6278" spans="1:5" x14ac:dyDescent="0.2">
      <c r="A6278">
        <v>6217</v>
      </c>
      <c r="B6278" s="138">
        <f>'Acct Summary 7-8'!E83</f>
        <v>2.1155632426892158E-2</v>
      </c>
      <c r="D6278" s="2" t="str">
        <f t="shared" si="97"/>
        <v>Error?</v>
      </c>
      <c r="E6278" s="2" t="s">
        <v>190</v>
      </c>
    </row>
    <row r="6279" spans="1:5" x14ac:dyDescent="0.2">
      <c r="A6279">
        <v>6218</v>
      </c>
      <c r="B6279" s="138">
        <f>'Acct Summary 7-8'!F83</f>
        <v>0.14077161690577744</v>
      </c>
      <c r="D6279" s="2" t="str">
        <f t="shared" si="97"/>
        <v>Error?</v>
      </c>
      <c r="E6279" s="2" t="s">
        <v>190</v>
      </c>
    </row>
    <row r="6280" spans="1:5" x14ac:dyDescent="0.2">
      <c r="A6280">
        <v>6219</v>
      </c>
      <c r="B6280" s="138">
        <f>'Acct Summary 7-8'!G83</f>
        <v>-8.0464469027827668E-2</v>
      </c>
      <c r="D6280" s="2" t="str">
        <f t="shared" si="97"/>
        <v>Error?</v>
      </c>
      <c r="E6280" s="2" t="s">
        <v>190</v>
      </c>
    </row>
    <row r="6281" spans="1:5" x14ac:dyDescent="0.2">
      <c r="A6281">
        <v>6220</v>
      </c>
      <c r="B6281" s="138">
        <f>'Acct Summary 7-8'!H83</f>
        <v>0.38338016860698515</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0.2466153319134359</v>
      </c>
      <c r="D6283" s="2" t="str">
        <f t="shared" si="97"/>
        <v>Error?</v>
      </c>
      <c r="E6283" s="2" t="s">
        <v>190</v>
      </c>
    </row>
    <row r="6284" spans="1:5" x14ac:dyDescent="0.2">
      <c r="A6284">
        <v>6223</v>
      </c>
      <c r="B6284" s="138">
        <f>'Acct Summary 7-8'!K83</f>
        <v>0.71143792487180768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119460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119460</v>
      </c>
      <c r="D6301" s="2" t="str">
        <f t="shared" si="97"/>
        <v>Error?</v>
      </c>
      <c r="E6301" s="2" t="s">
        <v>190</v>
      </c>
    </row>
    <row r="6302" spans="1:5" x14ac:dyDescent="0.2">
      <c r="A6302">
        <v>6241</v>
      </c>
      <c r="B6302" s="138">
        <f>'Revenues 9-14'!J14</f>
        <v>972</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972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120560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177</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104002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120560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5924</v>
      </c>
      <c r="D7067" s="2" t="str">
        <f t="shared" si="109"/>
        <v>Error?</v>
      </c>
    </row>
    <row r="7068" spans="1:4" x14ac:dyDescent="0.2">
      <c r="A7068">
        <v>7007</v>
      </c>
      <c r="B7068" s="138">
        <f>'Expenditures 15-22'!K205</f>
        <v>5924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6581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6581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1779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1779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20840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20840</v>
      </c>
      <c r="D7153" s="2" t="str">
        <f t="shared" si="110"/>
        <v>Error?</v>
      </c>
    </row>
    <row r="7154" spans="1:4" x14ac:dyDescent="0.2">
      <c r="A7154">
        <v>7093</v>
      </c>
      <c r="B7154" s="138">
        <f>'Expenditures 15-22'!C323</f>
        <v>59956</v>
      </c>
      <c r="D7154" s="2" t="str">
        <f t="shared" si="110"/>
        <v>Error?</v>
      </c>
    </row>
    <row r="7155" spans="1:4" x14ac:dyDescent="0.2">
      <c r="A7155">
        <v>7094</v>
      </c>
      <c r="B7155" s="138">
        <f>'Expenditures 15-22'!D323</f>
        <v>13286</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73242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1560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1560</v>
      </c>
      <c r="D7198" s="2" t="str">
        <f t="shared" si="111"/>
        <v>Error?</v>
      </c>
    </row>
    <row r="7199" spans="1:4" x14ac:dyDescent="0.2">
      <c r="A7199">
        <v>7138</v>
      </c>
      <c r="B7199" s="138">
        <f>'Expenditures 15-22'!C330</f>
        <v>59956</v>
      </c>
      <c r="D7199" s="2" t="str">
        <f t="shared" si="111"/>
        <v>Error?</v>
      </c>
    </row>
    <row r="7200" spans="1:4" x14ac:dyDescent="0.2">
      <c r="A7200">
        <v>7139</v>
      </c>
      <c r="B7200" s="138">
        <f>'Expenditures 15-22'!D330</f>
        <v>13286</v>
      </c>
      <c r="D7200" s="2" t="str">
        <f t="shared" si="111"/>
        <v>Error?</v>
      </c>
    </row>
    <row r="7201" spans="1:4" x14ac:dyDescent="0.2">
      <c r="A7201">
        <v>7140</v>
      </c>
      <c r="B7201" s="138">
        <f>'Expenditures 15-22'!E330</f>
        <v>30760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104002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59956</v>
      </c>
      <c r="D7216" s="2" t="str">
        <f t="shared" si="111"/>
        <v>Error?</v>
      </c>
    </row>
    <row r="7217" spans="1:4" x14ac:dyDescent="0.2">
      <c r="A7217">
        <v>7156</v>
      </c>
      <c r="B7217" s="138">
        <f>'Expenditures 15-22'!D342</f>
        <v>13286</v>
      </c>
      <c r="D7217" s="2" t="str">
        <f t="shared" si="111"/>
        <v>Error?</v>
      </c>
    </row>
    <row r="7218" spans="1:4" x14ac:dyDescent="0.2">
      <c r="A7218">
        <v>7157</v>
      </c>
      <c r="B7218" s="138">
        <f>'Expenditures 15-22'!E342</f>
        <v>30760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104002</v>
      </c>
      <c r="D7224" s="2" t="str">
        <f t="shared" si="111"/>
        <v>Error?</v>
      </c>
    </row>
    <row r="7225" spans="1:4" x14ac:dyDescent="0.2">
      <c r="A7225">
        <v>7164</v>
      </c>
      <c r="B7225" s="138">
        <f>'Expenditures 15-22'!K343</f>
        <v>16558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165209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15360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13</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14928</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14941</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3958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5391</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5391</v>
      </c>
      <c r="D7730" s="2" t="str">
        <f t="shared" si="126"/>
        <v>Error?</v>
      </c>
      <c r="E7730" s="2" t="s">
        <v>827</v>
      </c>
    </row>
    <row r="7731" spans="1:6" x14ac:dyDescent="0.2">
      <c r="A7731">
        <v>7670</v>
      </c>
      <c r="B7731" s="138">
        <f>'Revenues 9-14'!H103</f>
        <v>14928</v>
      </c>
      <c r="D7731" s="2" t="str">
        <f t="shared" si="126"/>
        <v>Error?</v>
      </c>
      <c r="E7731" s="2" t="s">
        <v>827</v>
      </c>
    </row>
    <row r="7732" spans="1:6" x14ac:dyDescent="0.2">
      <c r="A7732">
        <v>7671</v>
      </c>
      <c r="B7732" s="138">
        <f>'Rest Tax Levies-Tort Im 25'!J24</f>
        <v>24910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24910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34093</v>
      </c>
      <c r="D7797" s="2" t="str">
        <f t="shared" si="127"/>
        <v>Error?</v>
      </c>
      <c r="E7797" s="4" t="s">
        <v>1904</v>
      </c>
    </row>
    <row r="7798" spans="1:5" x14ac:dyDescent="0.2">
      <c r="A7798">
        <v>7737</v>
      </c>
      <c r="B7798" s="138">
        <f>'Contracts Paid in CY 29'!F141</f>
        <v>34093</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6" t="s">
        <v>1191</v>
      </c>
      <c r="B2" s="2406"/>
      <c r="C2" s="2406"/>
      <c r="D2" s="2406"/>
      <c r="E2" s="2406"/>
      <c r="F2" s="2406"/>
      <c r="G2" s="2406"/>
      <c r="H2" s="2406"/>
      <c r="I2" s="2406"/>
      <c r="J2" s="2406"/>
      <c r="K2" s="2406"/>
      <c r="L2" s="2406"/>
    </row>
    <row r="3" spans="1:29" ht="13.5" customHeight="1" x14ac:dyDescent="0.2">
      <c r="A3" s="2392" t="s">
        <v>1190</v>
      </c>
      <c r="B3" s="2392"/>
      <c r="C3" s="2392"/>
      <c r="D3" s="2392"/>
      <c r="E3" s="2392"/>
      <c r="F3" s="2392"/>
      <c r="G3" s="2392"/>
      <c r="H3" s="2392"/>
      <c r="I3" s="2392"/>
      <c r="J3" s="2392"/>
      <c r="K3" s="2392"/>
      <c r="L3" s="2392"/>
    </row>
    <row r="4" spans="1:29" ht="13.5" customHeight="1" x14ac:dyDescent="0.2">
      <c r="A4" s="2406" t="s">
        <v>1989</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6" t="str">
        <f>COVER!A17</f>
        <v>New Hope CCSD 6</v>
      </c>
      <c r="B7" s="2387"/>
      <c r="C7" s="2387"/>
      <c r="D7" s="2424"/>
      <c r="E7" s="2425">
        <f>COVER!A13</f>
        <v>20096006004</v>
      </c>
      <c r="F7" s="2426"/>
      <c r="G7" s="2393">
        <f>COVER!T23</f>
        <v>65.032562999999996</v>
      </c>
      <c r="H7" s="2394"/>
      <c r="I7" s="2394"/>
      <c r="J7" s="2394"/>
      <c r="K7" s="2394"/>
      <c r="L7" s="239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6"/>
      <c r="B9" s="2397"/>
      <c r="C9" s="2397"/>
      <c r="D9" s="2397"/>
      <c r="E9" s="2397"/>
      <c r="F9" s="2398"/>
      <c r="G9" s="2399" t="str">
        <f>COVER!T13</f>
        <v>Kemper CPA Group LLP</v>
      </c>
      <c r="H9" s="2400"/>
      <c r="I9" s="2400"/>
      <c r="J9" s="2400"/>
      <c r="K9" s="2400"/>
      <c r="L9" s="2401"/>
    </row>
    <row r="10" spans="1:29" ht="13.5" customHeight="1" x14ac:dyDescent="0.2">
      <c r="A10" s="2383" t="str">
        <f>COVER!A38</f>
        <v>Julie Harrelson</v>
      </c>
      <c r="B10" s="2384"/>
      <c r="C10" s="2384"/>
      <c r="D10" s="2384"/>
      <c r="E10" s="2384"/>
      <c r="F10" s="2385"/>
      <c r="G10" s="2399" t="str">
        <f>COVER!T17</f>
        <v>703 W. Main St, PO Box 447</v>
      </c>
      <c r="H10" s="2412"/>
      <c r="I10" s="2412"/>
      <c r="J10" s="2412"/>
      <c r="K10" s="2412"/>
      <c r="L10" s="2413"/>
    </row>
    <row r="11" spans="1:29" ht="13.5" customHeight="1" x14ac:dyDescent="0.2">
      <c r="A11" s="1184" t="s">
        <v>1519</v>
      </c>
      <c r="B11" s="1185"/>
      <c r="C11" s="1186"/>
      <c r="D11" s="1191"/>
      <c r="E11" s="1186"/>
      <c r="F11" s="1190"/>
      <c r="G11" s="2399" t="str">
        <f>COVER!T19</f>
        <v>Olney</v>
      </c>
      <c r="H11" s="2412"/>
      <c r="I11" s="2412"/>
      <c r="J11" s="2412"/>
      <c r="K11" s="2412"/>
      <c r="L11" s="2413"/>
    </row>
    <row r="12" spans="1:29" ht="13.5" customHeight="1" x14ac:dyDescent="0.2">
      <c r="A12" s="2417" t="s">
        <v>1518</v>
      </c>
      <c r="B12" s="2418"/>
      <c r="C12" s="2418"/>
      <c r="D12" s="2418"/>
      <c r="E12" s="2418"/>
      <c r="F12" s="2419"/>
      <c r="G12" s="2414"/>
      <c r="H12" s="2415"/>
      <c r="I12" s="2415"/>
      <c r="J12" s="2415"/>
      <c r="K12" s="2415"/>
      <c r="L12" s="2416"/>
    </row>
    <row r="13" spans="1:29" ht="13.5" customHeight="1" x14ac:dyDescent="0.2">
      <c r="A13" s="2399"/>
      <c r="B13" s="2412"/>
      <c r="C13" s="2412"/>
      <c r="D13" s="2412"/>
      <c r="E13" s="2412"/>
      <c r="F13" s="2413"/>
      <c r="G13" s="2407" t="s">
        <v>1520</v>
      </c>
      <c r="H13" s="2408"/>
      <c r="I13" s="2420" t="str">
        <f>COVER!T25</f>
        <v>kmclaren@kempercpa.com</v>
      </c>
      <c r="J13" s="2421"/>
      <c r="K13" s="2421"/>
      <c r="L13" s="2422"/>
    </row>
    <row r="14" spans="1:29" ht="13.5" customHeight="1" x14ac:dyDescent="0.2">
      <c r="A14" s="2399" t="str">
        <f>COVER!A19</f>
        <v>Route 4 Box 243</v>
      </c>
      <c r="B14" s="2412"/>
      <c r="C14" s="2412"/>
      <c r="D14" s="2412"/>
      <c r="E14" s="2412"/>
      <c r="F14" s="2413"/>
      <c r="G14" s="1195" t="s">
        <v>1185</v>
      </c>
      <c r="H14" s="1193"/>
      <c r="I14" s="1193"/>
      <c r="J14" s="1193"/>
      <c r="K14" s="1193"/>
      <c r="L14" s="1194"/>
    </row>
    <row r="15" spans="1:29" ht="13.5" customHeight="1" x14ac:dyDescent="0.2">
      <c r="A15" s="2399" t="str">
        <f>COVER!A21</f>
        <v>Fairfield</v>
      </c>
      <c r="B15" s="2412"/>
      <c r="C15" s="2412"/>
      <c r="D15" s="2412"/>
      <c r="E15" s="2412"/>
      <c r="F15" s="2413"/>
      <c r="G15" s="2409" t="str">
        <f>COVER!T15</f>
        <v>Krista McLaren</v>
      </c>
      <c r="H15" s="2410"/>
      <c r="I15" s="2410"/>
      <c r="J15" s="2410"/>
      <c r="K15" s="2410"/>
      <c r="L15" s="2411"/>
    </row>
    <row r="16" spans="1:29" ht="12.2" customHeight="1" x14ac:dyDescent="0.2">
      <c r="A16" s="2389">
        <f>COVER!A25</f>
        <v>62837</v>
      </c>
      <c r="B16" s="2390"/>
      <c r="C16" s="2390"/>
      <c r="D16" s="2390"/>
      <c r="E16" s="2390"/>
      <c r="F16" s="2391"/>
      <c r="G16" s="2402"/>
      <c r="H16" s="2403"/>
      <c r="I16" s="2403"/>
      <c r="J16" s="2403"/>
      <c r="K16" s="2403"/>
      <c r="L16" s="2404"/>
    </row>
    <row r="17" spans="1:13" ht="12.2" customHeight="1" x14ac:dyDescent="0.2">
      <c r="A17" s="2405"/>
      <c r="B17" s="2390"/>
      <c r="C17" s="2390"/>
      <c r="D17" s="2390"/>
      <c r="E17" s="2390"/>
      <c r="F17" s="2391"/>
      <c r="G17" s="1195" t="s">
        <v>1184</v>
      </c>
      <c r="H17" s="1193"/>
      <c r="I17" s="1193"/>
      <c r="J17" s="1193"/>
      <c r="K17" s="1197" t="s">
        <v>1183</v>
      </c>
      <c r="L17" s="1190"/>
      <c r="M17" s="1183"/>
    </row>
    <row r="18" spans="1:13" ht="12.2" customHeight="1" x14ac:dyDescent="0.2">
      <c r="A18" s="2383"/>
      <c r="B18" s="2384"/>
      <c r="C18" s="2384"/>
      <c r="D18" s="2384"/>
      <c r="E18" s="2384"/>
      <c r="F18" s="2385"/>
      <c r="G18" s="2386" t="str">
        <f>COVER!T21</f>
        <v>618-395-2105</v>
      </c>
      <c r="H18" s="2387"/>
      <c r="I18" s="2387"/>
      <c r="J18" s="2387"/>
      <c r="K18" s="2386" t="str">
        <f>COVER!X21</f>
        <v>618-395-7079</v>
      </c>
      <c r="L18" s="238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G35" sqref="G3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New Hope CCSD 6</v>
      </c>
      <c r="B1" s="2423"/>
      <c r="C1" s="2423"/>
      <c r="D1" s="2423"/>
    </row>
    <row r="2" spans="1:11" s="1212" customFormat="1" ht="12.75" x14ac:dyDescent="0.2">
      <c r="A2" s="2428">
        <f>'Single Audit Cover'!E7</f>
        <v>20096006004</v>
      </c>
      <c r="B2" s="2429"/>
      <c r="C2" s="2429"/>
      <c r="D2" s="2429"/>
    </row>
    <row r="3" spans="1:11" s="1212" customFormat="1" ht="12.75" x14ac:dyDescent="0.2">
      <c r="A3" s="2427" t="s">
        <v>1513</v>
      </c>
      <c r="B3" s="2423"/>
      <c r="C3" s="2423"/>
      <c r="D3" s="242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F28" sqref="F28"/>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New Hope CCSD 6</v>
      </c>
      <c r="B1" s="2431"/>
      <c r="C1" s="2431"/>
      <c r="D1" s="2431"/>
      <c r="E1" s="2431"/>
    </row>
    <row r="2" spans="1:5" x14ac:dyDescent="0.2">
      <c r="A2" s="2432">
        <f>'Single Audit Cover'!E7</f>
        <v>20096006004</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124625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6718</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-4496</v>
      </c>
    </row>
    <row r="19" spans="1:4" ht="13.5" thickBot="1" x14ac:dyDescent="0.25">
      <c r="A19" s="1262" t="s">
        <v>1235</v>
      </c>
      <c r="D19" s="1263">
        <f>SUM(D10:D17)</f>
        <v>126847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126847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0</v>
      </c>
    </row>
    <row r="49" spans="2:4" x14ac:dyDescent="0.2">
      <c r="B49" s="1269" t="s">
        <v>1226</v>
      </c>
      <c r="C49" s="1269"/>
      <c r="D49" s="1270">
        <f>D32-D47</f>
        <v>126847</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New Hope CCSD 6</v>
      </c>
      <c r="C1" s="2435"/>
      <c r="D1" s="2435"/>
      <c r="E1" s="2435"/>
      <c r="F1" s="2435"/>
      <c r="G1" s="2435"/>
      <c r="H1" s="2435"/>
      <c r="I1" s="2435"/>
      <c r="J1" s="2435"/>
      <c r="K1" s="2435"/>
      <c r="L1" s="2435"/>
      <c r="M1" s="2435"/>
    </row>
    <row r="2" spans="2:14" ht="15" x14ac:dyDescent="0.2">
      <c r="B2" s="2436">
        <f>'Single Audit Cover'!E7</f>
        <v>20096006004</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J19" sqref="J1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New Hope CCSD 6</v>
      </c>
      <c r="B1" s="2440"/>
      <c r="C1" s="2440"/>
      <c r="D1" s="2440"/>
      <c r="E1" s="2440"/>
      <c r="F1" s="2440"/>
    </row>
    <row r="2" spans="1:7" ht="13.5" customHeight="1" x14ac:dyDescent="0.2">
      <c r="A2" s="2436">
        <f>'Single Audit Cover'!E7</f>
        <v>20096006004</v>
      </c>
      <c r="B2" s="2436"/>
      <c r="C2" s="2436"/>
      <c r="D2" s="2436"/>
      <c r="E2" s="2436"/>
      <c r="F2" s="2436"/>
      <c r="G2" s="1272"/>
    </row>
    <row r="3" spans="1:7" ht="15.75" customHeight="1" x14ac:dyDescent="0.2">
      <c r="A3" s="2441" t="s">
        <v>1271</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7"/>
      <c r="D5" s="317"/>
    </row>
    <row r="6" spans="1:7" ht="13.5" customHeight="1" x14ac:dyDescent="0.2">
      <c r="A6" s="1273" t="s">
        <v>1728</v>
      </c>
      <c r="C6" s="317"/>
      <c r="D6" s="317"/>
    </row>
    <row r="7" spans="1:7" ht="60.95" customHeight="1" x14ac:dyDescent="0.2">
      <c r="A7" s="2439" t="s">
        <v>1729</v>
      </c>
      <c r="B7" s="2439"/>
      <c r="C7" s="2439"/>
      <c r="D7" s="2439"/>
      <c r="E7" s="2439"/>
      <c r="F7" s="2439"/>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9" t="s">
        <v>1731</v>
      </c>
      <c r="B13" s="2439"/>
      <c r="C13" s="2439"/>
      <c r="D13" s="2439"/>
      <c r="E13" s="2439"/>
      <c r="F13" s="2439"/>
    </row>
    <row r="14" spans="1:7" ht="9.75" customHeight="1" x14ac:dyDescent="0.2">
      <c r="C14" s="1257"/>
      <c r="D14" s="1257"/>
    </row>
    <row r="15" spans="1:7" ht="13.5" customHeight="1" x14ac:dyDescent="0.2">
      <c r="C15" s="1846" t="s">
        <v>1270</v>
      </c>
      <c r="D15" s="2444" t="s">
        <v>1269</v>
      </c>
      <c r="E15" s="2444"/>
      <c r="F15" s="2444"/>
    </row>
    <row r="16" spans="1:7" ht="13.5" customHeight="1" x14ac:dyDescent="0.2">
      <c r="A16" s="1279"/>
      <c r="B16" s="1273" t="s">
        <v>1268</v>
      </c>
      <c r="C16" s="1846" t="s">
        <v>1267</v>
      </c>
      <c r="D16" s="2445" t="s">
        <v>1588</v>
      </c>
      <c r="E16" s="2445"/>
      <c r="F16" s="2445"/>
    </row>
    <row r="17" spans="1:6" ht="20.45" customHeight="1" x14ac:dyDescent="0.2">
      <c r="A17" s="1280"/>
      <c r="B17" s="1281"/>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7" t="s">
        <v>1732</v>
      </c>
      <c r="B32" s="2447"/>
      <c r="C32" s="2447"/>
      <c r="D32" s="2447"/>
      <c r="E32" s="2447"/>
      <c r="F32" s="2447"/>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8">
        <f>+C33+C34</f>
        <v>0</v>
      </c>
      <c r="F34" s="244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0" t="s">
        <v>1590</v>
      </c>
      <c r="C49" s="2450"/>
      <c r="D49" s="2450"/>
      <c r="E49" s="1396"/>
    </row>
    <row r="50" spans="1:5" s="1297" customFormat="1" ht="3.75" customHeight="1" x14ac:dyDescent="0.2">
      <c r="A50" s="1296"/>
      <c r="B50" s="1845"/>
      <c r="C50" s="1845"/>
      <c r="D50" s="1845"/>
      <c r="E50" s="1396"/>
    </row>
    <row r="51" spans="1:5" s="1297" customFormat="1" ht="20.25" customHeight="1" x14ac:dyDescent="0.2">
      <c r="A51" s="1298">
        <v>6</v>
      </c>
      <c r="B51" s="2446" t="s">
        <v>1551</v>
      </c>
      <c r="C51" s="2446"/>
      <c r="D51" s="2446"/>
    </row>
    <row r="52" spans="1:5" ht="14.25" customHeight="1" x14ac:dyDescent="0.2">
      <c r="A52" s="1298"/>
      <c r="B52" s="2446"/>
      <c r="C52" s="2446"/>
      <c r="D52" s="2446"/>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6" colorId="8" zoomScale="110" zoomScaleNormal="110" workbookViewId="0">
      <selection activeCell="I29" sqref="I2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t="s">
        <v>2099</v>
      </c>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2072</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S54" sqref="S5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New Hope CCSD 6</v>
      </c>
      <c r="C1" s="2456"/>
      <c r="D1" s="2456"/>
      <c r="E1" s="2456"/>
      <c r="F1" s="2456"/>
      <c r="G1" s="2456"/>
      <c r="H1" s="2456"/>
      <c r="I1" s="2456"/>
      <c r="J1" s="1406"/>
    </row>
    <row r="2" spans="2:10" s="317" customFormat="1" ht="12.75" customHeight="1" x14ac:dyDescent="0.2">
      <c r="B2" s="2457">
        <f>'Single Audit Cover'!E7</f>
        <v>20096006004</v>
      </c>
      <c r="C2" s="2458"/>
      <c r="D2" s="2458"/>
      <c r="E2" s="2458"/>
      <c r="F2" s="2458"/>
      <c r="G2" s="2458"/>
      <c r="H2" s="2458"/>
      <c r="I2" s="2458"/>
      <c r="J2" s="1406"/>
    </row>
    <row r="3" spans="2:10" s="317" customFormat="1" ht="12.75" customHeight="1" x14ac:dyDescent="0.2">
      <c r="B3" s="2459" t="s">
        <v>1285</v>
      </c>
      <c r="C3" s="2460"/>
      <c r="D3" s="2460"/>
      <c r="E3" s="2460"/>
      <c r="F3" s="2460"/>
      <c r="G3" s="2460"/>
      <c r="H3" s="2460"/>
      <c r="I3" s="2460"/>
      <c r="J3" s="1407"/>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9" t="s">
        <v>1284</v>
      </c>
      <c r="C7" s="2460"/>
      <c r="D7" s="2460"/>
      <c r="E7" s="2460"/>
      <c r="F7" s="2460"/>
      <c r="G7" s="2460"/>
      <c r="H7" s="2460"/>
      <c r="I7" s="246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1" t="s">
        <v>1164</v>
      </c>
      <c r="D11" s="246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2064</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2064</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2064</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2064</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2064</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2" t="s">
        <v>2115</v>
      </c>
      <c r="E29" s="2462"/>
      <c r="F29" s="2462"/>
      <c r="G29" s="2462"/>
      <c r="H29" s="2462"/>
      <c r="I29" s="2462"/>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2064</v>
      </c>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3" t="s">
        <v>1751</v>
      </c>
      <c r="D37" s="2464"/>
      <c r="E37" s="2464"/>
      <c r="F37" s="2465"/>
      <c r="G37" s="2463" t="s">
        <v>1592</v>
      </c>
      <c r="H37" s="2464"/>
      <c r="I37" s="2465"/>
    </row>
    <row r="38" spans="2:9" ht="16.5" customHeight="1" x14ac:dyDescent="0.2">
      <c r="B38" s="1428"/>
      <c r="C38" s="2451"/>
      <c r="D38" s="2452"/>
      <c r="E38" s="2452"/>
      <c r="F38" s="2453"/>
      <c r="G38" s="2466"/>
      <c r="H38" s="2467"/>
      <c r="I38" s="2468"/>
    </row>
    <row r="39" spans="2:9" ht="16.5" customHeight="1" x14ac:dyDescent="0.2">
      <c r="B39" s="1428" t="s">
        <v>2115</v>
      </c>
      <c r="C39" s="2451"/>
      <c r="D39" s="2452"/>
      <c r="E39" s="2452"/>
      <c r="F39" s="2453"/>
      <c r="G39" s="2454"/>
      <c r="H39" s="2454"/>
      <c r="I39" s="2454"/>
    </row>
    <row r="40" spans="2:9" ht="16.5" customHeight="1" x14ac:dyDescent="0.2">
      <c r="B40" s="1428"/>
      <c r="C40" s="2451"/>
      <c r="D40" s="2452"/>
      <c r="E40" s="2452"/>
      <c r="F40" s="2453"/>
      <c r="G40" s="2454"/>
      <c r="H40" s="2454"/>
      <c r="I40" s="2454"/>
    </row>
    <row r="41" spans="2:9" ht="16.5" customHeight="1" x14ac:dyDescent="0.2">
      <c r="B41" s="1428"/>
      <c r="C41" s="2451"/>
      <c r="D41" s="2452"/>
      <c r="E41" s="2452"/>
      <c r="F41" s="2453"/>
      <c r="G41" s="2454"/>
      <c r="H41" s="2454"/>
      <c r="I41" s="2454"/>
    </row>
    <row r="42" spans="2:9" ht="16.5" customHeight="1" x14ac:dyDescent="0.2">
      <c r="B42" s="1428"/>
      <c r="C42" s="2451"/>
      <c r="D42" s="2452"/>
      <c r="E42" s="2452"/>
      <c r="F42" s="2453"/>
      <c r="G42" s="2454"/>
      <c r="H42" s="2454"/>
      <c r="I42" s="2454"/>
    </row>
    <row r="43" spans="2:9" ht="16.5" customHeight="1" x14ac:dyDescent="0.2">
      <c r="B43" s="1428"/>
      <c r="C43" s="2469" t="s">
        <v>1593</v>
      </c>
      <c r="D43" s="2470"/>
      <c r="E43" s="2470"/>
      <c r="F43" s="2471"/>
      <c r="G43" s="2472">
        <f>SUM(G38:I42)</f>
        <v>0</v>
      </c>
      <c r="H43" s="2472"/>
      <c r="I43" s="2472"/>
    </row>
    <row r="44" spans="2:9" ht="12.75" customHeight="1" x14ac:dyDescent="0.2"/>
    <row r="45" spans="2:9" ht="12.75" customHeight="1" x14ac:dyDescent="0.2">
      <c r="B45" s="1419" t="s">
        <v>1841</v>
      </c>
      <c r="D45" s="2473">
        <v>127313</v>
      </c>
      <c r="E45" s="2474"/>
    </row>
    <row r="46" spans="2:9" ht="5.25" customHeight="1" x14ac:dyDescent="0.2">
      <c r="B46" s="1429"/>
      <c r="D46" s="1430"/>
      <c r="E46" s="1431"/>
    </row>
    <row r="47" spans="2:9" ht="12.75" customHeight="1" x14ac:dyDescent="0.2">
      <c r="B47" s="1297" t="s">
        <v>1594</v>
      </c>
      <c r="C47" s="1297"/>
      <c r="D47" s="1432">
        <f>+G43/D45</f>
        <v>0</v>
      </c>
      <c r="E47" s="1433"/>
      <c r="F47" s="1434"/>
      <c r="I47" s="1435"/>
    </row>
    <row r="48" spans="2:9" ht="9.9499999999999993" customHeight="1" x14ac:dyDescent="0.2"/>
    <row r="49" spans="1:9" x14ac:dyDescent="0.2">
      <c r="B49" s="1365" t="s">
        <v>1273</v>
      </c>
      <c r="C49" s="1279"/>
      <c r="D49" s="1279"/>
      <c r="E49" s="2475" t="s">
        <v>2115</v>
      </c>
      <c r="F49" s="2475"/>
      <c r="G49" s="247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19" zoomScale="110" zoomScaleNormal="110" workbookViewId="0">
      <selection activeCell="P29" sqref="P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New Hope CCSD 6</v>
      </c>
      <c r="C1" s="2455"/>
      <c r="D1" s="2455"/>
      <c r="E1" s="2455"/>
      <c r="F1" s="2455"/>
      <c r="G1" s="2455"/>
      <c r="H1" s="2455"/>
      <c r="I1" s="2455"/>
      <c r="J1" s="2455"/>
      <c r="K1" s="2455"/>
      <c r="L1" s="1371"/>
      <c r="M1" s="1371"/>
    </row>
    <row r="2" spans="1:13" ht="12" customHeight="1" x14ac:dyDescent="0.2">
      <c r="B2" s="2457">
        <f>'Single Audit Cover'!E7</f>
        <v>20096006004</v>
      </c>
      <c r="C2" s="2457"/>
      <c r="D2" s="2457"/>
      <c r="E2" s="2457"/>
      <c r="F2" s="2457"/>
      <c r="G2" s="2457"/>
      <c r="H2" s="2457"/>
      <c r="I2" s="2457"/>
      <c r="J2" s="2457"/>
      <c r="K2" s="2457"/>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1</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7" t="s">
        <v>2116</v>
      </c>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t="s">
        <v>2117</v>
      </c>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1" t="s">
        <v>2118</v>
      </c>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t="s">
        <v>2119</v>
      </c>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t="s">
        <v>2120</v>
      </c>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t="s">
        <v>2121</v>
      </c>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6" t="s">
        <v>2122</v>
      </c>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topLeftCell="A19" zoomScale="110" zoomScaleNormal="110" workbookViewId="0">
      <selection activeCell="B30" sqref="B3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New Hope CCSD 6</v>
      </c>
      <c r="C1" s="2455"/>
      <c r="D1" s="2455"/>
      <c r="E1" s="2455"/>
      <c r="F1" s="2455"/>
      <c r="G1" s="2455"/>
      <c r="H1" s="2455"/>
      <c r="I1" s="2455"/>
      <c r="J1" s="2455"/>
      <c r="K1" s="2455"/>
      <c r="L1" s="1371"/>
      <c r="M1" s="1371"/>
    </row>
    <row r="2" spans="1:13" ht="12" customHeight="1" x14ac:dyDescent="0.2">
      <c r="B2" s="2457">
        <f>'Single Audit Cover'!E7</f>
        <v>20096006004</v>
      </c>
      <c r="C2" s="2457"/>
      <c r="D2" s="2457"/>
      <c r="E2" s="2457"/>
      <c r="F2" s="2457"/>
      <c r="G2" s="2457"/>
      <c r="H2" s="2457"/>
      <c r="I2" s="2457"/>
      <c r="J2" s="2457"/>
      <c r="K2" s="2457"/>
      <c r="L2" s="1372"/>
      <c r="M2" s="1373"/>
    </row>
    <row r="3" spans="1:13" ht="10.35" customHeight="1" x14ac:dyDescent="0.2">
      <c r="B3" s="2478" t="s">
        <v>1285</v>
      </c>
      <c r="C3" s="2478"/>
      <c r="D3" s="2478"/>
      <c r="E3" s="2478"/>
      <c r="F3" s="2478"/>
      <c r="G3" s="2478"/>
      <c r="H3" s="2478"/>
      <c r="I3" s="2478"/>
      <c r="J3" s="2478"/>
      <c r="K3" s="2478"/>
      <c r="L3" s="1938"/>
      <c r="M3" s="1938"/>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v>2</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7" t="s">
        <v>2123</v>
      </c>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t="s">
        <v>2124</v>
      </c>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1" t="s">
        <v>2125</v>
      </c>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t="s">
        <v>2126</v>
      </c>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t="s">
        <v>2127</v>
      </c>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t="s">
        <v>2140</v>
      </c>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6" t="s">
        <v>2128</v>
      </c>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New Hope CCSD 6</v>
      </c>
      <c r="C1" s="2482"/>
      <c r="D1" s="2482"/>
      <c r="E1" s="2482"/>
      <c r="F1" s="2482"/>
      <c r="G1" s="2482"/>
      <c r="H1" s="2482"/>
      <c r="I1" s="2482"/>
      <c r="J1" s="2482"/>
      <c r="K1" s="2482"/>
      <c r="L1" s="1449"/>
    </row>
    <row r="2" spans="1:12" ht="12.75" customHeight="1" x14ac:dyDescent="0.2">
      <c r="B2" s="2483">
        <f>'Single Audit Cover'!E7</f>
        <v>20096006004</v>
      </c>
      <c r="C2" s="2483"/>
      <c r="D2" s="2483"/>
      <c r="E2" s="2483"/>
      <c r="F2" s="2483"/>
      <c r="G2" s="2483"/>
      <c r="H2" s="2483"/>
      <c r="I2" s="2483"/>
      <c r="J2" s="2483"/>
      <c r="K2" s="2483"/>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2"/>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c r="E14" s="2485"/>
      <c r="F14" s="2485"/>
      <c r="H14" s="1459" t="s">
        <v>1303</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c r="E16" s="2486"/>
      <c r="F16" s="2486"/>
      <c r="G16" s="2486"/>
      <c r="H16" s="2486"/>
      <c r="I16" s="2486"/>
      <c r="J16" s="2486"/>
      <c r="K16" s="2486"/>
      <c r="L16" s="322"/>
    </row>
    <row r="17" spans="2:12" ht="13.5" customHeight="1" x14ac:dyDescent="0.2">
      <c r="B17" s="1384" t="s">
        <v>1301</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3"/>
  <sheetViews>
    <sheetView showGridLines="0" zoomScale="110" zoomScaleNormal="110" workbookViewId="0">
      <selection activeCell="E22" sqref="E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5" t="str">
        <f>'Single Audit Cover'!A7</f>
        <v>New Hope CCSD 6</v>
      </c>
      <c r="C1" s="2455"/>
      <c r="D1" s="2455"/>
      <c r="E1" s="1469"/>
    </row>
    <row r="2" spans="2:5" s="1279" customFormat="1" ht="12.75" customHeight="1" x14ac:dyDescent="0.2">
      <c r="B2" s="2457">
        <f>'Single Audit Cover'!E7</f>
        <v>20096006004</v>
      </c>
      <c r="C2" s="2457"/>
      <c r="D2" s="2457"/>
      <c r="E2" s="1470"/>
    </row>
    <row r="3" spans="2:5" ht="12.75" customHeight="1" x14ac:dyDescent="0.2">
      <c r="B3" s="2478" t="s">
        <v>1766</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2129</v>
      </c>
      <c r="C7" s="324" t="s">
        <v>2134</v>
      </c>
      <c r="D7" s="324" t="s">
        <v>2132</v>
      </c>
      <c r="E7" s="324"/>
    </row>
    <row r="8" spans="2:5" ht="13.5" customHeight="1" x14ac:dyDescent="0.2">
      <c r="B8" s="1474"/>
      <c r="C8" s="324" t="s">
        <v>2135</v>
      </c>
      <c r="D8" s="324"/>
      <c r="E8" s="324"/>
    </row>
    <row r="9" spans="2:5" ht="13.5" customHeight="1" x14ac:dyDescent="0.2">
      <c r="B9" s="1475"/>
      <c r="C9" s="323" t="s">
        <v>2136</v>
      </c>
      <c r="D9" s="323"/>
      <c r="E9" s="323"/>
    </row>
    <row r="10" spans="2:5" ht="13.5" customHeight="1" x14ac:dyDescent="0.2">
      <c r="B10" s="1474"/>
      <c r="C10" s="323" t="s">
        <v>2137</v>
      </c>
      <c r="D10" s="323"/>
      <c r="E10" s="323"/>
    </row>
    <row r="11" spans="2:5" ht="13.5" customHeight="1" x14ac:dyDescent="0.2">
      <c r="B11" s="1474" t="s">
        <v>2131</v>
      </c>
      <c r="C11" s="323" t="s">
        <v>2138</v>
      </c>
      <c r="D11" s="323" t="s">
        <v>2133</v>
      </c>
      <c r="E11" s="323"/>
    </row>
    <row r="12" spans="2:5" ht="13.5" customHeight="1" x14ac:dyDescent="0.2">
      <c r="B12" s="1474"/>
      <c r="C12" s="323" t="s">
        <v>2139</v>
      </c>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22" colorId="8" zoomScale="110" zoomScaleNormal="110" workbookViewId="0">
      <selection activeCell="J42" sqref="J4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21102604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9.1999999999999998E-3</v>
      </c>
      <c r="E10" s="356" t="s">
        <v>1005</v>
      </c>
      <c r="F10" s="355">
        <v>2.5000000000000001E-3</v>
      </c>
      <c r="G10" s="356" t="s">
        <v>1005</v>
      </c>
      <c r="H10" s="355">
        <v>1.1999999999999999E-3</v>
      </c>
      <c r="I10" s="356" t="s">
        <v>1006</v>
      </c>
      <c r="J10" s="1732">
        <f>ROUND(D10+F10+H10,5)</f>
        <v>1.29E-2</v>
      </c>
      <c r="K10" s="222"/>
      <c r="L10" s="355">
        <v>5.0000000000000001E-4</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1430471</v>
      </c>
      <c r="E16" s="356"/>
      <c r="F16" s="1733">
        <f>SUM('Acct Summary 7-8'!C17,'Acct Summary 7-8'!D17,'Acct Summary 7-8'!F17)</f>
        <v>1318550</v>
      </c>
      <c r="G16" s="356"/>
      <c r="H16" s="1733">
        <f>SUM(D16-F16)</f>
        <v>111921</v>
      </c>
      <c r="I16" s="222"/>
      <c r="J16" s="1733">
        <f>SUM('Acct Summary 7-8'!C81,'Acct Summary 7-8'!D81,'Acct Summary 7-8'!F81,'Acct Summary 7-8'!I81)</f>
        <v>1196463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1456079.6760000002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542372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4" zoomScale="110" zoomScaleNormal="110" workbookViewId="0">
      <selection activeCell="H38" sqref="H3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New Hope CCSD 6</v>
      </c>
      <c r="E7" s="391"/>
      <c r="G7" s="252"/>
      <c r="H7" s="387"/>
      <c r="I7" s="387"/>
      <c r="J7" s="387"/>
      <c r="K7" s="387"/>
      <c r="L7" s="329"/>
      <c r="M7" s="329"/>
      <c r="N7" s="329"/>
      <c r="O7" s="329"/>
      <c r="P7" s="329"/>
    </row>
    <row r="8" spans="1:18" ht="12.75" x14ac:dyDescent="0.2">
      <c r="A8" s="329"/>
      <c r="B8" s="329"/>
      <c r="C8" s="389" t="s">
        <v>1125</v>
      </c>
      <c r="D8" s="392">
        <f>COVER!A13</f>
        <v>20096006004</v>
      </c>
      <c r="E8" s="393"/>
      <c r="G8" s="329"/>
      <c r="H8" s="329"/>
      <c r="I8" s="329"/>
      <c r="J8" s="329"/>
      <c r="K8" s="329"/>
      <c r="L8" s="329"/>
      <c r="M8" s="329"/>
      <c r="N8" s="329"/>
      <c r="O8" s="329"/>
      <c r="P8" s="329"/>
    </row>
    <row r="9" spans="1:18" ht="12.75" x14ac:dyDescent="0.2">
      <c r="A9" s="329"/>
      <c r="B9" s="329"/>
      <c r="C9" s="389" t="s">
        <v>713</v>
      </c>
      <c r="D9" s="394" t="str">
        <f>COVER!A15</f>
        <v>Wayne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1196463</v>
      </c>
      <c r="I12" s="404"/>
      <c r="J12" s="404"/>
      <c r="K12" s="405">
        <f>TRUNC((H12/H13*100000),5)/100000</f>
        <v>0.836411923</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1430471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1318550</v>
      </c>
      <c r="I17" s="404"/>
      <c r="J17" s="416"/>
      <c r="K17" s="405">
        <f>TRUNC((H17/H18*100000),5)/100000</f>
        <v>0.92175933659999998</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1430471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1196463</v>
      </c>
      <c r="I24" s="422"/>
      <c r="J24" s="422"/>
      <c r="K24" s="423">
        <f>TRUNC(((H24/H25*100000)/100000),2)</f>
        <v>326.66000000000003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3662.6388900000002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231390.05286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542372</v>
      </c>
      <c r="I32" s="420"/>
      <c r="J32" s="420"/>
      <c r="K32" s="423">
        <f>TRUNC(100-((((H32/H33*100))*100)/100),2)</f>
        <v>62.75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1456079.6760000002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24" activePane="bottomLeft" state="frozen"/>
      <selection pane="bottomLeft" activeCell="K22" sqref="K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594296</v>
      </c>
      <c r="D4" s="466">
        <v>159915</v>
      </c>
      <c r="E4" s="466">
        <v>62442</v>
      </c>
      <c r="F4" s="466">
        <v>103160</v>
      </c>
      <c r="G4" s="466">
        <v>242169</v>
      </c>
      <c r="H4" s="466">
        <v>24910</v>
      </c>
      <c r="I4" s="466"/>
      <c r="J4" s="467">
        <v>67141</v>
      </c>
      <c r="K4" s="466">
        <v>478968</v>
      </c>
      <c r="L4" s="466">
        <v>10930</v>
      </c>
      <c r="M4" s="468"/>
      <c r="N4" s="469"/>
    </row>
    <row r="5" spans="1:14" x14ac:dyDescent="0.2">
      <c r="A5" s="463" t="s">
        <v>992</v>
      </c>
      <c r="B5" s="470">
        <v>120</v>
      </c>
      <c r="C5" s="465">
        <v>339092</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933388</v>
      </c>
      <c r="D13" s="1737">
        <f t="shared" ref="D13:L13" si="0">SUM(D4:D12)</f>
        <v>159915</v>
      </c>
      <c r="E13" s="1737">
        <f t="shared" si="0"/>
        <v>62442</v>
      </c>
      <c r="F13" s="1737">
        <f t="shared" si="0"/>
        <v>103160</v>
      </c>
      <c r="G13" s="1737">
        <f t="shared" si="0"/>
        <v>242169</v>
      </c>
      <c r="H13" s="1737">
        <f t="shared" si="0"/>
        <v>24910</v>
      </c>
      <c r="I13" s="1737">
        <f t="shared" si="0"/>
        <v>0</v>
      </c>
      <c r="J13" s="1737">
        <f t="shared" si="0"/>
        <v>67141</v>
      </c>
      <c r="K13" s="1737">
        <f t="shared" si="0"/>
        <v>478968</v>
      </c>
      <c r="L13" s="1737">
        <f t="shared" si="0"/>
        <v>10930</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15515</v>
      </c>
      <c r="N16" s="484"/>
    </row>
    <row r="17" spans="1:14" s="485" customFormat="1" ht="12.75" customHeight="1" x14ac:dyDescent="0.2">
      <c r="A17" s="482" t="s">
        <v>1403</v>
      </c>
      <c r="B17" s="483">
        <v>230</v>
      </c>
      <c r="C17" s="477"/>
      <c r="D17" s="477"/>
      <c r="E17" s="477"/>
      <c r="F17" s="477"/>
      <c r="G17" s="477"/>
      <c r="H17" s="477"/>
      <c r="I17" s="477"/>
      <c r="J17" s="477"/>
      <c r="K17" s="477"/>
      <c r="L17" s="477"/>
      <c r="M17" s="467">
        <v>4136679</v>
      </c>
      <c r="N17" s="484"/>
    </row>
    <row r="18" spans="1:14" s="485" customFormat="1" ht="12.75" customHeight="1" x14ac:dyDescent="0.2">
      <c r="A18" s="482" t="s">
        <v>1404</v>
      </c>
      <c r="B18" s="483">
        <v>240</v>
      </c>
      <c r="C18" s="477"/>
      <c r="D18" s="477"/>
      <c r="E18" s="477"/>
      <c r="F18" s="477"/>
      <c r="G18" s="477"/>
      <c r="H18" s="477"/>
      <c r="I18" s="477"/>
      <c r="J18" s="477"/>
      <c r="K18" s="477"/>
      <c r="L18" s="477"/>
      <c r="M18" s="467">
        <v>213517</v>
      </c>
      <c r="N18" s="484"/>
    </row>
    <row r="19" spans="1:14" s="485" customFormat="1" ht="12.75" customHeight="1" x14ac:dyDescent="0.2">
      <c r="A19" s="482" t="s">
        <v>1405</v>
      </c>
      <c r="B19" s="483">
        <v>250</v>
      </c>
      <c r="C19" s="477"/>
      <c r="D19" s="477"/>
      <c r="E19" s="477"/>
      <c r="F19" s="477"/>
      <c r="G19" s="477"/>
      <c r="H19" s="477"/>
      <c r="I19" s="477"/>
      <c r="J19" s="477"/>
      <c r="K19" s="477"/>
      <c r="L19" s="477"/>
      <c r="M19" s="467">
        <v>428328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E4</f>
        <v>62442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479930</v>
      </c>
    </row>
    <row r="23" spans="1:14" ht="13.5" customHeight="1" thickBot="1" x14ac:dyDescent="0.25">
      <c r="A23" s="1736" t="s">
        <v>643</v>
      </c>
      <c r="B23" s="1741"/>
      <c r="C23" s="468"/>
      <c r="D23" s="468"/>
      <c r="E23" s="468"/>
      <c r="F23" s="468"/>
      <c r="G23" s="468"/>
      <c r="H23" s="468"/>
      <c r="I23" s="468"/>
      <c r="J23" s="468"/>
      <c r="K23" s="468"/>
      <c r="L23" s="468"/>
      <c r="M23" s="1688">
        <f>SUM(M15:M22)</f>
        <v>4794039</v>
      </c>
      <c r="N23" s="1688">
        <f>SUM(N21:N22)</f>
        <v>542372</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542372</v>
      </c>
    </row>
    <row r="37" spans="1:14" ht="13.5" thickBot="1" x14ac:dyDescent="0.25">
      <c r="A37" s="1736" t="s">
        <v>653</v>
      </c>
      <c r="B37" s="1741"/>
      <c r="C37" s="477"/>
      <c r="D37" s="477"/>
      <c r="E37" s="477"/>
      <c r="F37" s="477"/>
      <c r="G37" s="477"/>
      <c r="H37" s="477"/>
      <c r="I37" s="477"/>
      <c r="J37" s="477"/>
      <c r="K37" s="477"/>
      <c r="L37" s="480"/>
      <c r="M37" s="468"/>
      <c r="N37" s="1688">
        <f>SUM(N36:N36)</f>
        <v>542372</v>
      </c>
    </row>
    <row r="38" spans="1:14" s="329" customFormat="1" ht="13.5" customHeight="1" thickTop="1" x14ac:dyDescent="0.2">
      <c r="A38" s="496" t="s">
        <v>420</v>
      </c>
      <c r="B38" s="483">
        <v>714</v>
      </c>
      <c r="C38" s="466"/>
      <c r="D38" s="466"/>
      <c r="E38" s="466"/>
      <c r="F38" s="466"/>
      <c r="G38" s="466">
        <v>85819</v>
      </c>
      <c r="H38" s="466"/>
      <c r="I38" s="466"/>
      <c r="J38" s="467"/>
      <c r="K38" s="466"/>
      <c r="L38" s="481"/>
      <c r="M38" s="497"/>
      <c r="N38" s="497"/>
    </row>
    <row r="39" spans="1:14" s="329" customFormat="1" ht="13.5" customHeight="1" x14ac:dyDescent="0.2">
      <c r="A39" s="496" t="s">
        <v>342</v>
      </c>
      <c r="B39" s="483">
        <v>730</v>
      </c>
      <c r="C39" s="466">
        <v>933388</v>
      </c>
      <c r="D39" s="466">
        <v>159915</v>
      </c>
      <c r="E39" s="466">
        <v>62442</v>
      </c>
      <c r="F39" s="466">
        <v>103160</v>
      </c>
      <c r="G39" s="466">
        <v>156350</v>
      </c>
      <c r="H39" s="466">
        <v>24910</v>
      </c>
      <c r="I39" s="466"/>
      <c r="J39" s="467">
        <v>67141</v>
      </c>
      <c r="K39" s="466">
        <v>478968</v>
      </c>
      <c r="L39" s="466">
        <v>10930</v>
      </c>
      <c r="M39" s="497"/>
      <c r="N39" s="497"/>
    </row>
    <row r="40" spans="1:14" s="329" customFormat="1" ht="13.5" customHeight="1" x14ac:dyDescent="0.2">
      <c r="A40" s="498" t="s">
        <v>148</v>
      </c>
      <c r="B40" s="499"/>
      <c r="C40" s="500"/>
      <c r="D40" s="500"/>
      <c r="E40" s="500"/>
      <c r="F40" s="500"/>
      <c r="G40" s="500"/>
      <c r="H40" s="500"/>
      <c r="I40" s="500"/>
      <c r="J40" s="500"/>
      <c r="K40" s="500"/>
      <c r="L40" s="500"/>
      <c r="M40" s="467">
        <v>4794039</v>
      </c>
      <c r="N40" s="497"/>
    </row>
    <row r="41" spans="1:14" ht="13.5" customHeight="1" thickBot="1" x14ac:dyDescent="0.25">
      <c r="A41" s="1736" t="s">
        <v>655</v>
      </c>
      <c r="B41" s="1706"/>
      <c r="C41" s="1688">
        <f>(SUM(C34,C37,C38,C39))</f>
        <v>933388</v>
      </c>
      <c r="D41" s="1688">
        <f t="shared" ref="D41:L41" si="2">SUM(D34,D37,D38:D39)</f>
        <v>159915</v>
      </c>
      <c r="E41" s="1688">
        <f t="shared" si="2"/>
        <v>62442</v>
      </c>
      <c r="F41" s="1688">
        <f t="shared" si="2"/>
        <v>103160</v>
      </c>
      <c r="G41" s="1688">
        <f t="shared" si="2"/>
        <v>242169</v>
      </c>
      <c r="H41" s="1688">
        <f t="shared" si="2"/>
        <v>24910</v>
      </c>
      <c r="I41" s="1688">
        <f t="shared" si="2"/>
        <v>0</v>
      </c>
      <c r="J41" s="1688">
        <f t="shared" si="2"/>
        <v>67141</v>
      </c>
      <c r="K41" s="1688">
        <f t="shared" si="2"/>
        <v>478968</v>
      </c>
      <c r="L41" s="1688">
        <f t="shared" si="2"/>
        <v>10930</v>
      </c>
      <c r="M41" s="1688">
        <f>SUM(M40)</f>
        <v>4794039</v>
      </c>
      <c r="N41" s="1688">
        <f>SUM(N37)</f>
        <v>542372</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24" activePane="bottomLeft" state="frozen"/>
      <selection pane="bottomLeft" activeCell="N46" sqref="N4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257588</v>
      </c>
      <c r="D4" s="1742">
        <f>'Revenues 9-14'!D109</f>
        <v>64881</v>
      </c>
      <c r="E4" s="1742">
        <f>'Revenues 9-14'!E109</f>
        <v>59963</v>
      </c>
      <c r="F4" s="1742">
        <f>'Revenues 9-14'!F109</f>
        <v>24188</v>
      </c>
      <c r="G4" s="1742">
        <f>'Revenues 9-14'!G109</f>
        <v>24907</v>
      </c>
      <c r="H4" s="1742">
        <f>'Revenues 9-14'!H109</f>
        <v>14941</v>
      </c>
      <c r="I4" s="1742">
        <f>'Revenues 9-14'!I109</f>
        <v>9986</v>
      </c>
      <c r="J4" s="1742">
        <f>'Revenues 9-14'!J109</f>
        <v>120560</v>
      </c>
      <c r="K4" s="1742">
        <f>'Revenues 9-14'!K109</f>
        <v>10756</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840150</v>
      </c>
      <c r="D6" s="1743">
        <f>'Revenues 9-14'!D170</f>
        <v>30000</v>
      </c>
      <c r="E6" s="1743">
        <f>'Revenues 9-14'!E170</f>
        <v>0</v>
      </c>
      <c r="F6" s="1743">
        <f>'Revenues 9-14'!F170</f>
        <v>79053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124625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1222363</v>
      </c>
      <c r="D8" s="1688">
        <f t="shared" ref="D8:K8" si="0">SUM(D4:D7)</f>
        <v>94881</v>
      </c>
      <c r="E8" s="1688">
        <f t="shared" si="0"/>
        <v>59963</v>
      </c>
      <c r="F8" s="1688">
        <f t="shared" si="0"/>
        <v>103241</v>
      </c>
      <c r="G8" s="1688">
        <f t="shared" si="0"/>
        <v>24907</v>
      </c>
      <c r="H8" s="1688">
        <f t="shared" si="0"/>
        <v>14941</v>
      </c>
      <c r="I8" s="1688">
        <f t="shared" si="0"/>
        <v>9986</v>
      </c>
      <c r="J8" s="1688">
        <f t="shared" si="0"/>
        <v>120560</v>
      </c>
      <c r="K8" s="1688">
        <f t="shared" si="0"/>
        <v>10756</v>
      </c>
      <c r="L8" s="347"/>
    </row>
    <row r="9" spans="1:13" ht="15.75" thickTop="1" x14ac:dyDescent="0.2">
      <c r="A9" s="514" t="s">
        <v>1653</v>
      </c>
      <c r="B9" s="515">
        <v>3998</v>
      </c>
      <c r="C9" s="481">
        <v>538226</v>
      </c>
      <c r="D9" s="516"/>
      <c r="E9" s="481"/>
      <c r="F9" s="481"/>
      <c r="G9" s="517"/>
      <c r="H9" s="481"/>
      <c r="I9" s="509" t="s">
        <v>1169</v>
      </c>
      <c r="J9" s="478"/>
      <c r="K9" s="481"/>
      <c r="L9" s="347"/>
    </row>
    <row r="10" spans="1:13" s="519" customFormat="1" ht="13.5" thickBot="1" x14ac:dyDescent="0.25">
      <c r="A10" s="1736" t="s">
        <v>1173</v>
      </c>
      <c r="B10" s="1709"/>
      <c r="C10" s="1688">
        <f>SUM(C8:C9)</f>
        <v>1760589</v>
      </c>
      <c r="D10" s="1688">
        <f t="shared" ref="D10:K10" si="1">SUM(D8:D9)</f>
        <v>94881</v>
      </c>
      <c r="E10" s="1688">
        <f t="shared" si="1"/>
        <v>59963</v>
      </c>
      <c r="F10" s="1688">
        <f t="shared" si="1"/>
        <v>103241</v>
      </c>
      <c r="G10" s="1688">
        <f t="shared" si="1"/>
        <v>24907</v>
      </c>
      <c r="H10" s="1688">
        <f t="shared" si="1"/>
        <v>14941</v>
      </c>
      <c r="I10" s="1688">
        <f t="shared" si="1"/>
        <v>9986</v>
      </c>
      <c r="J10" s="1688">
        <f t="shared" si="1"/>
        <v>120560</v>
      </c>
      <c r="K10" s="1688">
        <f t="shared" si="1"/>
        <v>10756</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777689</v>
      </c>
      <c r="D12" s="520" t="s">
        <v>1169</v>
      </c>
      <c r="E12" s="468" t="s">
        <v>1169</v>
      </c>
      <c r="F12" s="468" t="s">
        <v>1169</v>
      </c>
      <c r="G12" s="1742">
        <f>'Expenditures 15-22'!K229</f>
        <v>17146</v>
      </c>
      <c r="H12" s="521"/>
      <c r="I12" s="468" t="s">
        <v>1169</v>
      </c>
      <c r="J12" s="468" t="s">
        <v>1169</v>
      </c>
      <c r="K12" s="521" t="s">
        <v>1169</v>
      </c>
      <c r="L12" s="347"/>
    </row>
    <row r="13" spans="1:13" ht="15.75" customHeight="1" x14ac:dyDescent="0.2">
      <c r="A13" s="1576" t="s">
        <v>457</v>
      </c>
      <c r="B13" s="1578">
        <v>2000</v>
      </c>
      <c r="C13" s="1743">
        <f>'Expenditures 15-22'!K74</f>
        <v>380342</v>
      </c>
      <c r="D13" s="1743">
        <f>'Expenditures 15-22'!K129</f>
        <v>62791</v>
      </c>
      <c r="E13" s="469" t="s">
        <v>1169</v>
      </c>
      <c r="F13" s="1743">
        <f>'Expenditures 15-22'!K184</f>
        <v>49323</v>
      </c>
      <c r="G13" s="1743">
        <f>'Expenditures 15-22'!K279</f>
        <v>27247</v>
      </c>
      <c r="H13" s="1743">
        <f>'Expenditures 15-22'!K303</f>
        <v>5391</v>
      </c>
      <c r="I13" s="468" t="s">
        <v>1169</v>
      </c>
      <c r="J13" s="1743">
        <f>'Expenditures 15-22'!K330</f>
        <v>104002</v>
      </c>
      <c r="K13" s="1747">
        <f>'Expenditures 15-22'!K352</f>
        <v>0</v>
      </c>
      <c r="L13" s="347"/>
    </row>
    <row r="14" spans="1:13" ht="15.75" customHeight="1" x14ac:dyDescent="0.2">
      <c r="A14" s="1576" t="s">
        <v>449</v>
      </c>
      <c r="B14" s="1578">
        <v>3000</v>
      </c>
      <c r="C14" s="1743">
        <f>'Expenditures 15-22'!K75</f>
        <v>312</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8697</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67734</v>
      </c>
      <c r="F16" s="1743">
        <f>'Expenditures 15-22'!K208</f>
        <v>39396</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1167040</v>
      </c>
      <c r="D17" s="1688">
        <f t="shared" si="2"/>
        <v>62791</v>
      </c>
      <c r="E17" s="1688">
        <f t="shared" si="2"/>
        <v>67734</v>
      </c>
      <c r="F17" s="1688">
        <f t="shared" si="2"/>
        <v>88719</v>
      </c>
      <c r="G17" s="1688">
        <f t="shared" si="2"/>
        <v>44393</v>
      </c>
      <c r="H17" s="1688">
        <f t="shared" si="2"/>
        <v>5391</v>
      </c>
      <c r="I17" s="468"/>
      <c r="J17" s="1688">
        <f>SUM(J12:J16)</f>
        <v>104002</v>
      </c>
      <c r="K17" s="1688">
        <f>SUM(K12:K16)</f>
        <v>0</v>
      </c>
      <c r="L17" s="347"/>
    </row>
    <row r="18" spans="1:12" ht="15" customHeight="1" thickTop="1" x14ac:dyDescent="0.2">
      <c r="A18" s="1744" t="s">
        <v>1654</v>
      </c>
      <c r="B18" s="1745">
        <v>4180</v>
      </c>
      <c r="C18" s="1742">
        <f t="shared" ref="C18:H18" si="3">C9</f>
        <v>538226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1705266</v>
      </c>
      <c r="D19" s="1688">
        <f t="shared" si="4"/>
        <v>62791</v>
      </c>
      <c r="E19" s="1688">
        <f t="shared" si="4"/>
        <v>67734</v>
      </c>
      <c r="F19" s="1688">
        <f t="shared" si="4"/>
        <v>88719</v>
      </c>
      <c r="G19" s="1688">
        <f t="shared" si="4"/>
        <v>44393</v>
      </c>
      <c r="H19" s="1688">
        <f t="shared" si="4"/>
        <v>5391</v>
      </c>
      <c r="I19" s="468"/>
      <c r="J19" s="1688">
        <f>SUM(J17:J18)</f>
        <v>104002</v>
      </c>
      <c r="K19" s="1688">
        <f>SUM(K17:K18)</f>
        <v>0</v>
      </c>
      <c r="L19" s="347"/>
    </row>
    <row r="20" spans="1:12" ht="16.5" thickTop="1" thickBot="1" x14ac:dyDescent="0.25">
      <c r="A20" s="2127" t="s">
        <v>1655</v>
      </c>
      <c r="B20" s="2128"/>
      <c r="C20" s="1746">
        <f>C8-C17</f>
        <v>55323</v>
      </c>
      <c r="D20" s="1746">
        <f t="shared" ref="D20:K20" si="5">D8-D17</f>
        <v>32090</v>
      </c>
      <c r="E20" s="1746">
        <f t="shared" si="5"/>
        <v>-7771</v>
      </c>
      <c r="F20" s="1746">
        <f t="shared" si="5"/>
        <v>14522</v>
      </c>
      <c r="G20" s="1746">
        <f t="shared" si="5"/>
        <v>-19486</v>
      </c>
      <c r="H20" s="1746">
        <f t="shared" si="5"/>
        <v>9550</v>
      </c>
      <c r="I20" s="1746">
        <f t="shared" si="5"/>
        <v>9986</v>
      </c>
      <c r="J20" s="1746">
        <f t="shared" si="5"/>
        <v>16558</v>
      </c>
      <c r="K20" s="1746">
        <f t="shared" si="5"/>
        <v>10756</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v>9986</v>
      </c>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v>330000</v>
      </c>
      <c r="L33" s="524"/>
    </row>
    <row r="34" spans="1:12" s="485" customFormat="1" x14ac:dyDescent="0.2">
      <c r="A34" s="1489" t="s">
        <v>1001</v>
      </c>
      <c r="B34" s="525">
        <v>7220</v>
      </c>
      <c r="C34" s="467"/>
      <c r="D34" s="467"/>
      <c r="E34" s="467">
        <v>9092</v>
      </c>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9986</v>
      </c>
      <c r="D44" s="1703">
        <f t="shared" ref="D44:K44" si="6">SUM(D24:D43)</f>
        <v>0</v>
      </c>
      <c r="E44" s="1703">
        <f t="shared" si="6"/>
        <v>9092</v>
      </c>
      <c r="F44" s="1703">
        <f t="shared" si="6"/>
        <v>0</v>
      </c>
      <c r="G44" s="1703">
        <f t="shared" si="6"/>
        <v>0</v>
      </c>
      <c r="H44" s="1703">
        <f t="shared" si="6"/>
        <v>0</v>
      </c>
      <c r="I44" s="1703">
        <f t="shared" si="6"/>
        <v>0</v>
      </c>
      <c r="J44" s="1703">
        <f t="shared" si="6"/>
        <v>0</v>
      </c>
      <c r="K44" s="1703">
        <f t="shared" si="6"/>
        <v>330000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9986</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3">
        <f t="shared" ref="C76:K76" si="7">SUM(C47:C75)</f>
        <v>0</v>
      </c>
      <c r="D76" s="1703">
        <f t="shared" si="7"/>
        <v>0</v>
      </c>
      <c r="E76" s="1703">
        <f t="shared" si="7"/>
        <v>0</v>
      </c>
      <c r="F76" s="1703">
        <f t="shared" si="7"/>
        <v>0</v>
      </c>
      <c r="G76" s="1703">
        <f t="shared" si="7"/>
        <v>0</v>
      </c>
      <c r="H76" s="1703">
        <f t="shared" si="7"/>
        <v>0</v>
      </c>
      <c r="I76" s="1703">
        <f t="shared" si="7"/>
        <v>9986</v>
      </c>
      <c r="J76" s="1703">
        <f t="shared" si="7"/>
        <v>0</v>
      </c>
      <c r="K76" s="1703">
        <f t="shared" si="7"/>
        <v>0</v>
      </c>
      <c r="L76" s="524"/>
    </row>
    <row r="77" spans="1:12" ht="14.25" thickTop="1" thickBot="1" x14ac:dyDescent="0.25">
      <c r="A77" s="2119" t="s">
        <v>1177</v>
      </c>
      <c r="B77" s="2120"/>
      <c r="C77" s="1703">
        <f t="shared" ref="C77:K77" si="8">C44-C76</f>
        <v>9986</v>
      </c>
      <c r="D77" s="1703">
        <f t="shared" si="8"/>
        <v>0</v>
      </c>
      <c r="E77" s="1703">
        <f t="shared" si="8"/>
        <v>9092</v>
      </c>
      <c r="F77" s="1703">
        <f t="shared" si="8"/>
        <v>0</v>
      </c>
      <c r="G77" s="1703">
        <f t="shared" si="8"/>
        <v>0</v>
      </c>
      <c r="H77" s="1703">
        <f t="shared" si="8"/>
        <v>0</v>
      </c>
      <c r="I77" s="1703">
        <f t="shared" si="8"/>
        <v>-9986</v>
      </c>
      <c r="J77" s="1703">
        <f t="shared" si="8"/>
        <v>0</v>
      </c>
      <c r="K77" s="1703">
        <f t="shared" si="8"/>
        <v>330000</v>
      </c>
      <c r="L77" s="347"/>
    </row>
    <row r="78" spans="1:12" ht="21.75" customHeight="1" thickTop="1" thickBot="1" x14ac:dyDescent="0.25">
      <c r="A78" s="2123" t="s">
        <v>597</v>
      </c>
      <c r="B78" s="2124"/>
      <c r="C78" s="1702">
        <f t="shared" ref="C78:K78" si="9">C20+C77</f>
        <v>65309</v>
      </c>
      <c r="D78" s="1702">
        <f t="shared" si="9"/>
        <v>32090</v>
      </c>
      <c r="E78" s="1702">
        <f t="shared" si="9"/>
        <v>1321</v>
      </c>
      <c r="F78" s="1702">
        <f t="shared" si="9"/>
        <v>14522</v>
      </c>
      <c r="G78" s="1702">
        <f t="shared" si="9"/>
        <v>-19486</v>
      </c>
      <c r="H78" s="1702">
        <f t="shared" si="9"/>
        <v>9550</v>
      </c>
      <c r="I78" s="1702">
        <f t="shared" si="9"/>
        <v>0</v>
      </c>
      <c r="J78" s="1702">
        <f t="shared" si="9"/>
        <v>16558</v>
      </c>
      <c r="K78" s="1702">
        <f t="shared" si="9"/>
        <v>340756</v>
      </c>
      <c r="L78" s="533"/>
    </row>
    <row r="79" spans="1:12" ht="13.5" thickTop="1" x14ac:dyDescent="0.2">
      <c r="A79" s="1494" t="s">
        <v>1949</v>
      </c>
      <c r="B79" s="534"/>
      <c r="C79" s="478">
        <v>868079</v>
      </c>
      <c r="D79" s="535">
        <v>127825</v>
      </c>
      <c r="E79" s="535">
        <v>61121</v>
      </c>
      <c r="F79" s="535">
        <v>88638</v>
      </c>
      <c r="G79" s="535">
        <v>261655</v>
      </c>
      <c r="H79" s="535">
        <v>15360</v>
      </c>
      <c r="I79" s="535"/>
      <c r="J79" s="535">
        <v>50583</v>
      </c>
      <c r="K79" s="535">
        <v>138212</v>
      </c>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1950</v>
      </c>
      <c r="B81" s="2122"/>
      <c r="C81" s="1688">
        <f>(SUM(C78:C80))</f>
        <v>933388</v>
      </c>
      <c r="D81" s="1688">
        <f>SUM(D78:D80)</f>
        <v>159915</v>
      </c>
      <c r="E81" s="1688">
        <f t="shared" ref="E81:K81" si="10">SUM(E78:E80)</f>
        <v>62442</v>
      </c>
      <c r="F81" s="1688">
        <f t="shared" si="10"/>
        <v>103160</v>
      </c>
      <c r="G81" s="1688">
        <f t="shared" si="10"/>
        <v>242169</v>
      </c>
      <c r="H81" s="1688">
        <f t="shared" si="10"/>
        <v>24910</v>
      </c>
      <c r="I81" s="1688">
        <f t="shared" si="10"/>
        <v>0</v>
      </c>
      <c r="J81" s="1688">
        <f t="shared" si="10"/>
        <v>67141</v>
      </c>
      <c r="K81" s="1688">
        <f t="shared" si="10"/>
        <v>478968</v>
      </c>
      <c r="L81" s="347"/>
    </row>
    <row r="82" spans="1:12" ht="0.75" customHeight="1" thickTop="1" thickBot="1" x14ac:dyDescent="0.25">
      <c r="A82" s="536" t="s">
        <v>343</v>
      </c>
      <c r="B82" s="537"/>
      <c r="C82" s="538">
        <f>(C81-C79)</f>
        <v>65309</v>
      </c>
      <c r="D82" s="538">
        <f t="shared" ref="D82:K82" si="11">(D81-D79)</f>
        <v>32090</v>
      </c>
      <c r="E82" s="538">
        <f t="shared" si="11"/>
        <v>1321</v>
      </c>
      <c r="F82" s="538">
        <f t="shared" si="11"/>
        <v>14522</v>
      </c>
      <c r="G82" s="538">
        <f t="shared" si="11"/>
        <v>-19486</v>
      </c>
      <c r="H82" s="538">
        <f t="shared" si="11"/>
        <v>9550</v>
      </c>
      <c r="I82" s="538">
        <f t="shared" si="11"/>
        <v>0</v>
      </c>
      <c r="J82" s="538">
        <f t="shared" si="11"/>
        <v>16558</v>
      </c>
      <c r="K82" s="538">
        <f t="shared" si="11"/>
        <v>340756</v>
      </c>
    </row>
    <row r="83" spans="1:12" ht="14.25" hidden="1" thickTop="1" thickBot="1" x14ac:dyDescent="0.25">
      <c r="A83" s="539" t="s">
        <v>344</v>
      </c>
      <c r="B83" s="464"/>
      <c r="C83" s="540">
        <f>C82/C81</f>
        <v>6.9969830338508746E-2</v>
      </c>
      <c r="D83" s="540">
        <f t="shared" ref="D83:K83" si="12">D82/D81</f>
        <v>0.20066910546227684</v>
      </c>
      <c r="E83" s="540">
        <f t="shared" si="12"/>
        <v>2.1155632426892158E-2</v>
      </c>
      <c r="F83" s="540">
        <f t="shared" si="12"/>
        <v>0.14077161690577744</v>
      </c>
      <c r="G83" s="540">
        <f t="shared" si="12"/>
        <v>-8.0464469027827668E-2</v>
      </c>
      <c r="H83" s="540">
        <f t="shared" si="12"/>
        <v>0.38338016860698515</v>
      </c>
      <c r="I83" s="540" t="e">
        <f t="shared" si="12"/>
        <v>#DIV/0!</v>
      </c>
      <c r="J83" s="540">
        <f t="shared" si="12"/>
        <v>0.2466153319134359</v>
      </c>
      <c r="K83" s="540">
        <f t="shared" si="12"/>
        <v>0.71143792487180768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80" activePane="bottomLeft" state="frozen"/>
      <selection pane="bottomLeft"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179453</v>
      </c>
      <c r="D5" s="481">
        <v>49478</v>
      </c>
      <c r="E5" s="466">
        <v>59307</v>
      </c>
      <c r="F5" s="548">
        <v>23749</v>
      </c>
      <c r="G5" s="466">
        <v>10124</v>
      </c>
      <c r="H5" s="466"/>
      <c r="I5" s="466">
        <v>9896</v>
      </c>
      <c r="J5" s="467">
        <v>119460</v>
      </c>
      <c r="K5" s="466">
        <v>9896</v>
      </c>
    </row>
    <row r="6" spans="1:12" ht="15" x14ac:dyDescent="0.2">
      <c r="A6" s="463" t="s">
        <v>1662</v>
      </c>
      <c r="B6" s="470">
        <v>1130</v>
      </c>
      <c r="C6" s="466">
        <v>9896</v>
      </c>
      <c r="D6" s="466"/>
      <c r="E6" s="475"/>
      <c r="F6" s="475"/>
      <c r="G6" s="468"/>
      <c r="H6" s="468"/>
      <c r="I6" s="468"/>
      <c r="J6" s="468"/>
      <c r="K6" s="468"/>
    </row>
    <row r="7" spans="1:12" x14ac:dyDescent="0.2">
      <c r="A7" s="463" t="s">
        <v>110</v>
      </c>
      <c r="B7" s="549">
        <v>1140</v>
      </c>
      <c r="C7" s="466">
        <v>3958</v>
      </c>
      <c r="D7" s="466"/>
      <c r="E7" s="468"/>
      <c r="F7" s="467"/>
      <c r="G7" s="467"/>
      <c r="H7" s="467"/>
      <c r="I7" s="468"/>
      <c r="J7" s="468"/>
      <c r="K7" s="468"/>
    </row>
    <row r="8" spans="1:12" x14ac:dyDescent="0.2">
      <c r="A8" s="463" t="s">
        <v>413</v>
      </c>
      <c r="B8" s="470">
        <v>1150</v>
      </c>
      <c r="C8" s="475"/>
      <c r="D8" s="475"/>
      <c r="E8" s="477"/>
      <c r="F8" s="477"/>
      <c r="G8" s="481">
        <v>13161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193307</v>
      </c>
      <c r="D12" s="1707">
        <f t="shared" si="0"/>
        <v>49478</v>
      </c>
      <c r="E12" s="1707">
        <f t="shared" si="0"/>
        <v>59307</v>
      </c>
      <c r="F12" s="1707">
        <f t="shared" si="0"/>
        <v>23749</v>
      </c>
      <c r="G12" s="1707">
        <f t="shared" si="0"/>
        <v>23285</v>
      </c>
      <c r="H12" s="1707">
        <f t="shared" si="0"/>
        <v>0</v>
      </c>
      <c r="I12" s="1707">
        <f t="shared" si="0"/>
        <v>9896</v>
      </c>
      <c r="J12" s="1707">
        <f t="shared" si="0"/>
        <v>119460</v>
      </c>
      <c r="K12" s="1688">
        <f t="shared" si="0"/>
        <v>9896</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1614</v>
      </c>
      <c r="D14" s="466">
        <v>408</v>
      </c>
      <c r="E14" s="466">
        <v>481</v>
      </c>
      <c r="F14" s="466">
        <v>196</v>
      </c>
      <c r="G14" s="466">
        <v>189</v>
      </c>
      <c r="H14" s="466"/>
      <c r="I14" s="466">
        <v>81</v>
      </c>
      <c r="J14" s="467">
        <v>972</v>
      </c>
      <c r="K14" s="466">
        <v>81</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14279</v>
      </c>
      <c r="E16" s="466"/>
      <c r="F16" s="466"/>
      <c r="G16" s="466">
        <v>1239</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1614</v>
      </c>
      <c r="D18" s="1710">
        <f t="shared" ref="D18:K18" si="1">SUM(D14:D17)</f>
        <v>14687</v>
      </c>
      <c r="E18" s="1710">
        <f t="shared" si="1"/>
        <v>481</v>
      </c>
      <c r="F18" s="1710">
        <f t="shared" si="1"/>
        <v>196</v>
      </c>
      <c r="G18" s="1710">
        <f t="shared" si="1"/>
        <v>1428</v>
      </c>
      <c r="H18" s="1710">
        <f t="shared" si="1"/>
        <v>0</v>
      </c>
      <c r="I18" s="1710">
        <f t="shared" si="1"/>
        <v>81</v>
      </c>
      <c r="J18" s="1710">
        <f t="shared" si="1"/>
        <v>972</v>
      </c>
      <c r="K18" s="1711">
        <f t="shared" si="1"/>
        <v>81</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75</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75</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1671</v>
      </c>
      <c r="D65" s="466">
        <v>127</v>
      </c>
      <c r="E65" s="466">
        <v>175</v>
      </c>
      <c r="F65" s="467">
        <v>63</v>
      </c>
      <c r="G65" s="466">
        <v>194</v>
      </c>
      <c r="H65" s="466">
        <v>13</v>
      </c>
      <c r="I65" s="466">
        <v>9</v>
      </c>
      <c r="J65" s="467">
        <v>128</v>
      </c>
      <c r="K65" s="466">
        <v>779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1671</v>
      </c>
      <c r="D67" s="1688">
        <f t="shared" ref="D67:K67" si="2">SUM(D65:D66)</f>
        <v>127</v>
      </c>
      <c r="E67" s="1688">
        <f t="shared" si="2"/>
        <v>175</v>
      </c>
      <c r="F67" s="1688">
        <f t="shared" si="2"/>
        <v>63</v>
      </c>
      <c r="G67" s="1688">
        <f t="shared" si="2"/>
        <v>194</v>
      </c>
      <c r="H67" s="1688">
        <f t="shared" si="2"/>
        <v>13</v>
      </c>
      <c r="I67" s="1688">
        <f t="shared" si="2"/>
        <v>9</v>
      </c>
      <c r="J67" s="1688">
        <f t="shared" si="2"/>
        <v>128</v>
      </c>
      <c r="K67" s="1688">
        <f t="shared" si="2"/>
        <v>779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36045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2887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38932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10465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7316</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17781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3220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32</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3252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113</v>
      </c>
      <c r="E95" s="521"/>
      <c r="F95" s="521"/>
      <c r="G95" s="521"/>
      <c r="H95" s="521"/>
      <c r="I95" s="521"/>
      <c r="J95" s="521"/>
      <c r="K95" s="521"/>
    </row>
    <row r="96" spans="1:11" ht="12.75" customHeight="1" x14ac:dyDescent="0.2">
      <c r="A96" s="463" t="s">
        <v>391</v>
      </c>
      <c r="B96" s="470">
        <v>1920</v>
      </c>
      <c r="C96" s="551">
        <v>1031</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14928</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v>476</v>
      </c>
      <c r="E107" s="466"/>
      <c r="F107" s="466">
        <v>105</v>
      </c>
      <c r="G107" s="466"/>
      <c r="H107" s="466"/>
      <c r="I107" s="466"/>
      <c r="J107" s="467"/>
      <c r="K107" s="466"/>
    </row>
    <row r="108" spans="1:12" ht="12.75" customHeight="1" thickBot="1" x14ac:dyDescent="0.25">
      <c r="A108" s="1708" t="s">
        <v>487</v>
      </c>
      <c r="B108" s="1712"/>
      <c r="C108" s="1707">
        <f>SUM(C95:C107)</f>
        <v>1031</v>
      </c>
      <c r="D108" s="1707">
        <f t="shared" ref="D108:K108" si="3">SUM(D95:D107)</f>
        <v>589</v>
      </c>
      <c r="E108" s="1707">
        <f t="shared" si="3"/>
        <v>0</v>
      </c>
      <c r="F108" s="1707">
        <f t="shared" si="3"/>
        <v>105</v>
      </c>
      <c r="G108" s="1707">
        <f t="shared" si="3"/>
        <v>0</v>
      </c>
      <c r="H108" s="1707">
        <f t="shared" si="3"/>
        <v>14928</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257588</v>
      </c>
      <c r="D109" s="1715">
        <f t="shared" si="4"/>
        <v>64881</v>
      </c>
      <c r="E109" s="1715">
        <f t="shared" si="4"/>
        <v>59963</v>
      </c>
      <c r="F109" s="1715">
        <f t="shared" si="4"/>
        <v>24188</v>
      </c>
      <c r="G109" s="1715">
        <f t="shared" si="4"/>
        <v>24907</v>
      </c>
      <c r="H109" s="1715">
        <f t="shared" si="4"/>
        <v>14941</v>
      </c>
      <c r="I109" s="1715">
        <f t="shared" si="4"/>
        <v>9986</v>
      </c>
      <c r="J109" s="1715">
        <f t="shared" si="4"/>
        <v>120560</v>
      </c>
      <c r="K109" s="1702">
        <f t="shared" si="4"/>
        <v>10756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839272</v>
      </c>
      <c r="D117" s="481">
        <v>30000</v>
      </c>
      <c r="E117" s="466"/>
      <c r="F117" s="481">
        <v>30000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839272</v>
      </c>
      <c r="D122" s="1707">
        <f t="shared" si="5"/>
        <v>30000</v>
      </c>
      <c r="E122" s="1707">
        <f t="shared" si="5"/>
        <v>0</v>
      </c>
      <c r="F122" s="1707">
        <f t="shared" si="5"/>
        <v>30000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v>177</v>
      </c>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177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701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49053</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49053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5" t="s">
        <v>398</v>
      </c>
      <c r="B169" s="2146"/>
      <c r="C169" s="1722">
        <f t="shared" ref="C169:K169" si="6">SUM(C132,C141,C145,C146:C150,C155,C156:C167,C168)</f>
        <v>878</v>
      </c>
      <c r="D169" s="1722">
        <f t="shared" si="6"/>
        <v>0</v>
      </c>
      <c r="E169" s="1722">
        <f t="shared" si="6"/>
        <v>0</v>
      </c>
      <c r="F169" s="1722">
        <f t="shared" si="6"/>
        <v>49053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840150</v>
      </c>
      <c r="D170" s="1715">
        <f t="shared" si="7"/>
        <v>30000</v>
      </c>
      <c r="E170" s="1715">
        <f t="shared" si="7"/>
        <v>0</v>
      </c>
      <c r="F170" s="1715">
        <f t="shared" si="7"/>
        <v>79053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33025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14017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47042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35424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35424</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6958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2509</v>
      </c>
      <c r="D263" s="576"/>
      <c r="E263" s="468"/>
      <c r="F263" s="576"/>
      <c r="G263" s="576"/>
      <c r="H263" s="468"/>
      <c r="I263" s="468"/>
      <c r="J263" s="468"/>
      <c r="K263" s="468"/>
    </row>
    <row r="264" spans="1:11" ht="12.75" customHeight="1" thickTop="1" thickBot="1" x14ac:dyDescent="0.25">
      <c r="A264" s="463" t="s">
        <v>377</v>
      </c>
      <c r="B264" s="470">
        <v>4992</v>
      </c>
      <c r="C264" s="575">
        <v>4496</v>
      </c>
      <c r="D264" s="576"/>
      <c r="E264" s="468"/>
      <c r="F264" s="576"/>
      <c r="G264" s="576"/>
      <c r="H264" s="468"/>
      <c r="I264" s="468"/>
      <c r="J264" s="468"/>
      <c r="K264" s="468"/>
    </row>
    <row r="265" spans="1:11" s="593" customFormat="1" ht="12.75" customHeight="1" thickTop="1" thickBot="1" x14ac:dyDescent="0.25">
      <c r="A265" s="563" t="s">
        <v>75</v>
      </c>
      <c r="B265" s="557">
        <v>4999</v>
      </c>
      <c r="C265" s="575">
        <v>28196</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124625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124625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1222363</v>
      </c>
      <c r="D268" s="1715">
        <f t="shared" si="12"/>
        <v>94881</v>
      </c>
      <c r="E268" s="1715">
        <f t="shared" si="12"/>
        <v>59963</v>
      </c>
      <c r="F268" s="1715">
        <f t="shared" si="12"/>
        <v>103241</v>
      </c>
      <c r="G268" s="1715">
        <f t="shared" si="12"/>
        <v>24907</v>
      </c>
      <c r="H268" s="1715">
        <f t="shared" si="12"/>
        <v>14941</v>
      </c>
      <c r="I268" s="1715">
        <f t="shared" si="12"/>
        <v>9986</v>
      </c>
      <c r="J268" s="1715">
        <f t="shared" si="12"/>
        <v>120560</v>
      </c>
      <c r="K268" s="1702">
        <f t="shared" si="12"/>
        <v>10756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65" firstPageNumber="9" orientation="landscape" useFirstPageNumber="1" r:id="rId1"/>
  <headerFooter alignWithMargins="0">
    <oddHeader>&amp;L&amp;8Page &amp;P&amp;C&amp;"Arial,Bold"&amp;9STATEMENT OF REVENUES RECEIVED/REVENUES
FOR THE YEAR ENDING JUNE 30, 2019&amp;R&amp;8Page &amp;P</oddHeader>
    <oddFooter>&amp;L&amp;8The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21" activePane="bottomLeft" state="frozen"/>
      <selection pane="bottomLeft" activeCell="L328" sqref="L32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535956</v>
      </c>
      <c r="D5" s="466">
        <v>75171</v>
      </c>
      <c r="E5" s="466">
        <v>23855</v>
      </c>
      <c r="F5" s="466">
        <v>39851</v>
      </c>
      <c r="G5" s="466"/>
      <c r="H5" s="466"/>
      <c r="I5" s="467"/>
      <c r="J5" s="467"/>
      <c r="K5" s="1671">
        <f>SUM(C5:J5)</f>
        <v>674833</v>
      </c>
      <c r="L5" s="466">
        <v>697000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35184</v>
      </c>
      <c r="D8" s="466">
        <v>5021</v>
      </c>
      <c r="E8" s="466"/>
      <c r="F8" s="466"/>
      <c r="G8" s="466"/>
      <c r="H8" s="466"/>
      <c r="I8" s="467"/>
      <c r="J8" s="467"/>
      <c r="K8" s="1671">
        <f t="shared" si="0"/>
        <v>40205</v>
      </c>
      <c r="L8" s="466">
        <v>45500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27044</v>
      </c>
      <c r="D10" s="466">
        <v>682</v>
      </c>
      <c r="E10" s="466"/>
      <c r="F10" s="466">
        <v>8346</v>
      </c>
      <c r="G10" s="466"/>
      <c r="H10" s="466"/>
      <c r="I10" s="467"/>
      <c r="J10" s="467"/>
      <c r="K10" s="1671">
        <f t="shared" si="0"/>
        <v>36072</v>
      </c>
      <c r="L10" s="466">
        <v>35229</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16279</v>
      </c>
      <c r="D14" s="466">
        <v>1066</v>
      </c>
      <c r="E14" s="466">
        <v>6465</v>
      </c>
      <c r="F14" s="466">
        <v>2279</v>
      </c>
      <c r="G14" s="466"/>
      <c r="H14" s="466">
        <v>490</v>
      </c>
      <c r="I14" s="467"/>
      <c r="J14" s="467"/>
      <c r="K14" s="1671">
        <f t="shared" si="0"/>
        <v>26579</v>
      </c>
      <c r="L14" s="466">
        <v>28500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614463</v>
      </c>
      <c r="D33" s="1670">
        <f t="shared" ref="D33:L33" si="1">SUM(D5:D32)</f>
        <v>81940</v>
      </c>
      <c r="E33" s="1670">
        <f t="shared" si="1"/>
        <v>30320</v>
      </c>
      <c r="F33" s="1670">
        <f t="shared" si="1"/>
        <v>50476</v>
      </c>
      <c r="G33" s="1670">
        <f t="shared" si="1"/>
        <v>0</v>
      </c>
      <c r="H33" s="1670">
        <f t="shared" si="1"/>
        <v>490</v>
      </c>
      <c r="I33" s="1670">
        <f t="shared" si="1"/>
        <v>0</v>
      </c>
      <c r="J33" s="1670">
        <f t="shared" si="1"/>
        <v>0</v>
      </c>
      <c r="K33" s="1670">
        <f t="shared" si="1"/>
        <v>777689</v>
      </c>
      <c r="L33" s="1670">
        <f t="shared" si="1"/>
        <v>806229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v>549</v>
      </c>
      <c r="F38" s="466">
        <v>92</v>
      </c>
      <c r="G38" s="466"/>
      <c r="H38" s="466"/>
      <c r="I38" s="467"/>
      <c r="J38" s="467"/>
      <c r="K38" s="1671">
        <f t="shared" si="2"/>
        <v>641</v>
      </c>
      <c r="L38" s="466">
        <v>1500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41416</v>
      </c>
      <c r="D40" s="466">
        <v>6538</v>
      </c>
      <c r="E40" s="466">
        <v>484</v>
      </c>
      <c r="F40" s="466"/>
      <c r="G40" s="466"/>
      <c r="H40" s="466"/>
      <c r="I40" s="467"/>
      <c r="J40" s="467"/>
      <c r="K40" s="1671">
        <f t="shared" si="2"/>
        <v>48438</v>
      </c>
      <c r="L40" s="466">
        <v>54728</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41416</v>
      </c>
      <c r="D42" s="1670">
        <f t="shared" ref="D42:L42" si="3">SUM(D36:D41)</f>
        <v>6538</v>
      </c>
      <c r="E42" s="1670">
        <f t="shared" si="3"/>
        <v>1033</v>
      </c>
      <c r="F42" s="1670">
        <f t="shared" si="3"/>
        <v>92</v>
      </c>
      <c r="G42" s="1670">
        <f t="shared" si="3"/>
        <v>0</v>
      </c>
      <c r="H42" s="1670">
        <f t="shared" si="3"/>
        <v>0</v>
      </c>
      <c r="I42" s="1670">
        <f t="shared" si="3"/>
        <v>0</v>
      </c>
      <c r="J42" s="1670">
        <f t="shared" si="3"/>
        <v>0</v>
      </c>
      <c r="K42" s="1670">
        <f t="shared" si="3"/>
        <v>49079</v>
      </c>
      <c r="L42" s="1670">
        <f t="shared" si="3"/>
        <v>56228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6580</v>
      </c>
      <c r="D44" s="481">
        <v>1886</v>
      </c>
      <c r="E44" s="481">
        <v>4978</v>
      </c>
      <c r="F44" s="481">
        <v>18323</v>
      </c>
      <c r="G44" s="481">
        <v>6274</v>
      </c>
      <c r="H44" s="481"/>
      <c r="I44" s="467"/>
      <c r="J44" s="467"/>
      <c r="K44" s="1672">
        <f>SUM(C44:J44)</f>
        <v>38041</v>
      </c>
      <c r="L44" s="481">
        <v>14064</v>
      </c>
    </row>
    <row r="45" spans="1:14" x14ac:dyDescent="0.2">
      <c r="A45" s="1504" t="s">
        <v>815</v>
      </c>
      <c r="B45" s="614">
        <v>2220</v>
      </c>
      <c r="C45" s="466"/>
      <c r="D45" s="466"/>
      <c r="E45" s="466"/>
      <c r="F45" s="466"/>
      <c r="G45" s="466"/>
      <c r="H45" s="466"/>
      <c r="I45" s="467"/>
      <c r="J45" s="467"/>
      <c r="K45" s="1672">
        <f>SUM(C45:J45)</f>
        <v>0</v>
      </c>
      <c r="L45" s="466">
        <v>29890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6580</v>
      </c>
      <c r="D47" s="1670">
        <f t="shared" ref="D47:K47" si="4">SUM(D44:D46)</f>
        <v>1886</v>
      </c>
      <c r="E47" s="1670">
        <f t="shared" si="4"/>
        <v>4978</v>
      </c>
      <c r="F47" s="1670">
        <f t="shared" si="4"/>
        <v>18323</v>
      </c>
      <c r="G47" s="1670">
        <f t="shared" si="4"/>
        <v>6274</v>
      </c>
      <c r="H47" s="1670">
        <f t="shared" si="4"/>
        <v>0</v>
      </c>
      <c r="I47" s="1670">
        <f t="shared" si="4"/>
        <v>0</v>
      </c>
      <c r="J47" s="1670">
        <f t="shared" si="4"/>
        <v>0</v>
      </c>
      <c r="K47" s="1670">
        <f t="shared" si="4"/>
        <v>38041</v>
      </c>
      <c r="L47" s="1670">
        <f>SUM(L44:L46)</f>
        <v>43954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2000</v>
      </c>
      <c r="D49" s="481"/>
      <c r="E49" s="481">
        <v>11263</v>
      </c>
      <c r="F49" s="481">
        <v>854</v>
      </c>
      <c r="G49" s="481"/>
      <c r="H49" s="481">
        <v>1875</v>
      </c>
      <c r="I49" s="467"/>
      <c r="J49" s="467"/>
      <c r="K49" s="1672">
        <f>SUM(C49:J49)</f>
        <v>15992</v>
      </c>
      <c r="L49" s="481">
        <v>16000</v>
      </c>
    </row>
    <row r="50" spans="1:14" x14ac:dyDescent="0.2">
      <c r="A50" s="1504" t="s">
        <v>818</v>
      </c>
      <c r="B50" s="614">
        <v>2320</v>
      </c>
      <c r="C50" s="466">
        <v>40765</v>
      </c>
      <c r="D50" s="466">
        <v>7839</v>
      </c>
      <c r="E50" s="466">
        <v>3033</v>
      </c>
      <c r="F50" s="466"/>
      <c r="G50" s="466"/>
      <c r="H50" s="466"/>
      <c r="I50" s="467"/>
      <c r="J50" s="467"/>
      <c r="K50" s="1672">
        <f>SUM(C50:J50)</f>
        <v>51637</v>
      </c>
      <c r="L50" s="466">
        <v>57750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42765</v>
      </c>
      <c r="D53" s="1670">
        <f t="shared" ref="D53:L53" si="5">SUM(D49:D52)</f>
        <v>7839</v>
      </c>
      <c r="E53" s="1670">
        <f t="shared" si="5"/>
        <v>14296</v>
      </c>
      <c r="F53" s="1670">
        <f t="shared" si="5"/>
        <v>854</v>
      </c>
      <c r="G53" s="1670">
        <f t="shared" si="5"/>
        <v>0</v>
      </c>
      <c r="H53" s="1670">
        <f t="shared" si="5"/>
        <v>1875</v>
      </c>
      <c r="I53" s="1670">
        <f t="shared" si="5"/>
        <v>0</v>
      </c>
      <c r="J53" s="1670">
        <f t="shared" si="5"/>
        <v>0</v>
      </c>
      <c r="K53" s="1670">
        <f t="shared" si="5"/>
        <v>67629</v>
      </c>
      <c r="L53" s="1670">
        <f t="shared" si="5"/>
        <v>73750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45816</v>
      </c>
      <c r="D55" s="481">
        <v>7774</v>
      </c>
      <c r="E55" s="481"/>
      <c r="F55" s="481"/>
      <c r="G55" s="481"/>
      <c r="H55" s="481"/>
      <c r="I55" s="467"/>
      <c r="J55" s="467"/>
      <c r="K55" s="1672">
        <f>SUM(C55:J55)</f>
        <v>53590</v>
      </c>
      <c r="L55" s="481">
        <v>62000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45816</v>
      </c>
      <c r="D57" s="1674">
        <f t="shared" ref="D57:K57" si="6">SUM(D55:D56)</f>
        <v>7774</v>
      </c>
      <c r="E57" s="1674">
        <f t="shared" si="6"/>
        <v>0</v>
      </c>
      <c r="F57" s="1674">
        <f t="shared" si="6"/>
        <v>0</v>
      </c>
      <c r="G57" s="1674">
        <f t="shared" si="6"/>
        <v>0</v>
      </c>
      <c r="H57" s="1674">
        <f t="shared" si="6"/>
        <v>0</v>
      </c>
      <c r="I57" s="1674">
        <f t="shared" si="6"/>
        <v>0</v>
      </c>
      <c r="J57" s="1674">
        <f t="shared" si="6"/>
        <v>0</v>
      </c>
      <c r="K57" s="1674">
        <f t="shared" si="6"/>
        <v>53590</v>
      </c>
      <c r="L57" s="1670">
        <f>SUM(L55:L56)</f>
        <v>62000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43828</v>
      </c>
      <c r="D60" s="466">
        <v>871</v>
      </c>
      <c r="E60" s="466">
        <v>5819</v>
      </c>
      <c r="F60" s="466">
        <v>305</v>
      </c>
      <c r="G60" s="466"/>
      <c r="H60" s="466"/>
      <c r="I60" s="467"/>
      <c r="J60" s="467"/>
      <c r="K60" s="1672">
        <f t="shared" si="7"/>
        <v>50823</v>
      </c>
      <c r="L60" s="466">
        <v>57100</v>
      </c>
      <c r="M60" s="609"/>
      <c r="N60" s="609"/>
    </row>
    <row r="61" spans="1:14" s="343" customFormat="1" x14ac:dyDescent="0.2">
      <c r="A61" s="1504" t="s">
        <v>197</v>
      </c>
      <c r="B61" s="614">
        <v>2540</v>
      </c>
      <c r="C61" s="466">
        <v>36314</v>
      </c>
      <c r="D61" s="466">
        <v>2295</v>
      </c>
      <c r="E61" s="466"/>
      <c r="F61" s="466"/>
      <c r="G61" s="466"/>
      <c r="H61" s="466"/>
      <c r="I61" s="467"/>
      <c r="J61" s="467"/>
      <c r="K61" s="1672">
        <f t="shared" si="7"/>
        <v>38609</v>
      </c>
      <c r="L61" s="466">
        <v>43415</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30691</v>
      </c>
      <c r="D63" s="466">
        <v>895</v>
      </c>
      <c r="E63" s="466">
        <v>1768</v>
      </c>
      <c r="F63" s="466">
        <v>49217</v>
      </c>
      <c r="G63" s="466"/>
      <c r="H63" s="466"/>
      <c r="I63" s="467"/>
      <c r="J63" s="467"/>
      <c r="K63" s="1672">
        <f t="shared" si="7"/>
        <v>82571</v>
      </c>
      <c r="L63" s="466">
        <v>87000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110833</v>
      </c>
      <c r="D65" s="1670">
        <f t="shared" ref="D65:L65" si="8">SUM(D59:D64)</f>
        <v>4061</v>
      </c>
      <c r="E65" s="1670">
        <f t="shared" si="8"/>
        <v>7587</v>
      </c>
      <c r="F65" s="1670">
        <f t="shared" si="8"/>
        <v>49522</v>
      </c>
      <c r="G65" s="1670">
        <f t="shared" si="8"/>
        <v>0</v>
      </c>
      <c r="H65" s="1670">
        <f t="shared" si="8"/>
        <v>0</v>
      </c>
      <c r="I65" s="1670">
        <f t="shared" si="8"/>
        <v>0</v>
      </c>
      <c r="J65" s="1670">
        <f t="shared" si="8"/>
        <v>0</v>
      </c>
      <c r="K65" s="1670">
        <f t="shared" si="8"/>
        <v>172003</v>
      </c>
      <c r="L65" s="1670">
        <f t="shared" si="8"/>
        <v>187515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247410</v>
      </c>
      <c r="D74" s="1677">
        <f t="shared" ref="D74:K74" si="10">SUM(D42,D47,D53,D57,D65,D72,D73)</f>
        <v>28098</v>
      </c>
      <c r="E74" s="1677">
        <f t="shared" si="10"/>
        <v>27894</v>
      </c>
      <c r="F74" s="1677">
        <f t="shared" si="10"/>
        <v>68791</v>
      </c>
      <c r="G74" s="1677">
        <f t="shared" si="10"/>
        <v>6274</v>
      </c>
      <c r="H74" s="1677">
        <f t="shared" si="10"/>
        <v>1875</v>
      </c>
      <c r="I74" s="1677">
        <f t="shared" si="10"/>
        <v>0</v>
      </c>
      <c r="J74" s="1677">
        <f t="shared" si="10"/>
        <v>0</v>
      </c>
      <c r="K74" s="1677">
        <f t="shared" si="10"/>
        <v>380342</v>
      </c>
      <c r="L74" s="1677">
        <f>SUM(L42,L47,L53,L57,L65,L72,L73)</f>
        <v>423447</v>
      </c>
    </row>
    <row r="75" spans="1:14" s="259" customFormat="1" ht="15.75" customHeight="1" thickTop="1" thickBot="1" x14ac:dyDescent="0.25">
      <c r="A75" s="1610" t="s">
        <v>47</v>
      </c>
      <c r="B75" s="1611" t="s">
        <v>575</v>
      </c>
      <c r="C75" s="573"/>
      <c r="D75" s="573"/>
      <c r="E75" s="573">
        <v>312</v>
      </c>
      <c r="F75" s="573"/>
      <c r="G75" s="573"/>
      <c r="H75" s="573"/>
      <c r="I75" s="531"/>
      <c r="J75" s="531"/>
      <c r="K75" s="1670">
        <f>SUM(C75:J75)</f>
        <v>312</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6000</v>
      </c>
      <c r="F79" s="616"/>
      <c r="G79" s="616"/>
      <c r="H79" s="466">
        <v>2697</v>
      </c>
      <c r="I79" s="477"/>
      <c r="J79" s="477"/>
      <c r="K79" s="1671">
        <f t="shared" si="11"/>
        <v>8697</v>
      </c>
      <c r="L79" s="466">
        <v>12000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6000</v>
      </c>
      <c r="F84" s="616"/>
      <c r="G84" s="616"/>
      <c r="H84" s="1670">
        <f>SUM(H78:H83)</f>
        <v>2697</v>
      </c>
      <c r="I84" s="477"/>
      <c r="J84" s="477"/>
      <c r="K84" s="1670">
        <f>SUM(K78:K83)</f>
        <v>8697</v>
      </c>
      <c r="L84" s="1670">
        <f>SUM(L78:L83)</f>
        <v>12000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6000</v>
      </c>
      <c r="F102" s="616"/>
      <c r="G102" s="616"/>
      <c r="H102" s="1677">
        <f>SUM(H84,H92,H100,H101)</f>
        <v>2697</v>
      </c>
      <c r="I102" s="477"/>
      <c r="J102" s="477"/>
      <c r="K102" s="1677">
        <f>SUM(K84,K92,K100,K101)</f>
        <v>8697</v>
      </c>
      <c r="L102" s="1677">
        <f>SUM(L84,L92,L100,L101)</f>
        <v>12000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861873</v>
      </c>
      <c r="D114" s="1670">
        <f t="shared" ref="D114:K114" si="13">SUM(D33,D74,D75,D102,D112,D113)</f>
        <v>110038</v>
      </c>
      <c r="E114" s="1670">
        <f t="shared" si="13"/>
        <v>64526</v>
      </c>
      <c r="F114" s="1670">
        <f t="shared" si="13"/>
        <v>119267</v>
      </c>
      <c r="G114" s="1670">
        <f t="shared" si="13"/>
        <v>6274</v>
      </c>
      <c r="H114" s="1670">
        <f>SUM(H33,H74,H75,H102,H112,H113)</f>
        <v>5062</v>
      </c>
      <c r="I114" s="1670">
        <f t="shared" si="13"/>
        <v>0</v>
      </c>
      <c r="J114" s="1670">
        <f t="shared" si="13"/>
        <v>0</v>
      </c>
      <c r="K114" s="1670">
        <f t="shared" si="13"/>
        <v>1167040</v>
      </c>
      <c r="L114" s="1670">
        <f>SUM(L33,L74,L75,L102,L112,L113)</f>
        <v>1241676</v>
      </c>
    </row>
    <row r="115" spans="1:14" ht="13.5" thickTop="1" x14ac:dyDescent="0.2">
      <c r="A115" s="2157" t="s">
        <v>996</v>
      </c>
      <c r="B115" s="2158"/>
      <c r="C115" s="618"/>
      <c r="D115" s="618"/>
      <c r="E115" s="618"/>
      <c r="F115" s="618"/>
      <c r="G115" s="618"/>
      <c r="H115" s="618"/>
      <c r="I115" s="618"/>
      <c r="J115" s="618"/>
      <c r="K115" s="1684">
        <f>'Revenues 9-14'!C268-'Expenditures 15-22'!K114</f>
        <v>55323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v>17514</v>
      </c>
      <c r="F124" s="466">
        <v>45277</v>
      </c>
      <c r="G124" s="466"/>
      <c r="H124" s="466"/>
      <c r="I124" s="467"/>
      <c r="J124" s="467"/>
      <c r="K124" s="1670">
        <f>SUM(C124:J124)</f>
        <v>62791</v>
      </c>
      <c r="L124" s="466">
        <v>72000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17514</v>
      </c>
      <c r="F127" s="1670">
        <f t="shared" si="14"/>
        <v>45277</v>
      </c>
      <c r="G127" s="1670">
        <f t="shared" si="14"/>
        <v>0</v>
      </c>
      <c r="H127" s="1670">
        <f t="shared" si="14"/>
        <v>0</v>
      </c>
      <c r="I127" s="1670">
        <f t="shared" si="14"/>
        <v>0</v>
      </c>
      <c r="J127" s="1670">
        <f t="shared" si="14"/>
        <v>0</v>
      </c>
      <c r="K127" s="1670">
        <f t="shared" si="14"/>
        <v>62791</v>
      </c>
      <c r="L127" s="1670">
        <f t="shared" si="14"/>
        <v>72000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17514</v>
      </c>
      <c r="F129" s="1677">
        <f t="shared" si="15"/>
        <v>45277</v>
      </c>
      <c r="G129" s="1677">
        <f t="shared" si="15"/>
        <v>0</v>
      </c>
      <c r="H129" s="1677">
        <f t="shared" si="15"/>
        <v>0</v>
      </c>
      <c r="I129" s="1677">
        <f t="shared" si="15"/>
        <v>0</v>
      </c>
      <c r="J129" s="1677">
        <f t="shared" si="15"/>
        <v>0</v>
      </c>
      <c r="K129" s="1677">
        <f t="shared" si="15"/>
        <v>62791</v>
      </c>
      <c r="L129" s="1677">
        <f t="shared" si="15"/>
        <v>72000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4"/>
      <c r="C151" s="1670">
        <f>SUM(C129,C130,C139,C149,C150)</f>
        <v>0</v>
      </c>
      <c r="D151" s="1670">
        <f t="shared" ref="D151:K151" si="16">SUM(D129,D130,D139,D149,D150)</f>
        <v>0</v>
      </c>
      <c r="E151" s="1670">
        <f t="shared" si="16"/>
        <v>17514</v>
      </c>
      <c r="F151" s="1670">
        <f t="shared" si="16"/>
        <v>45277</v>
      </c>
      <c r="G151" s="1670">
        <f t="shared" si="16"/>
        <v>0</v>
      </c>
      <c r="H151" s="1670">
        <f t="shared" si="16"/>
        <v>0</v>
      </c>
      <c r="I151" s="1670">
        <f t="shared" si="16"/>
        <v>0</v>
      </c>
      <c r="J151" s="1670">
        <f t="shared" si="16"/>
        <v>0</v>
      </c>
      <c r="K151" s="1670">
        <f t="shared" si="16"/>
        <v>62791</v>
      </c>
      <c r="L151" s="1670">
        <f>SUM(L129,L130,L139,L149,L150)</f>
        <v>72000</v>
      </c>
    </row>
    <row r="152" spans="1:14" ht="12.75" customHeight="1" thickTop="1" x14ac:dyDescent="0.2">
      <c r="A152" s="2177" t="s">
        <v>1178</v>
      </c>
      <c r="B152" s="2178"/>
      <c r="C152" s="618"/>
      <c r="D152" s="618"/>
      <c r="E152" s="618"/>
      <c r="F152" s="618"/>
      <c r="G152" s="618"/>
      <c r="H152" s="618"/>
      <c r="I152" s="618"/>
      <c r="J152" s="616"/>
      <c r="K152" s="1684">
        <f>'Revenues 9-14'!D268-'Expenditures 15-22'!K151</f>
        <v>32090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2442</v>
      </c>
      <c r="I169" s="616"/>
      <c r="J169" s="616"/>
      <c r="K169" s="1671">
        <f>SUM(C169:H169)</f>
        <v>2442</v>
      </c>
      <c r="L169" s="656">
        <v>2442</v>
      </c>
    </row>
    <row r="170" spans="1:14" ht="33.75" customHeight="1" x14ac:dyDescent="0.2">
      <c r="A170" s="669" t="s">
        <v>1670</v>
      </c>
      <c r="B170" s="671" t="s">
        <v>31</v>
      </c>
      <c r="C170" s="616"/>
      <c r="D170" s="616"/>
      <c r="E170" s="616"/>
      <c r="F170" s="616"/>
      <c r="G170" s="616"/>
      <c r="H170" s="569">
        <v>56000</v>
      </c>
      <c r="I170" s="616"/>
      <c r="J170" s="616"/>
      <c r="K170" s="1671">
        <f>SUM(C170:J170)</f>
        <v>56000</v>
      </c>
      <c r="L170" s="569">
        <v>56000</v>
      </c>
    </row>
    <row r="171" spans="1:14" ht="15.75" customHeight="1" x14ac:dyDescent="0.2">
      <c r="A171" s="621" t="s">
        <v>766</v>
      </c>
      <c r="B171" s="672" t="s">
        <v>84</v>
      </c>
      <c r="C171" s="616"/>
      <c r="D171" s="616"/>
      <c r="E171" s="466">
        <v>9292</v>
      </c>
      <c r="F171" s="616"/>
      <c r="G171" s="616"/>
      <c r="H171" s="569"/>
      <c r="I171" s="477"/>
      <c r="J171" s="616"/>
      <c r="K171" s="1671">
        <f>SUM(C171:J171)</f>
        <v>9292</v>
      </c>
      <c r="L171" s="569">
        <v>9593</v>
      </c>
    </row>
    <row r="172" spans="1:14" ht="12.75" customHeight="1" thickBot="1" x14ac:dyDescent="0.25">
      <c r="A172" s="1668" t="s">
        <v>638</v>
      </c>
      <c r="B172" s="1669" t="s">
        <v>492</v>
      </c>
      <c r="C172" s="616"/>
      <c r="D172" s="616"/>
      <c r="E172" s="1677">
        <f>SUM(E168,E169,E170,E171)</f>
        <v>9292</v>
      </c>
      <c r="F172" s="616"/>
      <c r="G172" s="616"/>
      <c r="H172" s="1677">
        <f>SUM(H168,H169,H170,H171)</f>
        <v>58442</v>
      </c>
      <c r="I172" s="638"/>
      <c r="J172" s="616"/>
      <c r="K172" s="1677">
        <f>SUM(K168,K169,K170,K171)</f>
        <v>67734</v>
      </c>
      <c r="L172" s="1677">
        <f>SUM(L168,L169,L170,L171)</f>
        <v>68035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9292</v>
      </c>
      <c r="F174" s="616"/>
      <c r="G174" s="616"/>
      <c r="H174" s="1677">
        <f>SUM(H160,H172,H173)</f>
        <v>58442</v>
      </c>
      <c r="I174" s="638"/>
      <c r="J174" s="616"/>
      <c r="K174" s="1677">
        <f>SUM(K160,K172,K173)</f>
        <v>67734</v>
      </c>
      <c r="L174" s="1677">
        <f>SUM(L160,L172,L173)</f>
        <v>68035</v>
      </c>
    </row>
    <row r="175" spans="1:14" ht="13.5" thickTop="1" x14ac:dyDescent="0.2">
      <c r="A175" s="2157" t="s">
        <v>996</v>
      </c>
      <c r="B175" s="2158"/>
      <c r="C175" s="616"/>
      <c r="D175" s="616"/>
      <c r="E175" s="616"/>
      <c r="F175" s="616"/>
      <c r="G175" s="616"/>
      <c r="H175" s="618"/>
      <c r="I175" s="616"/>
      <c r="J175" s="616"/>
      <c r="K175" s="1684">
        <f>'Revenues 9-14'!E268-'Expenditures 15-22'!K174</f>
        <v>-7771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4401</v>
      </c>
      <c r="D180" s="466">
        <v>812</v>
      </c>
      <c r="E180" s="466"/>
      <c r="F180" s="466"/>
      <c r="G180" s="466"/>
      <c r="H180" s="466"/>
      <c r="I180" s="467"/>
      <c r="J180" s="467"/>
      <c r="K180" s="1671">
        <f>SUM(C180:J180)</f>
        <v>5213</v>
      </c>
      <c r="L180" s="466">
        <v>6184</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26796</v>
      </c>
      <c r="D182" s="466"/>
      <c r="E182" s="466">
        <v>2790</v>
      </c>
      <c r="F182" s="466">
        <v>14524</v>
      </c>
      <c r="G182" s="466"/>
      <c r="H182" s="466"/>
      <c r="I182" s="467"/>
      <c r="J182" s="467"/>
      <c r="K182" s="1671">
        <f>SUM(C182:J182)</f>
        <v>44110</v>
      </c>
      <c r="L182" s="466">
        <v>70000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31197</v>
      </c>
      <c r="D184" s="1677">
        <f t="shared" ref="D184:J184" si="17">SUM(D180,D182,D183)</f>
        <v>812</v>
      </c>
      <c r="E184" s="1677">
        <f t="shared" si="17"/>
        <v>2790</v>
      </c>
      <c r="F184" s="1677">
        <f t="shared" si="17"/>
        <v>14524</v>
      </c>
      <c r="G184" s="1677">
        <f t="shared" si="17"/>
        <v>0</v>
      </c>
      <c r="H184" s="1677">
        <f t="shared" si="17"/>
        <v>0</v>
      </c>
      <c r="I184" s="1677">
        <f t="shared" si="17"/>
        <v>0</v>
      </c>
      <c r="J184" s="1677">
        <f t="shared" si="17"/>
        <v>0</v>
      </c>
      <c r="K184" s="1677">
        <f>SUM(K180,K182,K183)</f>
        <v>49323</v>
      </c>
      <c r="L184" s="1677">
        <f>SUM(L180, L182:L183)</f>
        <v>76184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5924</v>
      </c>
      <c r="I205" s="616"/>
      <c r="J205" s="616"/>
      <c r="K205" s="1685">
        <f>SUM(H205)</f>
        <v>5924</v>
      </c>
      <c r="L205" s="535">
        <v>5924</v>
      </c>
    </row>
    <row r="206" spans="1:14" ht="30" customHeight="1" x14ac:dyDescent="0.2">
      <c r="A206" s="681" t="s">
        <v>1671</v>
      </c>
      <c r="B206" s="672" t="s">
        <v>31</v>
      </c>
      <c r="C206" s="616"/>
      <c r="D206" s="616"/>
      <c r="E206" s="616"/>
      <c r="F206" s="616"/>
      <c r="G206" s="616"/>
      <c r="H206" s="466">
        <v>33472</v>
      </c>
      <c r="I206" s="616"/>
      <c r="J206" s="616"/>
      <c r="K206" s="1671">
        <f>SUM(H206)</f>
        <v>33472</v>
      </c>
      <c r="L206" s="466">
        <v>33473</v>
      </c>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39396</v>
      </c>
      <c r="I208" s="616"/>
      <c r="J208" s="616"/>
      <c r="K208" s="1677">
        <f>SUM(K204,K205,K206,K207)</f>
        <v>39396</v>
      </c>
      <c r="L208" s="1677">
        <f>SUM(L204,L205,L206,L207)</f>
        <v>39397</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31197</v>
      </c>
      <c r="D210" s="1670">
        <f>SUM(D184,D185)</f>
        <v>812</v>
      </c>
      <c r="E210" s="1670">
        <f>SUM(E184,E185,E196)</f>
        <v>2790</v>
      </c>
      <c r="F210" s="1670">
        <f>SUM(F184,F185)</f>
        <v>14524</v>
      </c>
      <c r="G210" s="1670">
        <f>SUM(G184,G185)</f>
        <v>0</v>
      </c>
      <c r="H210" s="1670">
        <f>SUM(H184,H185,H196,H208,H209)</f>
        <v>39396</v>
      </c>
      <c r="I210" s="1670">
        <f>SUM(I184,I185)</f>
        <v>0</v>
      </c>
      <c r="J210" s="1670">
        <f>SUM(J184,J185)</f>
        <v>0</v>
      </c>
      <c r="K210" s="1671">
        <f>SUM(K184,K185,K196,K208,K209)</f>
        <v>88719</v>
      </c>
      <c r="L210" s="1670">
        <f>SUM(L184,L185,L196,L208,L209)</f>
        <v>115581</v>
      </c>
    </row>
    <row r="211" spans="1:14" ht="13.5" thickTop="1" x14ac:dyDescent="0.2">
      <c r="A211" s="2157" t="s">
        <v>996</v>
      </c>
      <c r="B211" s="2158"/>
      <c r="C211" s="618"/>
      <c r="D211" s="618"/>
      <c r="E211" s="618"/>
      <c r="F211" s="618"/>
      <c r="G211" s="618"/>
      <c r="H211" s="618"/>
      <c r="I211" s="616"/>
      <c r="J211" s="616"/>
      <c r="K211" s="1684">
        <f>'Revenues 9-14'!F268-'Expenditures 15-22'!K210</f>
        <v>14522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10772</v>
      </c>
      <c r="E215" s="616"/>
      <c r="F215" s="616"/>
      <c r="G215" s="616"/>
      <c r="H215" s="616"/>
      <c r="I215" s="616"/>
      <c r="J215" s="616"/>
      <c r="K215" s="1671">
        <f>D215</f>
        <v>10772</v>
      </c>
      <c r="L215" s="466">
        <v>14000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567</v>
      </c>
      <c r="E217" s="616"/>
      <c r="F217" s="616"/>
      <c r="G217" s="616"/>
      <c r="H217" s="616"/>
      <c r="I217" s="616"/>
      <c r="J217" s="616"/>
      <c r="K217" s="1671">
        <f t="shared" si="19"/>
        <v>567</v>
      </c>
      <c r="L217" s="466">
        <v>1000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4921</v>
      </c>
      <c r="E219" s="616"/>
      <c r="F219" s="616"/>
      <c r="G219" s="616"/>
      <c r="H219" s="616"/>
      <c r="I219" s="616"/>
      <c r="J219" s="616"/>
      <c r="K219" s="1671">
        <f t="shared" si="19"/>
        <v>4921</v>
      </c>
      <c r="L219" s="466">
        <v>6500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886</v>
      </c>
      <c r="E223" s="616"/>
      <c r="F223" s="616"/>
      <c r="G223" s="616"/>
      <c r="H223" s="616"/>
      <c r="I223" s="616"/>
      <c r="J223" s="616"/>
      <c r="K223" s="1671">
        <f t="shared" si="19"/>
        <v>886</v>
      </c>
      <c r="L223" s="466">
        <v>1500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17146</v>
      </c>
      <c r="E229" s="616"/>
      <c r="F229" s="616"/>
      <c r="G229" s="616"/>
      <c r="H229" s="616"/>
      <c r="I229" s="616"/>
      <c r="J229" s="616"/>
      <c r="K229" s="1670">
        <f>SUM(K215:K228)</f>
        <v>17146</v>
      </c>
      <c r="L229" s="1670">
        <f>SUM(L215:L228)</f>
        <v>23000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648</v>
      </c>
      <c r="E236" s="616"/>
      <c r="F236" s="616"/>
      <c r="G236" s="616"/>
      <c r="H236" s="616"/>
      <c r="I236" s="616"/>
      <c r="J236" s="616"/>
      <c r="K236" s="1671">
        <f t="shared" si="20"/>
        <v>648</v>
      </c>
      <c r="L236" s="466">
        <v>800</v>
      </c>
    </row>
    <row r="237" spans="1:12" x14ac:dyDescent="0.2">
      <c r="A237" s="1504" t="s">
        <v>165</v>
      </c>
      <c r="B237" s="614">
        <v>2190</v>
      </c>
      <c r="C237" s="616"/>
      <c r="D237" s="466">
        <v>74</v>
      </c>
      <c r="E237" s="616"/>
      <c r="F237" s="616"/>
      <c r="G237" s="616"/>
      <c r="H237" s="616"/>
      <c r="I237" s="616"/>
      <c r="J237" s="616"/>
      <c r="K237" s="1671">
        <f t="shared" si="20"/>
        <v>74</v>
      </c>
      <c r="L237" s="466">
        <v>200</v>
      </c>
    </row>
    <row r="238" spans="1:12" ht="12.75" customHeight="1" thickBot="1" x14ac:dyDescent="0.25">
      <c r="A238" s="1668" t="s">
        <v>560</v>
      </c>
      <c r="B238" s="1675" t="s">
        <v>716</v>
      </c>
      <c r="C238" s="616"/>
      <c r="D238" s="1670">
        <f>SUM(D232:D237)</f>
        <v>722</v>
      </c>
      <c r="E238" s="616"/>
      <c r="F238" s="616"/>
      <c r="G238" s="616"/>
      <c r="H238" s="616"/>
      <c r="I238" s="616"/>
      <c r="J238" s="616"/>
      <c r="K238" s="1670">
        <f>SUM(K232:K237)</f>
        <v>722</v>
      </c>
      <c r="L238" s="1670">
        <f>SUM(L232:L237)</f>
        <v>1000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93</v>
      </c>
      <c r="E240" s="616"/>
      <c r="F240" s="616"/>
      <c r="G240" s="616"/>
      <c r="H240" s="616"/>
      <c r="I240" s="616"/>
      <c r="J240" s="616"/>
      <c r="K240" s="1672">
        <f>D240</f>
        <v>93</v>
      </c>
      <c r="L240" s="481">
        <v>300</v>
      </c>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93</v>
      </c>
      <c r="E243" s="616"/>
      <c r="F243" s="616"/>
      <c r="G243" s="616"/>
      <c r="H243" s="616"/>
      <c r="I243" s="616"/>
      <c r="J243" s="616"/>
      <c r="K243" s="1670">
        <f>SUM(K240:K242)</f>
        <v>93</v>
      </c>
      <c r="L243" s="1670">
        <f>SUM(L240:L242)</f>
        <v>300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153</v>
      </c>
      <c r="E245" s="616"/>
      <c r="F245" s="616"/>
      <c r="G245" s="616"/>
      <c r="H245" s="616"/>
      <c r="I245" s="616"/>
      <c r="J245" s="616"/>
      <c r="K245" s="1672">
        <f>D245</f>
        <v>153</v>
      </c>
      <c r="L245" s="481">
        <v>200</v>
      </c>
    </row>
    <row r="246" spans="1:12" x14ac:dyDescent="0.2">
      <c r="A246" s="1504" t="s">
        <v>818</v>
      </c>
      <c r="B246" s="614">
        <v>2320</v>
      </c>
      <c r="C246" s="616"/>
      <c r="D246" s="466">
        <v>779</v>
      </c>
      <c r="E246" s="616"/>
      <c r="F246" s="616"/>
      <c r="G246" s="616"/>
      <c r="H246" s="616"/>
      <c r="I246" s="616"/>
      <c r="J246" s="616"/>
      <c r="K246" s="1672">
        <f t="shared" ref="K246:K256" si="21">D246</f>
        <v>779</v>
      </c>
      <c r="L246" s="466">
        <v>1200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932</v>
      </c>
      <c r="E257" s="616"/>
      <c r="F257" s="616"/>
      <c r="G257" s="616"/>
      <c r="H257" s="616"/>
      <c r="I257" s="616"/>
      <c r="J257" s="616"/>
      <c r="K257" s="1670">
        <f>SUM(K245:K256)</f>
        <v>932</v>
      </c>
      <c r="L257" s="1670">
        <f>SUM(L245:L256)</f>
        <v>1400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656</v>
      </c>
      <c r="E259" s="616"/>
      <c r="F259" s="616"/>
      <c r="G259" s="616"/>
      <c r="H259" s="616"/>
      <c r="I259" s="616"/>
      <c r="J259" s="616"/>
      <c r="K259" s="1672">
        <f>D259</f>
        <v>656</v>
      </c>
      <c r="L259" s="481">
        <v>800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656</v>
      </c>
      <c r="E261" s="616"/>
      <c r="F261" s="616"/>
      <c r="G261" s="616"/>
      <c r="H261" s="616"/>
      <c r="I261" s="616"/>
      <c r="J261" s="616"/>
      <c r="K261" s="1670">
        <f>SUM(K259:K260)</f>
        <v>656</v>
      </c>
      <c r="L261" s="1670">
        <f>SUM(L259:L260)</f>
        <v>800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8402</v>
      </c>
      <c r="E264" s="616"/>
      <c r="F264" s="616"/>
      <c r="G264" s="616"/>
      <c r="H264" s="616"/>
      <c r="I264" s="616"/>
      <c r="J264" s="616"/>
      <c r="K264" s="1672">
        <f t="shared" ref="K264:K269" si="22">D264</f>
        <v>8402</v>
      </c>
      <c r="L264" s="466">
        <v>10000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6577</v>
      </c>
      <c r="E266" s="616"/>
      <c r="F266" s="616"/>
      <c r="G266" s="616"/>
      <c r="H266" s="616"/>
      <c r="I266" s="616"/>
      <c r="J266" s="616"/>
      <c r="K266" s="1672">
        <f t="shared" si="22"/>
        <v>6577</v>
      </c>
      <c r="L266" s="466">
        <v>9500</v>
      </c>
    </row>
    <row r="267" spans="1:14" x14ac:dyDescent="0.2">
      <c r="A267" s="1504" t="s">
        <v>953</v>
      </c>
      <c r="B267" s="614">
        <v>2550</v>
      </c>
      <c r="C267" s="616"/>
      <c r="D267" s="466">
        <v>3740</v>
      </c>
      <c r="E267" s="616"/>
      <c r="F267" s="616"/>
      <c r="G267" s="616"/>
      <c r="H267" s="616"/>
      <c r="I267" s="616"/>
      <c r="J267" s="616"/>
      <c r="K267" s="1672">
        <f t="shared" si="22"/>
        <v>3740</v>
      </c>
      <c r="L267" s="466">
        <v>6000</v>
      </c>
    </row>
    <row r="268" spans="1:14" x14ac:dyDescent="0.2">
      <c r="A268" s="1504" t="s">
        <v>100</v>
      </c>
      <c r="B268" s="614">
        <v>2560</v>
      </c>
      <c r="C268" s="616"/>
      <c r="D268" s="466">
        <v>6125</v>
      </c>
      <c r="E268" s="616"/>
      <c r="F268" s="616"/>
      <c r="G268" s="616"/>
      <c r="H268" s="616"/>
      <c r="I268" s="616"/>
      <c r="J268" s="616"/>
      <c r="K268" s="1672">
        <f t="shared" si="22"/>
        <v>6125</v>
      </c>
      <c r="L268" s="466">
        <v>8500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24844</v>
      </c>
      <c r="E270" s="616"/>
      <c r="F270" s="616"/>
      <c r="G270" s="616"/>
      <c r="H270" s="616"/>
      <c r="I270" s="616"/>
      <c r="J270" s="616"/>
      <c r="K270" s="1670">
        <f>SUM(K263:K269)</f>
        <v>24844</v>
      </c>
      <c r="L270" s="1670">
        <f>SUM(L263:L269)</f>
        <v>34000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27247</v>
      </c>
      <c r="E279" s="616"/>
      <c r="F279" s="616"/>
      <c r="G279" s="616"/>
      <c r="H279" s="616"/>
      <c r="I279" s="616"/>
      <c r="J279" s="616"/>
      <c r="K279" s="1677">
        <f>SUM(K238,K243,K257,K261,K270,K277,K278)</f>
        <v>27247</v>
      </c>
      <c r="L279" s="1677">
        <f>SUM(L238,L243,L257,L261,L270,L277,L278)</f>
        <v>37500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44393</v>
      </c>
      <c r="E295" s="616"/>
      <c r="F295" s="616"/>
      <c r="G295" s="616"/>
      <c r="H295" s="1670">
        <f>H293</f>
        <v>0</v>
      </c>
      <c r="I295" s="616"/>
      <c r="J295" s="616"/>
      <c r="K295" s="1670">
        <f>SUM(K229,K279,K280,K285,K293,K294)</f>
        <v>44393</v>
      </c>
      <c r="L295" s="1670">
        <f>SUM(L229,L279,L280,L285,L293,L294)</f>
        <v>60500</v>
      </c>
    </row>
    <row r="296" spans="1:14" ht="13.5" thickTop="1" x14ac:dyDescent="0.2">
      <c r="A296" s="2157" t="s">
        <v>996</v>
      </c>
      <c r="B296" s="2158"/>
      <c r="C296" s="616"/>
      <c r="D296" s="618"/>
      <c r="E296" s="616"/>
      <c r="F296" s="616"/>
      <c r="G296" s="616"/>
      <c r="H296" s="687"/>
      <c r="I296" s="616"/>
      <c r="J296" s="616"/>
      <c r="K296" s="1684">
        <f>'Revenues 9-14'!G268-'Expenditures 15-22'!K295</f>
        <v>-19486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4640</v>
      </c>
      <c r="F301" s="466"/>
      <c r="G301" s="466">
        <v>751</v>
      </c>
      <c r="H301" s="466"/>
      <c r="I301" s="467"/>
      <c r="J301" s="467"/>
      <c r="K301" s="1671">
        <f>SUM(C301:J301)</f>
        <v>5391</v>
      </c>
      <c r="L301" s="467">
        <v>27000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4640</v>
      </c>
      <c r="F303" s="1677">
        <f t="shared" si="23"/>
        <v>0</v>
      </c>
      <c r="G303" s="1677">
        <f t="shared" si="23"/>
        <v>751</v>
      </c>
      <c r="H303" s="1677">
        <f t="shared" si="23"/>
        <v>0</v>
      </c>
      <c r="I303" s="1677">
        <f t="shared" si="23"/>
        <v>0</v>
      </c>
      <c r="J303" s="1677">
        <f t="shared" si="23"/>
        <v>0</v>
      </c>
      <c r="K303" s="1677">
        <f t="shared" si="23"/>
        <v>5391</v>
      </c>
      <c r="L303" s="1677">
        <f t="shared" si="23"/>
        <v>27000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4640</v>
      </c>
      <c r="F312" s="1670">
        <f>SUM(F303)</f>
        <v>0</v>
      </c>
      <c r="G312" s="1670">
        <f>SUM(G303)</f>
        <v>751</v>
      </c>
      <c r="H312" s="1670">
        <f>SUM(H303,H310)</f>
        <v>0</v>
      </c>
      <c r="I312" s="1670">
        <f>SUM(I303)</f>
        <v>0</v>
      </c>
      <c r="J312" s="1670">
        <f>SUM(J303)</f>
        <v>0</v>
      </c>
      <c r="K312" s="1670">
        <f>SUM(K303,K310,K311)</f>
        <v>5391</v>
      </c>
      <c r="L312" s="1670">
        <f>SUM(L303,L310,L311)</f>
        <v>27000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9550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6581</v>
      </c>
      <c r="F320" s="467"/>
      <c r="G320" s="467"/>
      <c r="H320" s="467"/>
      <c r="I320" s="467"/>
      <c r="J320" s="467"/>
      <c r="K320" s="1671">
        <f t="shared" ref="K320:K327" si="24">SUM(C320:J320)</f>
        <v>6581</v>
      </c>
      <c r="L320" s="467">
        <v>9000</v>
      </c>
      <c r="M320" s="665"/>
      <c r="N320" s="665"/>
    </row>
    <row r="321" spans="1:14" s="674" customFormat="1" x14ac:dyDescent="0.2">
      <c r="A321" s="1519" t="s">
        <v>300</v>
      </c>
      <c r="B321" s="697" t="s">
        <v>283</v>
      </c>
      <c r="C321" s="467"/>
      <c r="D321" s="467"/>
      <c r="E321" s="467">
        <v>1779</v>
      </c>
      <c r="F321" s="467"/>
      <c r="G321" s="467"/>
      <c r="H321" s="467"/>
      <c r="I321" s="467"/>
      <c r="J321" s="467"/>
      <c r="K321" s="1671">
        <f t="shared" si="24"/>
        <v>1779</v>
      </c>
      <c r="L321" s="467">
        <v>2100</v>
      </c>
      <c r="M321" s="665"/>
      <c r="N321" s="665"/>
    </row>
    <row r="322" spans="1:14" s="674" customFormat="1" x14ac:dyDescent="0.2">
      <c r="A322" s="1519" t="s">
        <v>238</v>
      </c>
      <c r="B322" s="697" t="s">
        <v>284</v>
      </c>
      <c r="C322" s="467"/>
      <c r="D322" s="467"/>
      <c r="E322" s="467">
        <v>20840</v>
      </c>
      <c r="F322" s="467"/>
      <c r="G322" s="467"/>
      <c r="H322" s="467"/>
      <c r="I322" s="467"/>
      <c r="J322" s="467"/>
      <c r="K322" s="1671">
        <f t="shared" si="24"/>
        <v>20840</v>
      </c>
      <c r="L322" s="467">
        <v>25000</v>
      </c>
      <c r="M322" s="665"/>
      <c r="N322" s="665"/>
    </row>
    <row r="323" spans="1:14" s="674" customFormat="1" x14ac:dyDescent="0.2">
      <c r="A323" s="1519" t="s">
        <v>702</v>
      </c>
      <c r="B323" s="697" t="s">
        <v>285</v>
      </c>
      <c r="C323" s="467">
        <v>59956</v>
      </c>
      <c r="D323" s="467">
        <v>13286</v>
      </c>
      <c r="E323" s="467"/>
      <c r="F323" s="467"/>
      <c r="G323" s="467"/>
      <c r="H323" s="467"/>
      <c r="I323" s="467"/>
      <c r="J323" s="467"/>
      <c r="K323" s="1671">
        <f t="shared" si="24"/>
        <v>73242</v>
      </c>
      <c r="L323" s="467">
        <v>70000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6000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1560</v>
      </c>
      <c r="F327" s="467"/>
      <c r="G327" s="467"/>
      <c r="H327" s="467"/>
      <c r="I327" s="467"/>
      <c r="J327" s="467"/>
      <c r="K327" s="1671">
        <f t="shared" si="24"/>
        <v>1560</v>
      </c>
      <c r="L327" s="467">
        <v>6000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59956</v>
      </c>
      <c r="D330" s="1670">
        <f t="shared" ref="D330:J330" si="25">SUM(D319:D329)</f>
        <v>13286</v>
      </c>
      <c r="E330" s="1670">
        <f t="shared" si="25"/>
        <v>30760</v>
      </c>
      <c r="F330" s="1670">
        <f t="shared" si="25"/>
        <v>0</v>
      </c>
      <c r="G330" s="1670">
        <f t="shared" si="25"/>
        <v>0</v>
      </c>
      <c r="H330" s="1670">
        <f t="shared" si="25"/>
        <v>0</v>
      </c>
      <c r="I330" s="1670">
        <f t="shared" si="25"/>
        <v>0</v>
      </c>
      <c r="J330" s="1670">
        <f t="shared" si="25"/>
        <v>0</v>
      </c>
      <c r="K330" s="1670">
        <f>SUM(K319:K329)</f>
        <v>104002</v>
      </c>
      <c r="L330" s="1670">
        <f>SUM(L319:L329)</f>
        <v>118100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59956</v>
      </c>
      <c r="D342" s="1670">
        <f>SUM(D330)</f>
        <v>13286</v>
      </c>
      <c r="E342" s="1670">
        <f>SUM(E330)</f>
        <v>30760</v>
      </c>
      <c r="F342" s="1670">
        <f>SUM(F330)</f>
        <v>0</v>
      </c>
      <c r="G342" s="1670">
        <f>SUM(G330)</f>
        <v>0</v>
      </c>
      <c r="H342" s="1670">
        <f>SUM(H330,H334,H340)</f>
        <v>0</v>
      </c>
      <c r="I342" s="1670">
        <f>SUM(I330)</f>
        <v>0</v>
      </c>
      <c r="J342" s="1670">
        <f>SUM(J330)</f>
        <v>0</v>
      </c>
      <c r="K342" s="1670">
        <f>SUM(K330,K334,K340)</f>
        <v>104002</v>
      </c>
      <c r="L342" s="1677">
        <f>SUM(L330,L340,L341)</f>
        <v>118100</v>
      </c>
    </row>
    <row r="343" spans="1:14" ht="12.75" customHeight="1" thickTop="1" x14ac:dyDescent="0.2">
      <c r="A343" s="2170" t="s">
        <v>996</v>
      </c>
      <c r="B343" s="2171"/>
      <c r="C343" s="616"/>
      <c r="D343" s="616"/>
      <c r="E343" s="616"/>
      <c r="F343" s="616"/>
      <c r="G343" s="616"/>
      <c r="H343" s="616"/>
      <c r="I343" s="616"/>
      <c r="J343" s="616"/>
      <c r="K343" s="1684">
        <f>'Revenues 9-14'!J268-'Expenditures 15-22'!K342</f>
        <v>16558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7" t="s">
        <v>996</v>
      </c>
      <c r="B368" s="2158"/>
      <c r="C368" s="654"/>
      <c r="D368" s="654"/>
      <c r="E368" s="626"/>
      <c r="F368" s="626"/>
      <c r="G368" s="626"/>
      <c r="H368" s="626"/>
      <c r="I368" s="626"/>
      <c r="J368" s="623"/>
      <c r="K368" s="1671">
        <f>'Revenues 9-14'!K268-'Expenditures 15-22'!K367</f>
        <v>10756</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terms/"/>
    <ds:schemaRef ds:uri="http://www.w3.org/XML/1998/namespace"/>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http://purl.org/dc/dcmitype/"/>
    <ds:schemaRef ds:uri="4d435f69-8686-490b-bd6d-b153bf22ab50"/>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2019-09-09T16:32:56Z</cp:lastPrinted>
  <dcterms:created xsi:type="dcterms:W3CDTF">2003-10-29T19:06:34Z</dcterms:created>
  <dcterms:modified xsi:type="dcterms:W3CDTF">2019-11-01T20:08:57Z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Statements</vt:lpwstr>
  </property>
  <property fmtid="{D5CDD505-2E9C-101B-9397-08002B2CF9AE}" pid="5" name="tabIndex">
    <vt:lpwstr>03-01</vt:lpwstr>
  </property>
  <property fmtid="{D5CDD505-2E9C-101B-9397-08002B2CF9AE}" pid="6" name="workpaperIndex">
    <vt:lpwstr>03-01c</vt:lpwstr>
  </property>
</Properties>
</file>