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6CD9536-9E72-4128-BC8A-3A1290870B1B}"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42" i="18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7" i="108"/>
  <c r="E27" i="108"/>
  <c r="F27" i="108"/>
  <c r="G27" i="108"/>
  <c r="F31" i="108"/>
  <c r="F36" i="108"/>
  <c r="G28"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L5" i="11"/>
  <c r="B2056" i="106" s="1"/>
  <c r="D2056" i="106" s="1"/>
  <c r="B5752" i="106"/>
  <c r="D5752" i="106" s="1"/>
  <c r="D7245" i="106" l="1"/>
  <c r="D24" i="37"/>
  <c r="B4270" i="106" s="1"/>
  <c r="D4270" i="106" s="1"/>
  <c r="J22" i="37"/>
  <c r="H28" i="118"/>
  <c r="F70" i="34"/>
  <c r="F65" i="34"/>
  <c r="F46" i="34"/>
  <c r="E38" i="108"/>
  <c r="F28" i="108"/>
  <c r="D69" i="36"/>
  <c r="B6289" i="106"/>
  <c r="D6289" i="106" s="1"/>
  <c r="D6103" i="106"/>
  <c r="K76" i="4"/>
  <c r="B3586" i="106" s="1"/>
  <c r="D3586" i="106" s="1"/>
  <c r="L13" i="11"/>
  <c r="B2060" i="106" s="1"/>
  <c r="D2060" i="106" s="1"/>
  <c r="B281" i="106"/>
  <c r="D281" i="106" s="1"/>
  <c r="G29" i="108"/>
  <c r="B3647" i="106"/>
  <c r="D3647" i="106" s="1"/>
  <c r="C342" i="29"/>
  <c r="B7216" i="106" s="1"/>
  <c r="D7216" i="106" s="1"/>
  <c r="K184" i="29"/>
  <c r="F13" i="4" s="1"/>
  <c r="B2596" i="106" s="1"/>
  <c r="D2596" i="106" s="1"/>
  <c r="E29" i="108"/>
  <c r="G26" i="108"/>
  <c r="E26" i="108"/>
  <c r="B1274" i="106"/>
  <c r="D1274" i="106" s="1"/>
  <c r="G15" i="145"/>
  <c r="B6995" i="106"/>
  <c r="D6995" i="106" s="1"/>
  <c r="G30" i="108"/>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0" i="106"/>
  <c r="L16" i="11"/>
  <c r="B2061" i="106" s="1"/>
  <c r="D2061" i="106" s="1"/>
  <c r="L114" i="29"/>
  <c r="B1381" i="106"/>
  <c r="D1381" i="106" s="1"/>
  <c r="B2031" i="106"/>
  <c r="D2031" i="106" s="1"/>
  <c r="N23" i="3"/>
  <c r="B284" i="106" s="1"/>
  <c r="D284" i="106" s="1"/>
  <c r="K342" i="29"/>
  <c r="F13" i="34" s="1"/>
  <c r="D41" i="108"/>
  <c r="E43" i="108" s="1"/>
  <c r="C114" i="29"/>
  <c r="B757" i="106" s="1"/>
  <c r="D757" i="106" s="1"/>
  <c r="G6" i="4"/>
  <c r="B2604" i="106" s="1"/>
  <c r="D2604" i="106" s="1"/>
  <c r="B5527" i="106"/>
  <c r="D552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B6223" i="106"/>
  <c r="D6223"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J78" i="4"/>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<sst xmlns="http://schemas.openxmlformats.org/spreadsheetml/2006/main" count="5060" uniqueCount="2092">
  <si>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</si>
  <si>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</si>
  <si>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</si>
  <si>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</si>
  <si>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</si>
  <si>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</si>
  <si>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</si>
  <si>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</si>
  <si>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</si>
  <si>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</si>
  <si>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</si>
  <si>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</si>
  <si>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</si>
  <si>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</si>
  <si>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</si>
  <si>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</si>
  <si>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</si>
  <si>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</si>
  <si>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</si>
  <si>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</si>
  <si>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</si>
  <si>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</si>
  <si>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</si>
  <si>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</si>
  <si>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</si>
  <si>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</si>
  <si>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</si>
  <si>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</si>
  <si>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</si>
  <si>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</si>
  <si>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</si>
  <si>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</si>
  <si>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</si>
  <si>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</si>
  <si>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</si>
  <si>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</si>
  <si>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</si>
  <si>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</si>
  <si>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</si>
  <si>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</si>
  <si>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</si>
  <si>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</si>
  <si>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</si>
  <si>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</si>
  <si>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</si>
  <si>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</si>
  <si>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</si>
  <si>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</si>
  <si>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</si>
  <si>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</si>
  <si>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</si>
  <si>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</si>
  <si>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</si>
  <si>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</si>
  <si>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</si>
  <si>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</si>
  <si>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</si>
  <si>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</si>
  <si>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</si>
  <si>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</si>
  <si>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</si>
  <si>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</si>
  <si>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</si>
  <si>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</si>
  <si>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</si>
  <si>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</si>
  <si>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</si>
  <si>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</si>
  <si>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</si>
  <si>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</si>
  <si>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</si>
  <si>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</si>
  <si>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</si>
  <si>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</si>
  <si>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</si>
  <si>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</si>
  <si>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</si>
  <si>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</si>
  <si>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</si>
  <si>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</si>
  <si>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</si>
  <si>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</si>
  <si>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</si>
  <si>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</si>
  <si>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</si>
  <si>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</si>
  <si>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</si>
  <si>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</si>
  <si>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</si>
  <si>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</si>
  <si>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</si>
  <si>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</si>
  <si>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</si>
  <si>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</si>
  <si>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</si>
  <si>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</si>
  <si>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</si>
  <si>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</si>
  <si>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</si>
  <si>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</si>
  <si>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</si>
  <si>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</si>
  <si>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</si>
  <si>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</si>
  <si>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</si>
  <si>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</si>
  <si>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</si>
  <si>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</si>
  <si>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</si>
  <si>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</si>
  <si>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</si>
  <si>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</si>
  <si>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</si>
  <si>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</si>
  <si>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</si>
  <si>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</si>
  <si>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</si>
  <si>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</si>
  <si>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</si>
  <si>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</si>
  <si>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</si>
  <si>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</si>
  <si>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</si>
  <si>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</si>
  <si>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</si>
  <si>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</si>
  <si>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</si>
  <si>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</si>
  <si>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</si>
  <si>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</si>
  <si>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</si>
  <si>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</si>
  <si>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</si>
  <si>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</si>
  <si>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</si>
  <si>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</si>
  <si>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</si>
  <si>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</si>
  <si>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</si>
  <si>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</si>
  <si>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</si>
  <si>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</si>
  <si>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</si>
  <si>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</si>
  <si>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</si>
  <si>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</si>
  <si>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</si>
  <si>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</si>
  <si>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</si>
  <si>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</si>
  <si>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</si>
  <si>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</si>
  <si>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</si>
  <si>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</si>
  <si>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</si>
  <si>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</si>
  <si>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</si>
  <si>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</si>
  <si>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</si>
  <si>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</si>
  <si>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</si>
  <si>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</si>
  <si>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</si>
  <si>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</si>
  <si>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</si>
  <si>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</si>
  <si>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</si>
  <si>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</si>
  <si>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</si>
  <si>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</si>
  <si>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</si>
  <si>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</si>
  <si>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</si>
  <si>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</si>
  <si>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</si>
  <si>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</si>
  <si>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</si>
  <si>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</si>
  <si>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</si>
  <si>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</si>
  <si>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</si>
  <si>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</si>
  <si>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</si>
  <si>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</si>
  <si>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</si>
  <si>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</si>
  <si>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</si>
  <si>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</si>
  <si>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</si>
  <si>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</si>
  <si>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</si>
  <si>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</si>
  <si>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</si>
  <si>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</si>
  <si>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</si>
  <si>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</si>
  <si>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</si>
  <si>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</si>
  <si>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</si>
  <si>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</si>
  <si>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</si>
  <si>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</si>
  <si>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</si>
  <si>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</si>
  <si>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</si>
  <si>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</si>
  <si>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</si>
  <si>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</si>
  <si>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</si>
  <si>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</si>
  <si>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</si>
  <si>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</si>
  <si>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</si>
  <si>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</si>
  <si>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</si>
  <si>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</si>
  <si>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</si>
  <si>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</si>
  <si>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</si>
  <si>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</si>
  <si>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</si>
  <si>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</si>
  <si>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</si>
  <si>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</si>
  <si>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</si>
  <si>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</si>
  <si>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</si>
  <si>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</si>
  <si>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</si>
  <si>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</si>
  <si>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</si>
  <si>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</si>
  <si>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</si>
  <si>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</si>
  <si>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</si>
  <si>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</si>
  <si>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</si>
  <si>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</si>
  <si>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</si>
  <si>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</si>
  <si>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</si>
  <si>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</si>
  <si>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</si>
  <si>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</si>
  <si>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</si>
  <si>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</si>
  <si>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</si>
  <si>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</si>
  <si>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</si>
  <si>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</si>
  <si>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</si>
  <si>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</si>
  <si>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</si>
  <si>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</si>
  <si>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</si>
  <si>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</si>
  <si>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</si>
  <si>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</si>
  <si>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</si>
  <si>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</si>
  <si>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</si>
  <si>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</si>
  <si>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</si>
  <si>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</si>
  <si>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</si>
  <si>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</si>
  <si>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</si>
  <si>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</si>
  <si>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</si>
  <si>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</si>
  <si>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</si>
  <si>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</si>
  <si>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</si>
  <si>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</si>
  <si>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</si>
  <si>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</si>
  <si>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</si>
  <si>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</si>
  <si>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</si>
  <si>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</si>
  <si>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</si>
  <si>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</si>
  <si>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</si>
  <si>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</si>
  <si>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</si>
  <si>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</si>
  <si>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</si>
  <si>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</si>
  <si>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</si>
  <si>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</si>
  <si>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</si>
  <si>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</si>
  <si>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</si>
  <si>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</si>
  <si>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</si>
  <si>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</si>
  <si>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</si>
  <si>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</si>
  <si>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</si>
  <si>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</si>
  <si>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</si>
  <si>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</si>
  <si>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</si>
  <si>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</si>
  <si>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</si>
  <si>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</si>
  <si>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</si>
  <si>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</si>
  <si>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</si>
  <si>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</si>
  <si>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</si>
  <si>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</si>
  <si>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</si>
  <si>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</si>
  <si>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</si>
  <si>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</si>
  <si>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</si>
  <si>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</si>
  <si>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</si>
  <si>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</si>
  <si>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</si>
  <si>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</si>
  <si>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</si>
  <si>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</si>
  <si>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</si>
  <si>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</si>
  <si>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</si>
  <si>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</si>
  <si>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</si>
  <si>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</si>
  <si>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</si>
  <si>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</si>
  <si>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</si>
  <si>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</si>
  <si>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</si>
  <si>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</si>
  <si>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</si>
  <si>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</si>
  <si>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</si>
  <si>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</si>
  <si>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</si>
  <si>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</si>
  <si>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</si>
  <si>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</si>
  <si>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</si>
  <si>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</si>
  <si>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</si>
  <si>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</si>
  <si>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</si>
  <si>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</si>
  <si>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</si>
  <si>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</si>
  <si>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</si>
  <si>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</si>
  <si>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</si>
  <si>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</si>
  <si>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</si>
  <si>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</si>
  <si>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</si>
  <si>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</si>
  <si>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</si>
  <si>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</si>
  <si>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</si>
  <si>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</si>
  <si>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</si>
  <si>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</si>
  <si>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</si>
  <si>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</si>
  <si>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</si>
  <si>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</si>
  <si>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</si>
  <si>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</si>
  <si>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</si>
  <si>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</si>
  <si>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</si>
  <si>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</si>
  <si>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</si>
  <si>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</si>
  <si>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</si>
  <si>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</si>
  <si>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</si>
  <si>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</si>
  <si>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</si>
  <si>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</si>
  <si>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</si>
  <si>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</si>
  <si>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</si>
  <si>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</si>
  <si>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</si>
  <si>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</si>
  <si>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</si>
  <si>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</si>
  <si>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</si>
  <si>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</si>
  <si>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</si>
  <si>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</si>
  <si>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</si>
  <si>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</si>
  <si>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</si>
  <si>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</si>
  <si>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</si>
  <si>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</si>
  <si>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</si>
  <si>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</si>
  <si>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</si>
  <si>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</si>
  <si>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</si>
  <si>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</si>
  <si>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</si>
  <si>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</si>
  <si>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</si>
  <si>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</si>
  <si>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</si>
  <si>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</si>
  <si>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</si>
  <si>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</si>
  <si>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</si>
  <si>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</si>
  <si>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</si>
  <si>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</si>
  <si>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</si>
  <si>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</si>
  <si>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</si>
  <si>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</si>
  <si>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</si>
  <si>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</si>
  <si>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</si>
  <si>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</si>
  <si>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</si>
  <si>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</si>
  <si>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</si>
  <si>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</si>
  <si>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</si>
  <si>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</si>
  <si>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</si>
  <si>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</si>
  <si>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</si>
  <si>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</si>
  <si>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</si>
  <si>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</si>
  <si>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</si>
  <si>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</si>
  <si>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</si>
  <si>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</si>
  <si>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</si>
  <si>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</si>
  <si>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</si>
  <si>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</si>
  <si>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</si>
  <si>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</si>
  <si>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</si>
  <si>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</si>
  <si>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</si>
  <si>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</si>
  <si>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</si>
  <si>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</si>
  <si>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</si>
  <si>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</si>
  <si>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</si>
  <si>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</si>
  <si>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</si>
  <si>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</si>
  <si>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</si>
  <si>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</si>
  <si>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</si>
  <si>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</si>
  <si>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</si>
  <si>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</si>
  <si>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</si>
  <si>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</si>
  <si>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</si>
  <si>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</si>
  <si>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</si>
  <si>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</si>
  <si>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</si>
  <si>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</si>
  <si>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</si>
  <si>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</si>
  <si>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</si>
  <si>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</si>
  <si>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</si>
  <si>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</si>
  <si>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</si>
  <si>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</si>
  <si>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</si>
  <si>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</si>
  <si>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</si>
  <si>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</si>
  <si>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</si>
  <si>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</si>
  <si>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</si>
  <si>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</si>
  <si>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</si>
  <si>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</si>
  <si>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</si>
  <si>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</si>
  <si>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</si>
  <si>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</si>
  <si>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</si>
  <si>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</si>
  <si>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</si>
  <si>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</si>
  <si>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</si>
  <si>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</si>
  <si>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</si>
  <si>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</si>
  <si>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</si>
  <si>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</si>
  <si>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</si>
  <si>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</si>
  <si>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</si>
  <si>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</si>
  <si>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</si>
  <si>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</si>
  <si>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</si>
  <si>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</si>
  <si>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</si>
  <si>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</si>
  <si>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</si>
  <si>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</si>
  <si>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</si>
  <si>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</si>
  <si>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</si>
  <si>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</si>
  <si>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</si>
  <si>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</si>
  <si>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</si>
  <si>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</si>
  <si>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</si>
  <si>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</si>
  <si>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</si>
  <si>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</si>
  <si>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</si>
  <si>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</si>
  <si>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</si>
  <si>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</si>
  <si>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</si>
  <si>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</si>
  <si>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</si>
  <si>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</si>
  <si>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</si>
  <si>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</si>
  <si>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</si>
  <si>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</si>
  <si>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</si>
  <si>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</si>
  <si>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</si>
  <si>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</si>
  <si>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</si>
  <si>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</si>
  <si>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</si>
  <si>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</si>
  <si>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</si>
  <si>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</si>
  <si>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</si>
  <si>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</si>
  <si>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</si>
  <si>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</si>
  <si>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</si>
  <si>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</si>
  <si>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</si>
  <si>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</si>
  <si>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</si>
  <si>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</si>
  <si>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</si>
  <si>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</si>
  <si>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</si>
  <si>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</si>
  <si>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</si>
  <si>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</si>
  <si>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</si>
  <si>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</si>
  <si>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</si>
  <si>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</si>
  <si>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</si>
  <si>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</si>
  <si>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</si>
  <si>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</si>
  <si>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</si>
  <si>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</si>
  <si>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</si>
  <si>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</si>
  <si>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</si>
  <si>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</si>
  <si>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</si>
  <si>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</si>
  <si>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</si>
  <si>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</si>
  <si>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</si>
  <si>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</si>
  <si>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</si>
  <si>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</si>
  <si>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</si>
  <si>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</si>
  <si>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</si>
  <si>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</si>
  <si>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</si>
  <si>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</si>
  <si>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</si>
  <si>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</si>
  <si>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</si>
  <si>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</si>
  <si>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</si>
  <si>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</si>
  <si>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</si>
  <si>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</si>
  <si>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</si>
  <si>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</si>
  <si>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</si>
  <si>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</si>
  <si>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</si>
  <si>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</si>
  <si>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</si>
  <si>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</si>
  <si>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</si>
  <si>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</si>
  <si>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</si>
  <si>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</si>
  <si>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</si>
  <si>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</si>
  <si>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</si>
  <si>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</si>
  <si>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</si>
  <si>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</si>
  <si>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</si>
  <si>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</si>
  <si>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</si>
  <si>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</si>
  <si>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</si>
  <si>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</si>
  <si>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</si>
  <si>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</si>
  <si>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</si>
  <si>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</si>
  <si>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</si>
  <si>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</si>
  <si>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</si>
  <si>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</si>
  <si>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</si>
  <si>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</si>
  <si>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</si>
  <si>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</si>
  <si>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</si>
  <si>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</si>
  <si>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</si>
  <si>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</si>
  <si>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</si>
  <si>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</si>
  <si>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</si>
  <si>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</si>
  <si>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</si>
  <si>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</si>
  <si>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</si>
  <si>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</si>
  <si>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</si>
  <si>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</si>
  <si>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</si>
  <si>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</si>
  <si>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</si>
  <si>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</si>
  <si>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</si>
  <si>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</si>
  <si>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</si>
  <si>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</si>
  <si>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</si>
  <si>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</si>
  <si>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</si>
  <si>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</si>
  <si>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</si>
  <si>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</si>
  <si>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</si>
  <si>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</si>
  <si>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</si>
  <si>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</si>
  <si>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</si>
  <si>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</si>
  <si>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</si>
  <si>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</si>
  <si>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</si>
  <si>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</si>
  <si>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</si>
  <si>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</si>
  <si>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</si>
  <si>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</si>
  <si>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</si>
  <si>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</si>
  <si>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</si>
  <si>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</si>
  <si>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</si>
  <si>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</si>
  <si>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</si>
  <si>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</si>
  <si>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</si>
  <si>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</si>
  <si>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</si>
  <si>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</si>
  <si>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</si>
  <si>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</si>
  <si>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</si>
  <si>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</si>
  <si>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</si>
  <si>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</si>
  <si>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</si>
  <si>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</si>
  <si>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</si>
  <si>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</si>
  <si>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</si>
  <si>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</si>
  <si>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</si>
  <si>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</si>
  <si>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</si>
  <si>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</si>
  <si>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</si>
  <si>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</si>
  <si>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</si>
  <si>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</si>
  <si>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</si>
  <si>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</si>
  <si>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</si>
  <si>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</si>
  <si>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</si>
  <si>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</si>
  <si>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</si>
  <si>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</si>
  <si>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</si>
  <si>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</si>
  <si>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</si>
  <si>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</si>
  <si>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</si>
  <si>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</si>
  <si>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</si>
  <si>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</si>
  <si>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</si>
  <si>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</si>
  <si>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</si>
  <si>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</si>
  <si>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</si>
  <si>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</si>
  <si>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</si>
  <si>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</si>
  <si>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</si>
  <si>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</si>
  <si>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</si>
  <si>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</si>
  <si>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</si>
  <si>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</si>
  <si>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</si>
  <si>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</si>
  <si>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</si>
  <si>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</si>
  <si>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</si>
  <si>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</si>
  <si>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</si>
  <si>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</si>
  <si>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</si>
  <si>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</si>
  <si>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</si>
  <si>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</si>
  <si>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</si>
  <si>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</si>
  <si>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</si>
  <si>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</si>
  <si>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</si>
  <si>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</si>
  <si>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</si>
  <si>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</si>
  <si>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</si>
  <si>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</si>
  <si>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</si>
  <si>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</si>
  <si>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</si>
  <si>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</si>
  <si>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</si>
  <si>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</si>
  <si>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</si>
  <si>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</si>
  <si>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</si>
  <si>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</si>
  <si>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</si>
  <si>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</si>
  <si>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</si>
  <si>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</si>
  <si>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</si>
  <si>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</si>
  <si>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</si>
  <si>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</si>
  <si>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</si>
  <si>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</si>
  <si>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</si>
  <si>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</si>
  <si>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</si>
  <si>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</si>
  <si>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</si>
  <si>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</si>
  <si>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</si>
  <si>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</si>
  <si>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</si>
  <si>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</si>
  <si>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</si>
  <si>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</si>
  <si>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</si>
  <si>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</si>
  <si>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</si>
  <si>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</si>
  <si>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</si>
  <si>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</si>
  <si>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</si>
  <si>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</si>
  <si>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</si>
  <si>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</si>
  <si>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</si>
  <si>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</si>
  <si>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</si>
  <si>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</si>
  <si>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</si>
  <si>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</si>
  <si>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</si>
  <si>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</si>
  <si>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</si>
  <si>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</si>
  <si>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</si>
  <si>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</si>
  <si>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</si>
  <si>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</si>
  <si>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</si>
  <si>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</si>
  <si>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</si>
  <si>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</si>
  <si>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</si>
  <si>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</si>
  <si>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</si>
  <si>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</si>
  <si>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</si>
  <si>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</si>
  <si>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</si>
  <si>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</si>
  <si>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</si>
  <si>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</si>
  <si>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</si>
  <si>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</si>
  <si>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</si>
  <si>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</si>
  <si>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</si>
  <si>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</si>
  <si>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</si>
  <si>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</si>
  <si>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</si>
  <si>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</si>
  <si>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</si>
  <si>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</si>
  <si>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</si>
  <si>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</si>
  <si>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</si>
  <si>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</si>
  <si>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</si>
  <si>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</si>
  <si>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</si>
  <si>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</si>
  <si>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</si>
  <si>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</si>
  <si>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</si>
  <si>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</si>
  <si>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</si>
  <si>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</si>
  <si>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</si>
  <si>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</si>
  <si>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</si>
  <si>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</si>
  <si>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</si>
  <si>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</si>
  <si>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</si>
  <si>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</si>
  <si>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</si>
  <si>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</si>
  <si>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</si>
  <si>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</si>
  <si>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</si>
  <si>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</si>
  <si>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</si>
  <si>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</si>
  <si>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</si>
  <si>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</si>
  <si>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</si>
  <si>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</si>
  <si>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</si>
  <si>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</si>
  <si>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</si>
  <si>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</si>
  <si>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</si>
  <si>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</si>
  <si>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</si>
  <si>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</si>
  <si>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</si>
  <si>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</si>
  <si>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</si>
  <si>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</si>
  <si>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</si>
  <si>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</si>
  <si>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</si>
  <si>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</si>
  <si>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</si>
  <si>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</si>
  <si>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</si>
  <si>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</si>
  <si>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</si>
  <si>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</si>
  <si>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</si>
  <si>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</si>
  <si>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</si>
  <si>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</si>
  <si>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</si>
  <si>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</si>
  <si>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</si>
  <si>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</si>
  <si>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</si>
  <si>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</si>
  <si>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</si>
  <si>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</si>
  <si>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</si>
  <si>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</si>
  <si>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</si>
  <si>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</si>
  <si>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</si>
  <si>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</si>
  <si>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</si>
  <si>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</si>
  <si>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</si>
  <si>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</si>
  <si>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</si>
  <si>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</si>
  <si>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</si>
  <si>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</si>
  <si>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</si>
  <si>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</si>
  <si>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</si>
  <si>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</si>
  <si>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</si>
  <si>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</si>
  <si>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</si>
  <si>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</si>
  <si>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</si>
  <si>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</si>
  <si>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</si>
  <si>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</si>
  <si>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</si>
  <si>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</si>
  <si>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</si>
  <si>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</si>
  <si>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</si>
  <si>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</si>
  <si>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</si>
  <si>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</si>
  <si>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</si>
  <si>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</si>
  <si>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</si>
  <si>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</si>
  <si>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</si>
  <si>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</si>
  <si>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</si>
  <si>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</si>
  <si>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</si>
  <si>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</si>
  <si>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</si>
  <si>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</si>
  <si>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</si>
  <si>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</si>
  <si>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</si>
  <si>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</si>
  <si>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</si>
  <si>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</si>
  <si>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</si>
  <si>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</si>
  <si>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</si>
  <si>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</si>
  <si>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</si>
  <si>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</si>
  <si>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</si>
  <si>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</si>
  <si>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</si>
  <si>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</si>
  <si>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</si>
  <si>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</si>
  <si>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</si>
  <si>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</si>
  <si>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</si>
  <si>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</si>
  <si>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</si>
  <si>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</si>
  <si>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</si>
  <si>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</si>
  <si>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</si>
  <si>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</si>
  <si>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</si>
  <si>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</si>
  <si>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</si>
  <si>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</si>
  <si>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</si>
  <si>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</si>
  <si>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</si>
  <si>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</si>
  <si>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</si>
  <si>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</si>
  <si>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</si>
  <si>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</si>
  <si>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</si>
  <si>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</si>
  <si>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</si>
  <si>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</si>
  <si>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</si>
  <si>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</si>
  <si>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</si>
  <si>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</si>
  <si>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</si>
  <si>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</si>
  <si>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</si>
  <si>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</si>
  <si>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</si>
  <si>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</si>
  <si>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</si>
  <si>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</si>
  <si>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</si>
  <si>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</si>
  <si>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</si>
  <si>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</si>
  <si>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</si>
  <si>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</si>
  <si>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</si>
  <si>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</si>
  <si>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</si>
  <si>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</si>
  <si>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</si>
  <si>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</si>
  <si>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</si>
  <si>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</si>
  <si>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</si>
  <si>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</si>
  <si>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</si>
  <si>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</si>
  <si>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</si>
  <si>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</si>
  <si>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</si>
  <si>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</si>
  <si>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</si>
  <si>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</si>
  <si>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</si>
  <si>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</si>
  <si>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</si>
  <si>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</si>
  <si>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</si>
  <si>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</si>
  <si>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</si>
  <si>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</si>
  <si>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</si>
  <si>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</si>
  <si>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</si>
  <si>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</si>
  <si>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</si>
  <si>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</si>
  <si>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</si>
  <si>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</si>
  <si>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</si>
  <si>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</si>
  <si>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</si>
  <si>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</si>
  <si>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</si>
  <si>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</si>
  <si>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</si>
  <si>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</si>
  <si>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</si>
  <si>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</si>
  <si>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</si>
  <si>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</si>
  <si>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</si>
  <si>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</si>
  <si>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</si>
  <si>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</si>
  <si>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</si>
  <si>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</si>
  <si>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</si>
  <si>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</si>
  <si>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</si>
  <si>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</si>
  <si>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</si>
  <si>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</si>
  <si>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</si>
  <si>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</si>
  <si>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</si>
  <si>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</si>
  <si>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</si>
  <si>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</si>
  <si>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</si>
  <si>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</si>
  <si>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</si>
  <si>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</si>
  <si>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</si>
  <si>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</si>
  <si>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</si>
  <si>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</si>
  <si>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</si>
  <si>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</si>
  <si>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</si>
  <si>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</si>
  <si>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</si>
  <si>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</si>
  <si>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</si>
  <si>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</si>
  <si>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</si>
  <si>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</si>
  <si>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</si>
  <si>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</si>
  <si>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</si>
  <si>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</si>
  <si>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</si>
  <si>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</si>
  <si>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</si>
  <si>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</si>
  <si>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</si>
  <si>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</si>
  <si>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</si>
  <si>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</si>
  <si>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</si>
  <si>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</si>
  <si>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</si>
  <si>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</si>
  <si>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</si>
  <si>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</si>
  <si>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</si>
  <si>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</si>
  <si>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</si>
  <si>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</si>
  <si>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</si>
  <si>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</si>
  <si>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</si>
  <si>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</si>
  <si>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</si>
  <si>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</si>
  <si>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</si>
  <si>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</si>
  <si>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</si>
  <si>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</si>
  <si>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</si>
  <si>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</si>
  <si>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</si>
  <si>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</si>
  <si>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</si>
  <si>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</si>
  <si>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</si>
  <si>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</si>
  <si>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</si>
  <si>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</si>
  <si>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</si>
  <si>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</si>
  <si>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</si>
  <si>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</si>
  <si>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</si>
  <si>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</si>
  <si>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</si>
  <si>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</si>
  <si>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</si>
  <si>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</si>
  <si>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</si>
  <si>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</si>
  <si>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</si>
  <si>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</si>
  <si>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</si>
  <si>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</si>
  <si>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</si>
  <si>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</si>
  <si>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</si>
  <si>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</si>
  <si>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</si>
  <si>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</si>
  <si>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</si>
  <si>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</si>
  <si>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</si>
  <si>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</si>
  <si>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</si>
  <si>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</si>
  <si>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</si>
  <si>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</si>
  <si>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</si>
  <si>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</si>
  <si>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</si>
  <si>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</si>
  <si>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</si>
  <si>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</si>
  <si>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</si>
  <si>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</si>
  <si>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</si>
  <si>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</si>
  <si>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</si>
  <si>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</si>
  <si>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</si>
  <si>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</si>
  <si>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</si>
  <si>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</si>
  <si>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</si>
  <si>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</si>
  <si>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</si>
  <si>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</si>
  <si>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</si>
  <si>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</si>
  <si>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</si>
  <si>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</si>
  <si>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</si>
  <si>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</si>
  <si>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</si>
  <si>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</si>
  <si>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</si>
  <si>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</si>
  <si>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</si>
  <si>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</si>
  <si>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</si>
  <si>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</si>
  <si>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</si>
  <si>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</si>
  <si>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</si>
  <si>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</si>
  <si>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</si>
  <si>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</si>
  <si>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</si>
  <si>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</si>
  <si>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</si>
  <si>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</si>
  <si>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</si>
  <si>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</si>
  <si>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</si>
  <si>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</si>
  <si>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</si>
  <si>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</si>
  <si>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</si>
  <si>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</si>
  <si>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</si>
  <si>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</si>
  <si>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</si>
  <si>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</si>
  <si>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</si>
  <si>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</si>
  <si>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</si>
  <si>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</si>
  <si>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</si>
  <si>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</si>
  <si>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</si>
  <si>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</si>
  <si>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</si>
  <si>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</si>
  <si>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</si>
  <si>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</si>
  <si>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</si>
  <si>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</si>
  <si>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</si>
  <si>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</si>
  <si>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</si>
  <si>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</si>
  <si>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</si>
  <si>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</si>
  <si>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</si>
  <si>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</si>
  <si>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</si>
  <si>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</si>
  <si>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</si>
  <si>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</si>
  <si>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</si>
  <si>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</si>
  <si>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</si>
  <si>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</si>
  <si>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</si>
  <si>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</si>
  <si>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</si>
  <si>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</si>
  <si>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</si>
  <si>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</si>
  <si>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</si>
  <si>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</si>
  <si>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</si>
  <si>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</si>
  <si>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</si>
  <si>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</si>
  <si>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</si>
  <si>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</si>
  <si>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</si>
  <si>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</si>
  <si>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</si>
  <si>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</si>
  <si>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</si>
  <si>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</si>
  <si>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</si>
  <si>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</si>
  <si>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</si>
  <si>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</si>
  <si>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</si>
  <si>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</si>
  <si>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</si>
  <si>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</si>
  <si>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</si>
  <si>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</si>
  <si>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</si>
  <si>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</si>
  <si>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</si>
  <si>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</si>
  <si>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</si>
  <si>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</si>
  <si>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</si>
  <si>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</si>
  <si>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</si>
  <si>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</si>
  <si>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</si>
  <si>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</si>
  <si>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</si>
  <si>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</si>
  <si>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</si>
  <si>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</si>
  <si>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</si>
  <si>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</si>
  <si>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</si>
  <si>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</si>
  <si>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</si>
  <si>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</si>
  <si>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</si>
  <si>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</si>
  <si>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</si>
  <si>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</si>
  <si>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</si>
  <si>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</si>
  <si>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</si>
  <si>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</si>
  <si>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</si>
  <si>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</si>
  <si>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</si>
  <si>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</si>
  <si>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</si>
  <si>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</si>
  <si>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</si>
  <si>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</si>
  <si>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</si>
  <si>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</si>
  <si>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</si>
  <si>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</si>
  <si>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</si>
  <si>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</si>
  <si>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</si>
  <si>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</si>
  <si>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</si>
  <si>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</si>
  <si>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</si>
  <si>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</si>
  <si>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</si>
  <si>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</si>
  <si>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</si>
  <si>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</si>
  <si>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</si>
  <si>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</si>
  <si>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</si>
  <si>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</si>
  <si>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</si>
  <si>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</si>
  <si>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</si>
  <si>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</si>
  <si>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</si>
  <si>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</si>
  <si>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</si>
  <si>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</si>
  <si>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</si>
  <si>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</si>
  <si>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</si>
  <si>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</si>
  <si>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</si>
  <si>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</si>
  <si>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</si>
  <si>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</si>
  <si>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</si>
  <si>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</si>
  <si>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</si>
  <si>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</si>
  <si>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</si>
  <si>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</si>
  <si>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</si>
  <si>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</si>
  <si>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</si>
  <si>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</si>
  <si>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</si>
  <si>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</si>
  <si>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</si>
  <si>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</si>
  <si>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</si>
  <si>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</si>
  <si>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</si>
  <si>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</si>
  <si>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</si>
  <si>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</si>
  <si>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</si>
  <si>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</si>
  <si>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</si>
  <si>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</si>
  <si>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</si>
  <si>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</si>
  <si>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</si>
  <si>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</si>
  <si>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</si>
  <si>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</si>
  <si>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</si>
  <si>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</si>
  <si>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</si>
  <si>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</si>
  <si>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</si>
  <si>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</si>
  <si>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</si>
  <si>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</si>
  <si>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</si>
  <si>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</si>
  <si>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</si>
  <si>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</si>
  <si>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</si>
  <si>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</si>
  <si>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</si>
  <si>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</si>
  <si>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</si>
  <si>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</si>
  <si>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</si>
  <si>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</si>
  <si>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</si>
  <si>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</si>
  <si>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</si>
  <si>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</si>
  <si>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</si>
  <si>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</si>
  <si>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</si>
  <si>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</si>
  <si>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</si>
  <si>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</si>
  <si>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</si>
  <si>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</si>
  <si>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</si>
  <si>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</si>
  <si>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</si>
  <si>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</si>
  <si>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</si>
  <si>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</si>
  <si>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</si>
  <si>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</si>
  <si>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</si>
  <si>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</si>
  <si>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</si>
  <si>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</si>
  <si>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</si>
  <si>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</si>
  <si>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</si>
  <si>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</si>
  <si>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</si>
  <si>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</si>
  <si>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</si>
  <si>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</si>
  <si>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</si>
  <si>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</si>
  <si>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</si>
  <si>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</si>
  <si>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</si>
  <si>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</si>
  <si>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</si>
  <si>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</si>
  <si>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</si>
  <si>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</si>
  <si>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</si>
  <si>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</si>
  <si>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</si>
  <si>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</si>
  <si>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</si>
  <si>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</si>
  <si>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</si>
  <si>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</si>
  <si>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</si>
  <si>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</si>
  <si>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</si>
  <si>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</si>
  <si>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</si>
  <si>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</si>
  <si>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</si>
  <si>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</si>
  <si>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</si>
  <si>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</si>
  <si>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</si>
  <si>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</si>
  <si>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</si>
  <si>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</si>
  <si>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</si>
  <si>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</si>
  <si>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</si>
  <si>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</si>
  <si>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</si>
  <si>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</si>
  <si>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</si>
  <si>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</si>
  <si>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</si>
  <si>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</si>
  <si>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</si>
  <si>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</si>
  <si>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</si>
  <si>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</si>
  <si>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</si>
  <si>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</si>
  <si>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</si>
  <si>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</si>
  <si>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</si>
  <si>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</si>
  <si>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</si>
  <si>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</si>
  <si>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</si>
  <si>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</si>
  <si>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</si>
  <si>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</si>
  <si>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</si>
  <si>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</si>
  <si>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</si>
  <si>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</si>
  <si>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</si>
  <si>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</si>
  <si>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</si>
  <si>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</si>
  <si>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</si>
  <si>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</si>
  <si>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</si>
  <si>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</si>
  <si>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</si>
  <si>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</si>
  <si>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</si>
  <si>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</si>
  <si>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</si>
  <si>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</si>
  <si>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</si>
  <si>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</si>
  <si>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</si>
  <si>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</si>
  <si>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</si>
  <si>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</si>
  <si>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</si>
  <si>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</si>
  <si>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</si>
  <si>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</si>
  <si>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</si>
  <si>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</si>
  <si>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</si>
  <si>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</si>
  <si>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</si>
  <si>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</si>
  <si>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</si>
  <si>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</si>
  <si>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</si>
  <si>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</si>
  <si>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</si>
  <si>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</si>
  <si>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</si>
  <si>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</si>
  <si>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</si>
  <si>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</si>
  <si>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</si>
  <si>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</si>
  <si>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</si>
  <si>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</si>
  <si>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</si>
  <si>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</si>
  <si>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</si>
  <si>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</si>
  <si>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</si>
  <si>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</si>
  <si>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</si>
  <si>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</si>
  <si>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</si>
  <si>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</si>
  <si>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</si>
  <si>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</si>
  <si>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</si>
  <si>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</si>
  <si>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</si>
  <si>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</si>
  <si>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</si>
  <si>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</si>
  <si>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</si>
  <si>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</si>
  <si>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</si>
  <si>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</si>
  <si>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</si>
  <si>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</si>
  <si>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</si>
  <si>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</si>
  <si>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</si>
  <si>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</si>
  <si>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</si>
  <si>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</si>
  <si>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</si>
  <si>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</si>
  <si>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</si>
  <si>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</si>
  <si>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</si>
  <si>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</si>
  <si>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</si>
  <si>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</si>
  <si>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</si>
  <si>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</si>
  <si>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</si>
  <si>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</si>
  <si>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</si>
  <si>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</si>
  <si>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</si>
  <si>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</si>
  <si>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</si>
  <si>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</si>
  <si>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</si>
  <si>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</si>
  <si>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</si>
  <si>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</si>
  <si>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</si>
  <si>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</si>
  <si>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</si>
  <si>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</si>
  <si>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</si>
  <si>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</si>
  <si>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</si>
  <si>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</si>
  <si>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</si>
  <si>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</si>
  <si>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</si>
  <si>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</si>
  <si>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</si>
  <si>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</si>
  <si>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</si>
  <si>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</si>
  <si>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</si>
  <si>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</si>
  <si>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</si>
  <si>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</si>
  <si>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</si>
  <si>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</si>
  <si>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</si>
  <si>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</si>
  <si>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</si>
  <si>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</si>
  <si>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</si>
  <si>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</si>
  <si>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</si>
  <si>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</si>
  <si>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</si>
  <si>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</si>
  <si>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</si>
  <si>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</si>
  <si>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</si>
  <si>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</si>
  <si>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</si>
  <si>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</si>
  <si>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</si>
  <si>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</si>
  <si>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</si>
  <si>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</si>
  <si>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</si>
  <si>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</si>
  <si>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</si>
  <si>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</si>
  <si>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</si>
  <si>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</si>
  <si>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</si>
  <si>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</si>
  <si>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</si>
  <si>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</si>
  <si>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</si>
  <si>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</si>
  <si>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</si>
  <si>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</si>
  <si>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</si>
  <si>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</si>
  <si>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</si>
  <si>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</si>
  <si>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</si>
  <si>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</si>
  <si>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</si>
  <si>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</si>
  <si>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</si>
  <si>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</si>
  <si>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</si>
  <si>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</si>
  <si>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</si>
  <si>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</si>
  <si>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</si>
  <si>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</si>
  <si>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</si>
  <si>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</si>
  <si>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</si>
  <si>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</si>
  <si>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</si>
  <si>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</si>
  <si>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</si>
  <si>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</si>
  <si>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</si>
  <si>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</si>
  <si>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</si>
  <si>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</si>
  <si>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</si>
  <si>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</si>
  <si>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</si>
  <si>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</si>
  <si>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</si>
  <si>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</si>
  <si>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</si>
  <si>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</si>
  <si>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</si>
  <si>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</si>
  <si>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</si>
  <si>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</si>
  <si>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</si>
  <si>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</si>
  <si>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</si>
  <si>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</si>
  <si>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</si>
  <si>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</si>
  <si>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</si>
  <si>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</si>
  <si>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</si>
  <si>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</si>
  <si>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</si>
  <si>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</si>
  <si>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</si>
  <si>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</si>
  <si>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</si>
  <si>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</si>
  <si>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</si>
  <si>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</si>
  <si>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</si>
  <si>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</si>
  <si>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</si>
  <si>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</si>
  <si>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</si>
  <si>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</si>
  <si>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</si>
  <si>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</si>
  <si>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</si>
  <si>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</si>
  <si>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</si>
  <si>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</si>
  <si>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</si>
  <si>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</si>
  <si>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</si>
  <si>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</si>
  <si>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</si>
  <si>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</si>
  <si>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</si>
  <si>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</si>
  <si>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</si>
  <si>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</si>
  <si>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</si>
  <si>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</si>
  <si>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</si>
  <si>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</si>
  <si>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</si>
  <si>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</si>
  <si>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</si>
  <si>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</si>
  <si>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</si>
  <si>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</si>
  <si>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</si>
  <si>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</si>
  <si>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</si>
  <si>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</si>
  <si>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</si>
  <si>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</si>
  <si>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</si>
  <si>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</si>
  <si>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</si>
  <si>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</si>
  <si>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</si>
  <si>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</si>
  <si>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</si>
  <si>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</si>
  <si>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</si>
  <si>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</si>
  <si>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</si>
  <si>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</si>
  <si>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</si>
  <si>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</si>
  <si>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</si>
  <si>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</si>
  <si>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</si>
  <si>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</si>
  <si>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</si>
  <si>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</si>
  <si>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</si>
  <si>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</si>
  <si>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</si>
  <si>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</si>
  <si>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</si>
  <si>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</si>
  <si>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</si>
  <si>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</si>
  <si>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</si>
  <si>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</si>
  <si>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</si>
  <si>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</si>
  <si>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</si>
  <si>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</si>
  <si>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</si>
  <si>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</si>
  <si>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</si>
  <si>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</si>
  <si>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</si>
  <si>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</si>
  <si>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</si>
  <si>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</si>
  <si>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</si>
  <si>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</si>
  <si>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</si>
  <si>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</si>
  <si>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</si>
  <si>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</si>
  <si>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</si>
  <si>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</si>
  <si>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</si>
  <si>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</si>
  <si>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</si>
  <si>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</si>
  <si>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</si>
  <si>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</si>
  <si>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</si>
  <si>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</si>
  <si>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</si>
  <si>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</si>
  <si>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</si>
  <si>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</si>
  <si>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</si>
  <si>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</si>
  <si>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</si>
  <si>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</si>
  <si>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</si>
  <si>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</si>
  <si>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</si>
  <si>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</si>
  <si>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</si>
  <si>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</si>
  <si>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</si>
  <si>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</si>
  <si>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</si>
  <si>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</si>
  <si>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</si>
  <si>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</si>
  <si>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</si>
  <si>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</si>
  <si>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</si>
  <si>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</si>
  <si>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</si>
  <si>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</si>
  <si>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</si>
  <si>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</si>
  <si>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</si>
  <si>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</si>
  <si>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</si>
  <si>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</si>
  <si>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</si>
  <si>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</si>
  <si>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</si>
  <si>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</si>
  <si>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</si>
  <si>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</si>
  <si>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</si>
  <si>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</si>
  <si>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</si>
  <si>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</si>
  <si>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</si>
  <si>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</si>
  <si>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</si>
  <si>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</si>
  <si>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</si>
  <si>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</si>
  <si>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</si>
  <si>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</si>
  <si>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</si>
  <si>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</si>
  <si>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</si>
  <si>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</si>
  <si>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</si>
  <si>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</si>
  <si>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</si>
  <si>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</si>
  <si>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</si>
  <si>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</si>
  <si>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</si>
  <si>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</si>
  <si>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</si>
  <si>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</si>
  <si>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</si>
  <si>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</si>
  <si>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</si>
  <si>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</si>
  <si>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</si>
  <si>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</si>
  <si>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</si>
  <si>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</si>
  <si>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</si>
  <si>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</si>
  <si>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</si>
  <si>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</si>
  <si>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</si>
  <si>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</si>
  <si>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</si>
  <si>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</si>
  <si>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</si>
  <si>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</si>
  <si>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</si>
  <si>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</si>
  <si>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</si>
  <si>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</si>
  <si>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</si>
  <si>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</si>
  <si>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</si>
  <si>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</si>
  <si>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</si>
  <si>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</si>
  <si>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</si>
  <si>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</si>
  <si>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</si>
  <si>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</si>
  <si>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</si>
  <si>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</si>
  <si>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</si>
  <si>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</si>
  <si>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</si>
  <si>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</si>
  <si>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</si>
  <si>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</si>
  <si>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</si>
  <si>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</si>
  <si>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</si>
  <si>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</si>
  <si>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</si>
  <si>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</si>
  <si>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</si>
  <si>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</si>
  <si>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</si>
  <si>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</si>
  <si>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</si>
  <si>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</si>
  <si>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</si>
  <si>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</si>
  <si>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</si>
  <si>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</si>
  <si>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</si>
  <si>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</si>
  <si>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</si>
  <si>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</si>
  <si>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</si>
  <si>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</si>
  <si>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</si>
  <si>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</si>
  <si>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</si>
  <si>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</si>
  <si>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</si>
  <si>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</si>
  <si>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</si>
  <si>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</si>
  <si>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</si>
  <si>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</si>
  <si>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</si>
  <si>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</si>
  <si>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</si>
  <si>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</si>
  <si>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</si>
  <si>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</si>
  <si>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</si>
  <si>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</si>
  <si>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</si>
  <si>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</si>
  <si>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</si>
  <si>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</si>
  <si>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</si>
  <si>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</si>
  <si>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</si>
  <si>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</si>
  <si>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</si>
  <si>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</si>
  <si>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</si>
  <si>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</si>
  <si>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</si>
  <si>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</si>
  <si>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</si>
  <si>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</si>
  <si>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</si>
  <si>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</si>
  <si>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</si>
  <si>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</si>
  <si>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</si>
  <si>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</si>
  <si>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</si>
  <si>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</si>
  <si>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</si>
  <si>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</si>
  <si>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</si>
  <si>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</si>
  <si>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</si>
  <si>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</si>
  <si>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</si>
  <si>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</si>
  <si>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</si>
  <si>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</si>
  <si>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</si>
  <si>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</si>
  <si>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</si>
  <si>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</si>
  <si>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</si>
  <si>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</si>
  <si>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</si>
  <si>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</si>
  <si>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</si>
  <si>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</si>
  <si>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</si>
  <si>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</si>
  <si>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</si>
  <si>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</si>
  <si>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</si>
  <si>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</si>
  <si>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</si>
  <si>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</si>
  <si>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</si>
  <si>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</si>
  <si>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</si>
  <si>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</si>
  <si>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</si>
  <si>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</si>
  <si>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</si>
  <si>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</si>
  <si>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</si>
  <si>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</si>
  <si>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</si>
  <si>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</si>
  <si>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</si>
  <si>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</si>
  <si>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</si>
  <si>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</si>
  <si>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</si>
  <si>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</si>
  <si>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</si>
  <si>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</si>
  <si>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</si>
  <si>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</si>
  <si>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</si>
  <si>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</si>
  <si>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</si>
  <si>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</si>
  <si>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</si>
  <si>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</si>
  <si>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</si>
  <si>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</si>
  <si>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</si>
  <si>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</si>
  <si>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</si>
  <si>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</si>
  <si>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</si>
  <si>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</si>
  <si>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</si>
  <si>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</si>
  <si>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</si>
  <si>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</si>
  <si>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</si>
  <si>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</si>
  <si>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</si>
  <si>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</si>
  <si>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</si>
  <si>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</si>
  <si>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</si>
  <si>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</si>
  <si>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</si>
  <si>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</si>
  <si>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WABASH</t>
  </si>
  <si>
    <t>P.O. BOX 130</t>
  </si>
  <si>
    <t>ALLENDALE</t>
  </si>
  <si>
    <t>BBOWSER@ALLENDALESCHOOL.NET</t>
  </si>
  <si>
    <t>BOB BOWSER</t>
  </si>
  <si>
    <t>618-299-3161</t>
  </si>
  <si>
    <t>618-299-2015</t>
  </si>
  <si>
    <t>TERRY L. HARPER, CPA</t>
  </si>
  <si>
    <t>TERRY L. HARPER</t>
  </si>
  <si>
    <t>9 N. FIFTH ST.</t>
  </si>
  <si>
    <t>ALBION</t>
  </si>
  <si>
    <t>IL</t>
  </si>
  <si>
    <t>618-445-3433</t>
  </si>
  <si>
    <t>618-445-3969</t>
  </si>
  <si>
    <t>065-011645</t>
  </si>
  <si>
    <t>HARPERCPA@FRONTIER.COM</t>
  </si>
  <si>
    <t>BETH RISTER</t>
  </si>
  <si>
    <t>BRISTER@ROE20.ORG</t>
  </si>
  <si>
    <t>618-253-5581</t>
  </si>
  <si>
    <t>618-252-8472</t>
  </si>
  <si>
    <t>Fire Prevention &amp; Life Safety</t>
  </si>
  <si>
    <t>Regional Office of Education</t>
  </si>
  <si>
    <t>10-2520-300</t>
  </si>
  <si>
    <t>ED-Fiscal Services-Purchased Services</t>
  </si>
  <si>
    <t>Britt Shepherd</t>
  </si>
  <si>
    <t>Allendale CCSD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</si>
</sst>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484908</xdr:colOff>
          <xdr:row>3</xdr:row>
          <xdr:rowOff>86591</xdr:rowOff>
        </xdr:from>
        <xdr:to>
          <xdr:col>1</xdr:col>
          <xdr:colOff>1399308</xdr:colOff>
          <xdr:row>7</xdr:row>
          <xdr:rowOff>124691</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1400-000002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1610591</xdr:colOff>
          <xdr:row>3</xdr:row>
          <xdr:rowOff>77932</xdr:rowOff>
        </xdr:from>
        <xdr:to>
          <xdr:col>1</xdr:col>
          <xdr:colOff>2524991</xdr:colOff>
          <xdr:row>7</xdr:row>
          <xdr:rowOff>116032</xdr:rowOff>
        </xdr:to>
        <xdr:sp macro="" textlink="">
          <xdr:nvSpPr>
            <xdr:cNvPr id="51203" name="Object 3" hidden="1">
              <a:extLst>
                <a:ext uri="{63B3BB69-23CF-44E3-9099-C40C66FF867C}">
                  <a14:compatExt spid="_x0000_s51203"/>
                </a:ext>
                <a:ext uri="{FF2B5EF4-FFF2-40B4-BE49-F238E27FC236}">
                  <a16:creationId xmlns:a16="http://schemas.microsoft.com/office/drawing/2014/main" id="{00000000-0008-0000-1400-000003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5" t="s">
        <v>405</v>
      </c>
      <c r="J1" s="1986"/>
      <c r="K1" s="1986"/>
      <c r="L1" s="1986"/>
      <c r="M1" s="1986"/>
      <c r="N1" s="1986"/>
      <c r="O1" s="1986"/>
      <c r="P1" s="1986"/>
      <c r="Q1" s="1986"/>
      <c r="R1" s="1986"/>
      <c r="S1" s="1986"/>
    </row>
    <row r="2" spans="1:28" ht="12" customHeight="1" x14ac:dyDescent="0.2">
      <c r="A2" s="47" t="s">
        <v>1991</v>
      </c>
      <c r="D2" s="48"/>
      <c r="I2" s="1987" t="s">
        <v>979</v>
      </c>
      <c r="J2" s="1986"/>
      <c r="K2" s="1986"/>
      <c r="L2" s="1986"/>
      <c r="M2" s="1986"/>
      <c r="N2" s="1986"/>
      <c r="O2" s="1986"/>
      <c r="P2" s="1986"/>
      <c r="Q2" s="1986"/>
      <c r="R2" s="1986"/>
      <c r="S2" s="1986"/>
    </row>
    <row r="3" spans="1:28" ht="12" customHeight="1" x14ac:dyDescent="0.2">
      <c r="A3" s="155" t="s">
        <v>1943</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2065</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2065</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20093017024</v>
      </c>
      <c r="B13" s="2021"/>
      <c r="C13" s="2021"/>
      <c r="D13" s="2021"/>
      <c r="E13" s="2021"/>
      <c r="F13" s="2021"/>
      <c r="G13" s="2021"/>
      <c r="H13" s="2022"/>
      <c r="I13" s="31"/>
      <c r="J13" s="30"/>
      <c r="K13" s="28"/>
      <c r="L13" s="30"/>
      <c r="M13" s="30"/>
      <c r="N13" s="30"/>
      <c r="O13" s="30"/>
      <c r="P13" s="30"/>
      <c r="Q13" s="30"/>
      <c r="R13" s="30"/>
      <c r="S13" s="30"/>
      <c r="T13" s="2025" t="s">
        <v>2073</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2066</v>
      </c>
      <c r="B15" s="2023"/>
      <c r="C15" s="2023"/>
      <c r="D15" s="2023"/>
      <c r="E15" s="2023"/>
      <c r="F15" s="2023"/>
      <c r="G15" s="2023"/>
      <c r="H15" s="2024"/>
      <c r="T15" s="2029" t="s">
        <v>2074</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2091</v>
      </c>
      <c r="B17" s="1980"/>
      <c r="C17" s="1980"/>
      <c r="D17" s="1980"/>
      <c r="E17" s="1980"/>
      <c r="F17" s="1980"/>
      <c r="G17" s="1980"/>
      <c r="H17" s="2005"/>
      <c r="T17" s="2036" t="s">
        <v>2075</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2067</v>
      </c>
      <c r="B19" s="1965"/>
      <c r="C19" s="1965"/>
      <c r="D19" s="1965"/>
      <c r="E19" s="1965"/>
      <c r="F19" s="1965"/>
      <c r="G19" s="1965"/>
      <c r="H19" s="1945"/>
      <c r="I19" s="30"/>
      <c r="J19" s="99"/>
      <c r="K19" s="40"/>
      <c r="L19" s="38"/>
      <c r="M19" s="112" t="s">
        <v>315</v>
      </c>
      <c r="P19" s="27"/>
      <c r="Q19" s="27"/>
      <c r="R19" s="27"/>
      <c r="S19" s="31"/>
      <c r="T19" s="2019" t="s">
        <v>2076</v>
      </c>
      <c r="U19" s="1944"/>
      <c r="V19" s="1944"/>
      <c r="W19" s="1945"/>
      <c r="X19" s="2034" t="s">
        <v>2077</v>
      </c>
      <c r="Y19" s="2035"/>
      <c r="Z19" s="2032">
        <v>62806</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2068</v>
      </c>
      <c r="B21" s="1944"/>
      <c r="C21" s="1944"/>
      <c r="D21" s="1944"/>
      <c r="E21" s="1944"/>
      <c r="F21" s="1944"/>
      <c r="G21" s="1944"/>
      <c r="H21" s="1945"/>
      <c r="I21" s="1999" t="s">
        <v>678</v>
      </c>
      <c r="J21" s="1994"/>
      <c r="K21" s="1994"/>
      <c r="L21" s="1994"/>
      <c r="M21" s="1994"/>
      <c r="N21" s="1994"/>
      <c r="O21" s="1994"/>
      <c r="P21" s="1994"/>
      <c r="Q21" s="1994"/>
      <c r="R21" s="1994"/>
      <c r="S21" s="2000"/>
      <c r="T21" s="2043" t="s">
        <v>2078</v>
      </c>
      <c r="U21" s="2044"/>
      <c r="V21" s="2044"/>
      <c r="W21" s="2044"/>
      <c r="X21" s="2049" t="s">
        <v>2079</v>
      </c>
      <c r="Y21" s="2050"/>
      <c r="Z21" s="2050"/>
      <c r="AA21" s="2051"/>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t="s">
        <v>2069</v>
      </c>
      <c r="B23" s="1997"/>
      <c r="C23" s="1997"/>
      <c r="D23" s="1997"/>
      <c r="E23" s="1997"/>
      <c r="F23" s="1997"/>
      <c r="G23" s="1997"/>
      <c r="H23" s="1998"/>
      <c r="T23" s="1979" t="s">
        <v>2080</v>
      </c>
      <c r="U23" s="2042"/>
      <c r="V23" s="2042"/>
      <c r="W23" s="2042"/>
      <c r="X23" s="2046">
        <v>44469</v>
      </c>
      <c r="Y23" s="2047"/>
      <c r="Z23" s="2047"/>
      <c r="AA23" s="2048"/>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v>62410</v>
      </c>
      <c r="B25" s="1944"/>
      <c r="C25" s="1944"/>
      <c r="D25" s="1944"/>
      <c r="E25" s="1944"/>
      <c r="F25" s="1944"/>
      <c r="G25" s="1944"/>
      <c r="H25" s="1945"/>
      <c r="I25" s="113"/>
      <c r="J25" s="1968"/>
      <c r="K25" s="1968"/>
      <c r="L25" s="1968"/>
      <c r="M25" s="1968"/>
      <c r="N25" s="1968"/>
      <c r="O25" s="1968"/>
      <c r="P25" s="1968"/>
      <c r="Q25" s="1968"/>
      <c r="R25" s="1968"/>
      <c r="S25" s="1969"/>
      <c r="T25" s="2039" t="s">
        <v>2081</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2070</v>
      </c>
      <c r="B38" s="1980"/>
      <c r="C38" s="1980"/>
      <c r="D38" s="1980"/>
      <c r="E38" s="1980"/>
      <c r="F38" s="1944"/>
      <c r="G38" s="1944"/>
      <c r="H38" s="1945"/>
      <c r="I38" s="1972"/>
      <c r="J38" s="1973"/>
      <c r="K38" s="1973"/>
      <c r="L38" s="1973"/>
      <c r="M38" s="1973"/>
      <c r="N38" s="1973"/>
      <c r="O38" s="1973"/>
      <c r="P38" s="1974"/>
      <c r="Q38" s="1974"/>
      <c r="R38" s="1974"/>
      <c r="S38" s="1975"/>
      <c r="T38" s="2029" t="s">
        <v>2082</v>
      </c>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t="s">
        <v>2069</v>
      </c>
      <c r="B40" s="1958"/>
      <c r="C40" s="1959"/>
      <c r="D40" s="1959"/>
      <c r="E40" s="1959"/>
      <c r="F40" s="1960"/>
      <c r="G40" s="1960"/>
      <c r="H40" s="1961"/>
      <c r="I40" s="1982"/>
      <c r="J40" s="1983"/>
      <c r="K40" s="1983"/>
      <c r="L40" s="1983"/>
      <c r="M40" s="1983"/>
      <c r="N40" s="1983"/>
      <c r="O40" s="1983"/>
      <c r="P40" s="1983"/>
      <c r="Q40" s="1983"/>
      <c r="R40" s="1983"/>
      <c r="S40" s="1984"/>
      <c r="T40" s="1982" t="s">
        <v>2083</v>
      </c>
      <c r="U40" s="2045"/>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2071</v>
      </c>
      <c r="B42" s="1963"/>
      <c r="C42" s="1964"/>
      <c r="D42" s="1962" t="s">
        <v>2072</v>
      </c>
      <c r="E42" s="1963"/>
      <c r="F42" s="1963"/>
      <c r="G42" s="1963"/>
      <c r="H42" s="1964"/>
      <c r="I42" s="1946"/>
      <c r="J42" s="1947"/>
      <c r="K42" s="1947"/>
      <c r="L42" s="1947"/>
      <c r="M42" s="1947"/>
      <c r="N42" s="1947"/>
      <c r="O42" s="1948"/>
      <c r="P42" s="1981"/>
      <c r="Q42" s="1947"/>
      <c r="R42" s="1947"/>
      <c r="S42" s="1948"/>
      <c r="T42" s="1946" t="s">
        <v>2084</v>
      </c>
      <c r="U42" s="1947"/>
      <c r="V42" s="1947"/>
      <c r="W42" s="1948"/>
      <c r="X42" s="1981" t="s">
        <v>2085</v>
      </c>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43" sqref="T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T43" sqref="T4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2073</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T43" sqref="T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12931987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2.0885999999999998E-2</v>
      </c>
      <c r="E10" s="356" t="s">
        <v>1005</v>
      </c>
      <c r="F10" s="355">
        <v>4.973E-3</v>
      </c>
      <c r="G10" s="356" t="s">
        <v>1005</v>
      </c>
      <c r="H10" s="355">
        <v>1.99E-3</v>
      </c>
      <c r="I10" s="356" t="s">
        <v>1006</v>
      </c>
      <c r="J10" s="1732">
        <f>ROUND(D10+F10+H10,5)</f>
        <v>2.785E-2</v>
      </c>
      <c r="K10" s="222"/>
      <c r="L10" s="355">
        <v>4.9799999999999996E-4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1462438</v>
      </c>
      <c r="E16" s="356"/>
      <c r="F16" s="1733">
        <f>SUM('Acct Summary 7-8'!C17,'Acct Summary 7-8'!D17,'Acct Summary 7-8'!F17)</f>
        <v>1375365</v>
      </c>
      <c r="G16" s="356"/>
      <c r="H16" s="1733">
        <f>SUM(D16-F16)</f>
        <v>87073</v>
      </c>
      <c r="I16" s="222"/>
      <c r="J16" s="1733">
        <f>SUM('Acct Summary 7-8'!C81,'Acct Summary 7-8'!D81,'Acct Summary 7-8'!F81,'Acct Summary 7-8'!I81)</f>
        <v>397150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1784614.2060000002</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785100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38" sqref="F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Allendale CCSD 17</v>
      </c>
      <c r="E7" s="391"/>
      <c r="G7" s="252"/>
      <c r="H7" s="387"/>
      <c r="I7" s="387"/>
      <c r="J7" s="387"/>
      <c r="K7" s="387"/>
      <c r="L7" s="329"/>
      <c r="M7" s="329"/>
      <c r="N7" s="329"/>
      <c r="O7" s="329"/>
      <c r="P7" s="329"/>
    </row>
    <row r="8" spans="1:18" ht="12.75" x14ac:dyDescent="0.2">
      <c r="A8" s="329"/>
      <c r="B8" s="329"/>
      <c r="C8" s="389" t="s">
        <v>1125</v>
      </c>
      <c r="D8" s="392">
        <f>COVER!A13</f>
        <v>20093017024</v>
      </c>
      <c r="E8" s="393"/>
      <c r="G8" s="329"/>
      <c r="H8" s="329"/>
      <c r="I8" s="329"/>
      <c r="J8" s="329"/>
      <c r="K8" s="329"/>
      <c r="L8" s="329"/>
      <c r="M8" s="329"/>
      <c r="N8" s="329"/>
      <c r="O8" s="329"/>
      <c r="P8" s="329"/>
    </row>
    <row r="9" spans="1:18" ht="12.75" x14ac:dyDescent="0.2">
      <c r="A9" s="329"/>
      <c r="B9" s="329"/>
      <c r="C9" s="389" t="s">
        <v>713</v>
      </c>
      <c r="D9" s="394" t="str">
        <f>COVER!A15</f>
        <v>WABASH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397150</v>
      </c>
      <c r="I12" s="404"/>
      <c r="J12" s="404"/>
      <c r="K12" s="405">
        <f>TRUNC((H12/H13*100000),5)/100000</f>
        <v>0.27156706809999998</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1462438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1375365</v>
      </c>
      <c r="I17" s="404"/>
      <c r="J17" s="416"/>
      <c r="K17" s="405">
        <f>TRUNC((H17/H18*100000),5)/100000</f>
        <v>0.94046038190000003</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1462438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397638</v>
      </c>
      <c r="I24" s="422"/>
      <c r="J24" s="422"/>
      <c r="K24" s="423">
        <f>TRUNC(((H24/H25*100000)/100000),2)</f>
        <v>104.08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3820.4583299999999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306132.46226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785100</v>
      </c>
      <c r="I32" s="420"/>
      <c r="J32" s="420"/>
      <c r="K32" s="423">
        <f>TRUNC(100-((((H32/H33*100))*100)/100),2)</f>
        <v>56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1784614.2060000002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0" activePane="bottomLeft" state="frozen"/>
      <selection activeCell="T43" sqref="T43"/>
      <selection pane="bottomLeft" activeCell="T43" sqref="T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134924</v>
      </c>
      <c r="D4" s="466">
        <v>29839</v>
      </c>
      <c r="E4" s="466">
        <v>15531</v>
      </c>
      <c r="F4" s="466">
        <v>80752</v>
      </c>
      <c r="G4" s="466">
        <v>36979</v>
      </c>
      <c r="H4" s="466">
        <v>28244</v>
      </c>
      <c r="I4" s="466">
        <v>152123</v>
      </c>
      <c r="J4" s="467">
        <v>68596</v>
      </c>
      <c r="K4" s="466">
        <v>225561</v>
      </c>
      <c r="L4" s="466">
        <v>23381</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134924</v>
      </c>
      <c r="D13" s="1737">
        <f t="shared" ref="D13:L13" si="0">SUM(D4:D12)</f>
        <v>29839</v>
      </c>
      <c r="E13" s="1737">
        <f t="shared" si="0"/>
        <v>15531</v>
      </c>
      <c r="F13" s="1737">
        <f t="shared" si="0"/>
        <v>80752</v>
      </c>
      <c r="G13" s="1737">
        <f t="shared" si="0"/>
        <v>36979</v>
      </c>
      <c r="H13" s="1737">
        <f t="shared" si="0"/>
        <v>28244</v>
      </c>
      <c r="I13" s="1737">
        <f t="shared" si="0"/>
        <v>152123</v>
      </c>
      <c r="J13" s="1737">
        <f t="shared" si="0"/>
        <v>68596</v>
      </c>
      <c r="K13" s="1737">
        <f t="shared" si="0"/>
        <v>225561</v>
      </c>
      <c r="L13" s="1737">
        <f t="shared" si="0"/>
        <v>23381</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19115</v>
      </c>
      <c r="N16" s="484"/>
    </row>
    <row r="17" spans="1:14" s="485" customFormat="1" ht="12.75" customHeight="1" x14ac:dyDescent="0.2">
      <c r="A17" s="482" t="s">
        <v>1403</v>
      </c>
      <c r="B17" s="483">
        <v>230</v>
      </c>
      <c r="C17" s="477"/>
      <c r="D17" s="477"/>
      <c r="E17" s="477"/>
      <c r="F17" s="477"/>
      <c r="G17" s="477"/>
      <c r="H17" s="477"/>
      <c r="I17" s="477"/>
      <c r="J17" s="477"/>
      <c r="K17" s="477"/>
      <c r="L17" s="477"/>
      <c r="M17" s="467">
        <v>1617981</v>
      </c>
      <c r="N17" s="484"/>
    </row>
    <row r="18" spans="1:14" s="485" customFormat="1" ht="12.75" customHeight="1" x14ac:dyDescent="0.2">
      <c r="A18" s="482" t="s">
        <v>1404</v>
      </c>
      <c r="B18" s="483">
        <v>240</v>
      </c>
      <c r="C18" s="477"/>
      <c r="D18" s="477"/>
      <c r="E18" s="477"/>
      <c r="F18" s="477"/>
      <c r="G18" s="477"/>
      <c r="H18" s="477"/>
      <c r="I18" s="477"/>
      <c r="J18" s="477"/>
      <c r="K18" s="477"/>
      <c r="L18" s="477"/>
      <c r="M18" s="467">
        <v>143892</v>
      </c>
      <c r="N18" s="484"/>
    </row>
    <row r="19" spans="1:14" s="485" customFormat="1" ht="12.75" customHeight="1" x14ac:dyDescent="0.2">
      <c r="A19" s="482" t="s">
        <v>1405</v>
      </c>
      <c r="B19" s="483">
        <v>250</v>
      </c>
      <c r="C19" s="477"/>
      <c r="D19" s="477"/>
      <c r="E19" s="477"/>
      <c r="F19" s="477"/>
      <c r="G19" s="477"/>
      <c r="H19" s="477"/>
      <c r="I19" s="477"/>
      <c r="J19" s="477"/>
      <c r="K19" s="477"/>
      <c r="L19" s="477"/>
      <c r="M19" s="467">
        <v>923632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15531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769569</v>
      </c>
    </row>
    <row r="23" spans="1:14" ht="13.5" customHeight="1" thickBot="1" x14ac:dyDescent="0.25">
      <c r="A23" s="1736" t="s">
        <v>643</v>
      </c>
      <c r="B23" s="1741"/>
      <c r="C23" s="468"/>
      <c r="D23" s="468"/>
      <c r="E23" s="468"/>
      <c r="F23" s="468"/>
      <c r="G23" s="468"/>
      <c r="H23" s="468"/>
      <c r="I23" s="468"/>
      <c r="J23" s="468"/>
      <c r="K23" s="468"/>
      <c r="L23" s="468"/>
      <c r="M23" s="1688">
        <f>SUM(M15:M22)</f>
        <v>2704620</v>
      </c>
      <c r="N23" s="1688">
        <f>SUM(N21:N22)</f>
        <v>785100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482</v>
      </c>
      <c r="D31" s="467"/>
      <c r="E31" s="467"/>
      <c r="F31" s="466">
        <v>6</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23381</v>
      </c>
      <c r="M33" s="468"/>
      <c r="N33" s="469"/>
    </row>
    <row r="34" spans="1:14" ht="13.5" customHeight="1" thickBot="1" x14ac:dyDescent="0.25">
      <c r="A34" s="1738" t="s">
        <v>654</v>
      </c>
      <c r="B34" s="1739"/>
      <c r="C34" s="1740">
        <f>SUM(C25:C33)</f>
        <v>482</v>
      </c>
      <c r="D34" s="1740">
        <f t="shared" ref="D34:K34" si="1">SUM(D25:D33)</f>
        <v>0</v>
      </c>
      <c r="E34" s="1740">
        <f t="shared" si="1"/>
        <v>0</v>
      </c>
      <c r="F34" s="1740">
        <f t="shared" si="1"/>
        <v>6</v>
      </c>
      <c r="G34" s="1740">
        <f t="shared" si="1"/>
        <v>0</v>
      </c>
      <c r="H34" s="1740">
        <f t="shared" si="1"/>
        <v>0</v>
      </c>
      <c r="I34" s="1740">
        <f t="shared" si="1"/>
        <v>0</v>
      </c>
      <c r="J34" s="1740">
        <f t="shared" si="1"/>
        <v>0</v>
      </c>
      <c r="K34" s="1740">
        <f t="shared" si="1"/>
        <v>0</v>
      </c>
      <c r="L34" s="1721">
        <f>SUM(L33)</f>
        <v>23381</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785100</v>
      </c>
    </row>
    <row r="37" spans="1:14" ht="13.5" thickBot="1" x14ac:dyDescent="0.25">
      <c r="A37" s="1736" t="s">
        <v>653</v>
      </c>
      <c r="B37" s="1741"/>
      <c r="C37" s="477"/>
      <c r="D37" s="477"/>
      <c r="E37" s="477"/>
      <c r="F37" s="477"/>
      <c r="G37" s="477"/>
      <c r="H37" s="477"/>
      <c r="I37" s="477"/>
      <c r="J37" s="477"/>
      <c r="K37" s="477"/>
      <c r="L37" s="480"/>
      <c r="M37" s="468"/>
      <c r="N37" s="1688">
        <f>SUM(N36:N36)</f>
        <v>785100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134442</v>
      </c>
      <c r="D39" s="466">
        <v>29839</v>
      </c>
      <c r="E39" s="466">
        <v>15531</v>
      </c>
      <c r="F39" s="466">
        <v>80746</v>
      </c>
      <c r="G39" s="466">
        <v>36979</v>
      </c>
      <c r="H39" s="466">
        <v>28244</v>
      </c>
      <c r="I39" s="466">
        <v>152123</v>
      </c>
      <c r="J39" s="467">
        <v>68596</v>
      </c>
      <c r="K39" s="466">
        <v>225561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2704620</v>
      </c>
      <c r="N40" s="497"/>
    </row>
    <row r="41" spans="1:14" ht="13.5" customHeight="1" thickBot="1" x14ac:dyDescent="0.25">
      <c r="A41" s="1736" t="s">
        <v>655</v>
      </c>
      <c r="B41" s="1706"/>
      <c r="C41" s="1688">
        <f>(SUM(C34,C37,C38,C39))</f>
        <v>134924</v>
      </c>
      <c r="D41" s="1688">
        <f t="shared" ref="D41:L41" si="2">SUM(D34,D37,D38:D39)</f>
        <v>29839</v>
      </c>
      <c r="E41" s="1688">
        <f t="shared" si="2"/>
        <v>15531</v>
      </c>
      <c r="F41" s="1688">
        <f t="shared" si="2"/>
        <v>80752</v>
      </c>
      <c r="G41" s="1688">
        <f t="shared" si="2"/>
        <v>36979</v>
      </c>
      <c r="H41" s="1688">
        <f t="shared" si="2"/>
        <v>28244</v>
      </c>
      <c r="I41" s="1688">
        <f t="shared" si="2"/>
        <v>152123</v>
      </c>
      <c r="J41" s="1688">
        <f t="shared" si="2"/>
        <v>68596</v>
      </c>
      <c r="K41" s="1688">
        <f t="shared" si="2"/>
        <v>225561</v>
      </c>
      <c r="L41" s="1688">
        <f t="shared" si="2"/>
        <v>23381</v>
      </c>
      <c r="M41" s="1688">
        <f>SUM(M40)</f>
        <v>2704620</v>
      </c>
      <c r="N41" s="1688">
        <f>SUM(N37)</f>
        <v>785100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43" sqref="T43"/>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323424</v>
      </c>
      <c r="D4" s="1742">
        <f>'Revenues 9-14'!D109</f>
        <v>61727</v>
      </c>
      <c r="E4" s="1742">
        <f>'Revenues 9-14'!E109</f>
        <v>55256</v>
      </c>
      <c r="F4" s="1742">
        <f>'Revenues 9-14'!F109</f>
        <v>27494</v>
      </c>
      <c r="G4" s="1742">
        <f>'Revenues 9-14'!G109</f>
        <v>30992</v>
      </c>
      <c r="H4" s="1742">
        <f>'Revenues 9-14'!H109</f>
        <v>68046</v>
      </c>
      <c r="I4" s="1742">
        <f>'Revenues 9-14'!I109</f>
        <v>7461</v>
      </c>
      <c r="J4" s="1742">
        <f>'Revenues 9-14'!J109</f>
        <v>56936</v>
      </c>
      <c r="K4" s="1742">
        <f>'Revenues 9-14'!K109</f>
        <v>8555</v>
      </c>
      <c r="L4" s="347"/>
    </row>
    <row r="5" spans="1:13" ht="15.75" customHeight="1" x14ac:dyDescent="0.2">
      <c r="A5" s="1576" t="s">
        <v>1500</v>
      </c>
      <c r="B5" s="1577">
        <v>2000</v>
      </c>
      <c r="C5" s="1743">
        <f>'Revenues 9-14'!C114</f>
        <v>1009</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868260</v>
      </c>
      <c r="D6" s="1743">
        <f>'Revenues 9-14'!D170</f>
        <v>0</v>
      </c>
      <c r="E6" s="1743">
        <f>'Revenues 9-14'!E170</f>
        <v>0</v>
      </c>
      <c r="F6" s="1743">
        <f>'Revenues 9-14'!F170</f>
        <v>39160</v>
      </c>
      <c r="G6" s="1743">
        <f>'Revenues 9-14'!G170</f>
        <v>880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133903</v>
      </c>
      <c r="D7" s="1743">
        <f>'Revenues 9-14'!D267</f>
        <v>0</v>
      </c>
      <c r="E7" s="1743">
        <f>'Revenues 9-14'!E267</f>
        <v>0</v>
      </c>
      <c r="F7" s="1743">
        <f>'Revenues 9-14'!F267</f>
        <v>0</v>
      </c>
      <c r="G7" s="1743">
        <f>'Revenues 9-14'!G267</f>
        <v>3121</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1326596</v>
      </c>
      <c r="D8" s="1688">
        <f t="shared" ref="D8:K8" si="0">SUM(D4:D7)</f>
        <v>61727</v>
      </c>
      <c r="E8" s="1688">
        <f t="shared" si="0"/>
        <v>55256</v>
      </c>
      <c r="F8" s="1688">
        <f t="shared" si="0"/>
        <v>66654</v>
      </c>
      <c r="G8" s="1688">
        <f t="shared" si="0"/>
        <v>34993</v>
      </c>
      <c r="H8" s="1688">
        <f t="shared" si="0"/>
        <v>68046</v>
      </c>
      <c r="I8" s="1688">
        <f t="shared" si="0"/>
        <v>7461</v>
      </c>
      <c r="J8" s="1688">
        <f t="shared" si="0"/>
        <v>56936</v>
      </c>
      <c r="K8" s="1688">
        <f t="shared" si="0"/>
        <v>8555</v>
      </c>
      <c r="L8" s="347"/>
    </row>
    <row r="9" spans="1:13" ht="15.75" thickTop="1" x14ac:dyDescent="0.2">
      <c r="A9" s="514" t="s">
        <v>1653</v>
      </c>
      <c r="B9" s="515">
        <v>3998</v>
      </c>
      <c r="C9" s="481">
        <v>210496</v>
      </c>
      <c r="D9" s="516"/>
      <c r="E9" s="481"/>
      <c r="F9" s="481"/>
      <c r="G9" s="517"/>
      <c r="H9" s="481"/>
      <c r="I9" s="509" t="s">
        <v>1169</v>
      </c>
      <c r="J9" s="478"/>
      <c r="K9" s="481"/>
      <c r="L9" s="347"/>
    </row>
    <row r="10" spans="1:13" s="519" customFormat="1" ht="13.5" thickBot="1" x14ac:dyDescent="0.25">
      <c r="A10" s="1736" t="s">
        <v>1173</v>
      </c>
      <c r="B10" s="1709"/>
      <c r="C10" s="1688">
        <f>SUM(C8:C9)</f>
        <v>1537092</v>
      </c>
      <c r="D10" s="1688">
        <f t="shared" ref="D10:K10" si="1">SUM(D8:D9)</f>
        <v>61727</v>
      </c>
      <c r="E10" s="1688">
        <f t="shared" si="1"/>
        <v>55256</v>
      </c>
      <c r="F10" s="1688">
        <f t="shared" si="1"/>
        <v>66654</v>
      </c>
      <c r="G10" s="1688">
        <f t="shared" si="1"/>
        <v>34993</v>
      </c>
      <c r="H10" s="1688">
        <f t="shared" si="1"/>
        <v>68046</v>
      </c>
      <c r="I10" s="1688">
        <f t="shared" si="1"/>
        <v>7461</v>
      </c>
      <c r="J10" s="1688">
        <f t="shared" si="1"/>
        <v>56936</v>
      </c>
      <c r="K10" s="1688">
        <f t="shared" si="1"/>
        <v>8555</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646343</v>
      </c>
      <c r="D12" s="520" t="s">
        <v>1169</v>
      </c>
      <c r="E12" s="468" t="s">
        <v>1169</v>
      </c>
      <c r="F12" s="468" t="s">
        <v>1169</v>
      </c>
      <c r="G12" s="1742">
        <f>'Expenditures 15-22'!K229</f>
        <v>18946</v>
      </c>
      <c r="H12" s="521"/>
      <c r="I12" s="468" t="s">
        <v>1169</v>
      </c>
      <c r="J12" s="468" t="s">
        <v>1169</v>
      </c>
      <c r="K12" s="521" t="s">
        <v>1169</v>
      </c>
      <c r="L12" s="347"/>
    </row>
    <row r="13" spans="1:13" ht="15.75" customHeight="1" x14ac:dyDescent="0.2">
      <c r="A13" s="1576" t="s">
        <v>457</v>
      </c>
      <c r="B13" s="1578">
        <v>2000</v>
      </c>
      <c r="C13" s="1743">
        <f>'Expenditures 15-22'!K74</f>
        <v>279221</v>
      </c>
      <c r="D13" s="1743">
        <f>'Expenditures 15-22'!K129</f>
        <v>68913</v>
      </c>
      <c r="E13" s="469" t="s">
        <v>1169</v>
      </c>
      <c r="F13" s="1743">
        <f>'Expenditures 15-22'!K184</f>
        <v>54315</v>
      </c>
      <c r="G13" s="1743">
        <f>'Expenditures 15-22'!K279</f>
        <v>23272</v>
      </c>
      <c r="H13" s="1743">
        <f>'Expenditures 15-22'!K303</f>
        <v>72331</v>
      </c>
      <c r="I13" s="468" t="s">
        <v>1169</v>
      </c>
      <c r="J13" s="1743">
        <f>'Expenditures 15-22'!K330</f>
        <v>48807</v>
      </c>
      <c r="K13" s="1747">
        <f>'Expenditures 15-22'!K352</f>
        <v>297952</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326573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77287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1252137</v>
      </c>
      <c r="D17" s="1688">
        <f t="shared" si="2"/>
        <v>68913</v>
      </c>
      <c r="E17" s="1688">
        <f t="shared" si="2"/>
        <v>77287</v>
      </c>
      <c r="F17" s="1688">
        <f t="shared" si="2"/>
        <v>54315</v>
      </c>
      <c r="G17" s="1688">
        <f t="shared" si="2"/>
        <v>42218</v>
      </c>
      <c r="H17" s="1688">
        <f t="shared" si="2"/>
        <v>72331</v>
      </c>
      <c r="I17" s="468"/>
      <c r="J17" s="1688">
        <f>SUM(J12:J16)</f>
        <v>48807</v>
      </c>
      <c r="K17" s="1688">
        <f>SUM(K12:K16)</f>
        <v>297952</v>
      </c>
      <c r="L17" s="347"/>
    </row>
    <row r="18" spans="1:12" ht="15" customHeight="1" thickTop="1" x14ac:dyDescent="0.2">
      <c r="A18" s="1744" t="s">
        <v>1654</v>
      </c>
      <c r="B18" s="1745">
        <v>4180</v>
      </c>
      <c r="C18" s="1742">
        <f t="shared" ref="C18:H18" si="3">C9</f>
        <v>210496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1462633</v>
      </c>
      <c r="D19" s="1688">
        <f t="shared" si="4"/>
        <v>68913</v>
      </c>
      <c r="E19" s="1688">
        <f t="shared" si="4"/>
        <v>77287</v>
      </c>
      <c r="F19" s="1688">
        <f t="shared" si="4"/>
        <v>54315</v>
      </c>
      <c r="G19" s="1688">
        <f t="shared" si="4"/>
        <v>42218</v>
      </c>
      <c r="H19" s="1688">
        <f t="shared" si="4"/>
        <v>72331</v>
      </c>
      <c r="I19" s="468"/>
      <c r="J19" s="1688">
        <f>SUM(J17:J18)</f>
        <v>48807</v>
      </c>
      <c r="K19" s="1688">
        <f>SUM(K17:K18)</f>
        <v>297952</v>
      </c>
      <c r="L19" s="347"/>
    </row>
    <row r="20" spans="1:12" ht="16.5" thickTop="1" thickBot="1" x14ac:dyDescent="0.25">
      <c r="A20" s="2128" t="s">
        <v>1655</v>
      </c>
      <c r="B20" s="2129"/>
      <c r="C20" s="1746">
        <f>C8-C17</f>
        <v>74459</v>
      </c>
      <c r="D20" s="1746">
        <f t="shared" ref="D20:K20" si="5">D8-D17</f>
        <v>-7186</v>
      </c>
      <c r="E20" s="1746">
        <f t="shared" si="5"/>
        <v>-22031</v>
      </c>
      <c r="F20" s="1746">
        <f t="shared" si="5"/>
        <v>12339</v>
      </c>
      <c r="G20" s="1746">
        <f t="shared" si="5"/>
        <v>-7225</v>
      </c>
      <c r="H20" s="1746">
        <f t="shared" si="5"/>
        <v>-4285</v>
      </c>
      <c r="I20" s="1746">
        <f t="shared" si="5"/>
        <v>7461</v>
      </c>
      <c r="J20" s="1746">
        <f t="shared" si="5"/>
        <v>8129</v>
      </c>
      <c r="K20" s="1746">
        <f t="shared" si="5"/>
        <v>-289397</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25000</v>
      </c>
      <c r="E25" s="467"/>
      <c r="F25" s="467"/>
      <c r="G25" s="467"/>
      <c r="H25" s="467">
        <v>37115</v>
      </c>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v>15000</v>
      </c>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25000</v>
      </c>
      <c r="E44" s="1703">
        <f t="shared" si="6"/>
        <v>15000</v>
      </c>
      <c r="F44" s="1703">
        <f t="shared" si="6"/>
        <v>0</v>
      </c>
      <c r="G44" s="1703">
        <f t="shared" si="6"/>
        <v>0</v>
      </c>
      <c r="H44" s="1703">
        <f t="shared" si="6"/>
        <v>37115</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62115</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v>15000</v>
      </c>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15000</v>
      </c>
      <c r="I76" s="1703">
        <f t="shared" si="7"/>
        <v>62115</v>
      </c>
      <c r="J76" s="1703">
        <f t="shared" si="7"/>
        <v>0</v>
      </c>
      <c r="K76" s="1703">
        <f t="shared" si="7"/>
        <v>0</v>
      </c>
      <c r="L76" s="524"/>
    </row>
    <row r="77" spans="1:12" ht="14.25" thickTop="1" thickBot="1" x14ac:dyDescent="0.25">
      <c r="A77" s="2120" t="s">
        <v>1177</v>
      </c>
      <c r="B77" s="2121"/>
      <c r="C77" s="1703">
        <f t="shared" ref="C77:K77" si="8">C44-C76</f>
        <v>0</v>
      </c>
      <c r="D77" s="1703">
        <f t="shared" si="8"/>
        <v>25000</v>
      </c>
      <c r="E77" s="1703">
        <f t="shared" si="8"/>
        <v>15000</v>
      </c>
      <c r="F77" s="1703">
        <f t="shared" si="8"/>
        <v>0</v>
      </c>
      <c r="G77" s="1703">
        <f t="shared" si="8"/>
        <v>0</v>
      </c>
      <c r="H77" s="1703">
        <f t="shared" si="8"/>
        <v>22115</v>
      </c>
      <c r="I77" s="1703">
        <f t="shared" si="8"/>
        <v>-62115</v>
      </c>
      <c r="J77" s="1703">
        <f t="shared" si="8"/>
        <v>0</v>
      </c>
      <c r="K77" s="1703">
        <f t="shared" si="8"/>
        <v>0</v>
      </c>
      <c r="L77" s="347"/>
    </row>
    <row r="78" spans="1:12" ht="21.75" customHeight="1" thickTop="1" thickBot="1" x14ac:dyDescent="0.25">
      <c r="A78" s="2124" t="s">
        <v>597</v>
      </c>
      <c r="B78" s="2125"/>
      <c r="C78" s="1702">
        <f t="shared" ref="C78:K78" si="9">C20+C77</f>
        <v>74459</v>
      </c>
      <c r="D78" s="1702">
        <f t="shared" si="9"/>
        <v>17814</v>
      </c>
      <c r="E78" s="1702">
        <f t="shared" si="9"/>
        <v>-7031</v>
      </c>
      <c r="F78" s="1702">
        <f t="shared" si="9"/>
        <v>12339</v>
      </c>
      <c r="G78" s="1702">
        <f t="shared" si="9"/>
        <v>-7225</v>
      </c>
      <c r="H78" s="1702">
        <f t="shared" si="9"/>
        <v>17830</v>
      </c>
      <c r="I78" s="1702">
        <f t="shared" si="9"/>
        <v>-54654</v>
      </c>
      <c r="J78" s="1702">
        <f t="shared" si="9"/>
        <v>8129</v>
      </c>
      <c r="K78" s="1702">
        <f t="shared" si="9"/>
        <v>-289397</v>
      </c>
      <c r="L78" s="533"/>
    </row>
    <row r="79" spans="1:12" ht="13.5" thickTop="1" x14ac:dyDescent="0.2">
      <c r="A79" s="1494" t="s">
        <v>1947</v>
      </c>
      <c r="B79" s="534"/>
      <c r="C79" s="478">
        <v>59983</v>
      </c>
      <c r="D79" s="535">
        <v>12025</v>
      </c>
      <c r="E79" s="535">
        <v>22562</v>
      </c>
      <c r="F79" s="535">
        <v>68407</v>
      </c>
      <c r="G79" s="535">
        <v>44204</v>
      </c>
      <c r="H79" s="535">
        <v>10414</v>
      </c>
      <c r="I79" s="535">
        <v>206777</v>
      </c>
      <c r="J79" s="535">
        <v>60467</v>
      </c>
      <c r="K79" s="535">
        <v>514958</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134442</v>
      </c>
      <c r="D81" s="1688">
        <f>SUM(D78:D80)</f>
        <v>29839</v>
      </c>
      <c r="E81" s="1688">
        <f t="shared" ref="E81:K81" si="10">SUM(E78:E80)</f>
        <v>15531</v>
      </c>
      <c r="F81" s="1688">
        <f t="shared" si="10"/>
        <v>80746</v>
      </c>
      <c r="G81" s="1688">
        <f t="shared" si="10"/>
        <v>36979</v>
      </c>
      <c r="H81" s="1688">
        <f t="shared" si="10"/>
        <v>28244</v>
      </c>
      <c r="I81" s="1688">
        <f t="shared" si="10"/>
        <v>152123</v>
      </c>
      <c r="J81" s="1688">
        <f t="shared" si="10"/>
        <v>68596</v>
      </c>
      <c r="K81" s="1688">
        <f t="shared" si="10"/>
        <v>225561</v>
      </c>
      <c r="L81" s="347"/>
    </row>
    <row r="82" spans="1:12" ht="0.75" customHeight="1" thickTop="1" thickBot="1" x14ac:dyDescent="0.25">
      <c r="A82" s="536" t="s">
        <v>343</v>
      </c>
      <c r="B82" s="537"/>
      <c r="C82" s="538">
        <f>(C81-C79)</f>
        <v>74459</v>
      </c>
      <c r="D82" s="538">
        <f t="shared" ref="D82:K82" si="11">(D81-D79)</f>
        <v>17814</v>
      </c>
      <c r="E82" s="538">
        <f t="shared" si="11"/>
        <v>-7031</v>
      </c>
      <c r="F82" s="538">
        <f t="shared" si="11"/>
        <v>12339</v>
      </c>
      <c r="G82" s="538">
        <f t="shared" si="11"/>
        <v>-7225</v>
      </c>
      <c r="H82" s="538">
        <f t="shared" si="11"/>
        <v>17830</v>
      </c>
      <c r="I82" s="538">
        <f t="shared" si="11"/>
        <v>-54654</v>
      </c>
      <c r="J82" s="538">
        <f t="shared" si="11"/>
        <v>8129</v>
      </c>
      <c r="K82" s="538">
        <f t="shared" si="11"/>
        <v>-289397</v>
      </c>
    </row>
    <row r="83" spans="1:12" ht="14.25" hidden="1" thickTop="1" thickBot="1" x14ac:dyDescent="0.25">
      <c r="A83" s="539" t="s">
        <v>344</v>
      </c>
      <c r="B83" s="464"/>
      <c r="C83" s="540">
        <f>C82/C81</f>
        <v>0.55383734249713634</v>
      </c>
      <c r="D83" s="540">
        <f t="shared" ref="D83:K83" si="12">D82/D81</f>
        <v>0.59700392104293043</v>
      </c>
      <c r="E83" s="540">
        <f t="shared" si="12"/>
        <v>-0.45270748824930784</v>
      </c>
      <c r="F83" s="540">
        <f t="shared" si="12"/>
        <v>0.1528125232209645</v>
      </c>
      <c r="G83" s="540">
        <f t="shared" si="12"/>
        <v>-0.19538116228129479</v>
      </c>
      <c r="H83" s="540">
        <f t="shared" si="12"/>
        <v>0.63128452060614648</v>
      </c>
      <c r="I83" s="540">
        <f t="shared" si="12"/>
        <v>-0.35927506031303619</v>
      </c>
      <c r="J83" s="540">
        <f t="shared" si="12"/>
        <v>0.11850545221295702</v>
      </c>
      <c r="K83" s="540">
        <f t="shared" si="12"/>
        <v>-1.2830099174946024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257855</v>
      </c>
      <c r="D5" s="481">
        <v>61394</v>
      </c>
      <c r="E5" s="466">
        <v>55106</v>
      </c>
      <c r="F5" s="548">
        <v>24558</v>
      </c>
      <c r="G5" s="466">
        <v>1007</v>
      </c>
      <c r="H5" s="466"/>
      <c r="I5" s="466">
        <v>6140</v>
      </c>
      <c r="J5" s="467">
        <v>55609</v>
      </c>
      <c r="K5" s="466">
        <v>6139</v>
      </c>
    </row>
    <row r="6" spans="1:12" ht="15" x14ac:dyDescent="0.2">
      <c r="A6" s="463" t="s">
        <v>1662</v>
      </c>
      <c r="B6" s="470">
        <v>1130</v>
      </c>
      <c r="C6" s="466">
        <v>6139</v>
      </c>
      <c r="D6" s="466"/>
      <c r="E6" s="475"/>
      <c r="F6" s="475"/>
      <c r="G6" s="468"/>
      <c r="H6" s="468"/>
      <c r="I6" s="468"/>
      <c r="J6" s="468"/>
      <c r="K6" s="468"/>
    </row>
    <row r="7" spans="1:12" x14ac:dyDescent="0.2">
      <c r="A7" s="463" t="s">
        <v>110</v>
      </c>
      <c r="B7" s="549">
        <v>1140</v>
      </c>
      <c r="C7" s="466">
        <v>4912</v>
      </c>
      <c r="D7" s="466"/>
      <c r="E7" s="468"/>
      <c r="F7" s="467"/>
      <c r="G7" s="467"/>
      <c r="H7" s="467"/>
      <c r="I7" s="468"/>
      <c r="J7" s="468"/>
      <c r="K7" s="468"/>
    </row>
    <row r="8" spans="1:12" x14ac:dyDescent="0.2">
      <c r="A8" s="463" t="s">
        <v>413</v>
      </c>
      <c r="B8" s="470">
        <v>1150</v>
      </c>
      <c r="C8" s="475"/>
      <c r="D8" s="475"/>
      <c r="E8" s="477"/>
      <c r="F8" s="477"/>
      <c r="G8" s="481">
        <v>27504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268906</v>
      </c>
      <c r="D12" s="1707">
        <f t="shared" si="0"/>
        <v>61394</v>
      </c>
      <c r="E12" s="1707">
        <f t="shared" si="0"/>
        <v>55106</v>
      </c>
      <c r="F12" s="1707">
        <f t="shared" si="0"/>
        <v>24558</v>
      </c>
      <c r="G12" s="1707">
        <f t="shared" si="0"/>
        <v>28511</v>
      </c>
      <c r="H12" s="1707">
        <f t="shared" si="0"/>
        <v>0</v>
      </c>
      <c r="I12" s="1707">
        <f t="shared" si="0"/>
        <v>6140</v>
      </c>
      <c r="J12" s="1707">
        <f t="shared" si="0"/>
        <v>55609</v>
      </c>
      <c r="K12" s="1688">
        <f t="shared" si="0"/>
        <v>6139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20102</v>
      </c>
      <c r="D16" s="466"/>
      <c r="E16" s="466"/>
      <c r="F16" s="466"/>
      <c r="G16" s="466">
        <v>2000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20102</v>
      </c>
      <c r="D18" s="1710">
        <f t="shared" ref="D18:K18" si="1">SUM(D14:D17)</f>
        <v>0</v>
      </c>
      <c r="E18" s="1710">
        <f t="shared" si="1"/>
        <v>0</v>
      </c>
      <c r="F18" s="1710">
        <f t="shared" si="1"/>
        <v>0</v>
      </c>
      <c r="G18" s="1710">
        <f t="shared" si="1"/>
        <v>2000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2195</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2195</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1123</v>
      </c>
      <c r="D65" s="466">
        <v>333</v>
      </c>
      <c r="E65" s="466">
        <v>150</v>
      </c>
      <c r="F65" s="467">
        <v>669</v>
      </c>
      <c r="G65" s="466">
        <v>481</v>
      </c>
      <c r="H65" s="466">
        <v>181</v>
      </c>
      <c r="I65" s="466">
        <v>1321</v>
      </c>
      <c r="J65" s="467">
        <v>661</v>
      </c>
      <c r="K65" s="466">
        <v>2416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1123</v>
      </c>
      <c r="D67" s="1688">
        <f t="shared" ref="D67:K67" si="2">SUM(D65:D66)</f>
        <v>333</v>
      </c>
      <c r="E67" s="1688">
        <f t="shared" si="2"/>
        <v>150</v>
      </c>
      <c r="F67" s="1688">
        <f t="shared" si="2"/>
        <v>669</v>
      </c>
      <c r="G67" s="1688">
        <f t="shared" si="2"/>
        <v>481</v>
      </c>
      <c r="H67" s="1688">
        <f t="shared" si="2"/>
        <v>181</v>
      </c>
      <c r="I67" s="1688">
        <f t="shared" si="2"/>
        <v>1321</v>
      </c>
      <c r="J67" s="1688">
        <f t="shared" si="2"/>
        <v>661</v>
      </c>
      <c r="K67" s="1688">
        <f t="shared" si="2"/>
        <v>2416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16224</v>
      </c>
      <c r="D69" s="468"/>
      <c r="E69" s="468"/>
      <c r="F69" s="468"/>
      <c r="G69" s="468"/>
      <c r="H69" s="468"/>
      <c r="I69" s="468"/>
      <c r="J69" s="468"/>
      <c r="K69" s="468"/>
    </row>
    <row r="70" spans="1:11" ht="12.75" customHeight="1" x14ac:dyDescent="0.2">
      <c r="A70" s="463" t="s">
        <v>997</v>
      </c>
      <c r="B70" s="470">
        <v>1612</v>
      </c>
      <c r="C70" s="551">
        <v>709</v>
      </c>
      <c r="D70" s="468"/>
      <c r="E70" s="468"/>
      <c r="F70" s="468"/>
      <c r="G70" s="468"/>
      <c r="H70" s="468"/>
      <c r="I70" s="468"/>
      <c r="J70" s="468"/>
      <c r="K70" s="468"/>
    </row>
    <row r="71" spans="1:11" ht="12.75" customHeight="1" x14ac:dyDescent="0.2">
      <c r="A71" s="463" t="s">
        <v>273</v>
      </c>
      <c r="B71" s="470">
        <v>1613</v>
      </c>
      <c r="C71" s="551">
        <v>22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1194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18149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3301</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3301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8404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8404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2700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739</v>
      </c>
      <c r="D99" s="466"/>
      <c r="E99" s="466"/>
      <c r="F99" s="466">
        <v>72</v>
      </c>
      <c r="G99" s="466"/>
      <c r="H99" s="466"/>
      <c r="I99" s="468"/>
      <c r="J99" s="467">
        <v>666</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67865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3439</v>
      </c>
      <c r="D108" s="1707">
        <f t="shared" ref="D108:K108" si="3">SUM(D95:D107)</f>
        <v>0</v>
      </c>
      <c r="E108" s="1707">
        <f t="shared" si="3"/>
        <v>0</v>
      </c>
      <c r="F108" s="1707">
        <f t="shared" si="3"/>
        <v>72</v>
      </c>
      <c r="G108" s="1707">
        <f t="shared" si="3"/>
        <v>0</v>
      </c>
      <c r="H108" s="1707">
        <f t="shared" si="3"/>
        <v>67865</v>
      </c>
      <c r="I108" s="1707">
        <f t="shared" si="3"/>
        <v>0</v>
      </c>
      <c r="J108" s="1707">
        <f t="shared" si="3"/>
        <v>666</v>
      </c>
      <c r="K108" s="1688">
        <f t="shared" si="3"/>
        <v>0</v>
      </c>
    </row>
    <row r="109" spans="1:12" ht="14.25" thickTop="1" thickBot="1" x14ac:dyDescent="0.25">
      <c r="A109" s="1713" t="s">
        <v>248</v>
      </c>
      <c r="B109" s="1714" t="s">
        <v>570</v>
      </c>
      <c r="C109" s="1715">
        <f t="shared" ref="C109:K109" si="4">SUM(C12,C18,C40,C63,C67,C75,C82,C93,C108,)</f>
        <v>323424</v>
      </c>
      <c r="D109" s="1715">
        <f t="shared" si="4"/>
        <v>61727</v>
      </c>
      <c r="E109" s="1715">
        <f t="shared" si="4"/>
        <v>55256</v>
      </c>
      <c r="F109" s="1715">
        <f t="shared" si="4"/>
        <v>27494</v>
      </c>
      <c r="G109" s="1715">
        <f t="shared" si="4"/>
        <v>30992</v>
      </c>
      <c r="H109" s="1715">
        <f t="shared" si="4"/>
        <v>68046</v>
      </c>
      <c r="I109" s="1715">
        <f t="shared" si="4"/>
        <v>7461</v>
      </c>
      <c r="J109" s="1715">
        <f t="shared" si="4"/>
        <v>56936</v>
      </c>
      <c r="K109" s="1702">
        <f t="shared" si="4"/>
        <v>8555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1009</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1009</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807590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807590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800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39160</v>
      </c>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39160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59120</v>
      </c>
      <c r="D159" s="578"/>
      <c r="E159" s="561"/>
      <c r="F159" s="576"/>
      <c r="G159" s="576">
        <v>880</v>
      </c>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60670</v>
      </c>
      <c r="D169" s="1722">
        <f t="shared" si="6"/>
        <v>0</v>
      </c>
      <c r="E169" s="1722">
        <f t="shared" si="6"/>
        <v>0</v>
      </c>
      <c r="F169" s="1722">
        <f t="shared" si="6"/>
        <v>39160</v>
      </c>
      <c r="G169" s="1722">
        <f t="shared" si="6"/>
        <v>880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868260</v>
      </c>
      <c r="D170" s="1715">
        <f t="shared" si="7"/>
        <v>0</v>
      </c>
      <c r="E170" s="1715">
        <f t="shared" si="7"/>
        <v>0</v>
      </c>
      <c r="F170" s="1715">
        <f t="shared" si="7"/>
        <v>39160</v>
      </c>
      <c r="G170" s="1715">
        <f t="shared" si="7"/>
        <v>880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37970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14658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52628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58182</v>
      </c>
      <c r="D200" s="466"/>
      <c r="E200" s="468"/>
      <c r="F200" s="466"/>
      <c r="G200" s="466">
        <v>3121</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58182</v>
      </c>
      <c r="D204" s="1707">
        <f>SUM(D200:D203)</f>
        <v>0</v>
      </c>
      <c r="E204" s="468"/>
      <c r="F204" s="1707">
        <f>SUM(F200:F203)</f>
        <v>0</v>
      </c>
      <c r="G204" s="1707">
        <f>SUM(G200:G203)</f>
        <v>3121</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1721</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1721</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v>1102</v>
      </c>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1102</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2866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3146</v>
      </c>
      <c r="D264" s="576"/>
      <c r="E264" s="468"/>
      <c r="F264" s="576"/>
      <c r="G264" s="576"/>
      <c r="H264" s="468"/>
      <c r="I264" s="468"/>
      <c r="J264" s="468"/>
      <c r="K264" s="468"/>
    </row>
    <row r="265" spans="1:11" s="593" customFormat="1" ht="12.75" customHeight="1" thickTop="1" thickBot="1" x14ac:dyDescent="0.25">
      <c r="A265" s="563" t="s">
        <v>75</v>
      </c>
      <c r="B265" s="557">
        <v>4999</v>
      </c>
      <c r="C265" s="575">
        <v>14258</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133903</v>
      </c>
      <c r="D266" s="1715">
        <f t="shared" si="10"/>
        <v>0</v>
      </c>
      <c r="E266" s="1715">
        <f t="shared" si="10"/>
        <v>0</v>
      </c>
      <c r="F266" s="1715">
        <f t="shared" si="10"/>
        <v>0</v>
      </c>
      <c r="G266" s="1715">
        <f t="shared" si="10"/>
        <v>3121</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133903</v>
      </c>
      <c r="D267" s="1715">
        <f>SUM(D175,D181,D266)</f>
        <v>0</v>
      </c>
      <c r="E267" s="1715">
        <f>SUM(E175,E266)</f>
        <v>0</v>
      </c>
      <c r="F267" s="1715">
        <f t="shared" ref="F267:K267" si="11">SUM(F175,F181,F266)</f>
        <v>0</v>
      </c>
      <c r="G267" s="1715">
        <f t="shared" si="11"/>
        <v>3121</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1326596</v>
      </c>
      <c r="D268" s="1715">
        <f t="shared" si="12"/>
        <v>61727</v>
      </c>
      <c r="E268" s="1715">
        <f t="shared" si="12"/>
        <v>55256</v>
      </c>
      <c r="F268" s="1715">
        <f t="shared" si="12"/>
        <v>66654</v>
      </c>
      <c r="G268" s="1715">
        <f t="shared" si="12"/>
        <v>34993</v>
      </c>
      <c r="H268" s="1715">
        <f t="shared" si="12"/>
        <v>68046</v>
      </c>
      <c r="I268" s="1715">
        <f t="shared" si="12"/>
        <v>7461</v>
      </c>
      <c r="J268" s="1715">
        <f t="shared" si="12"/>
        <v>56936</v>
      </c>
      <c r="K268" s="1702">
        <f t="shared" si="12"/>
        <v>8555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0" activePane="bottomLeft" state="frozen"/>
      <selection pane="bottomLeft" activeCell="L47" sqref="L4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427745</v>
      </c>
      <c r="D5" s="466">
        <v>15172</v>
      </c>
      <c r="E5" s="466">
        <v>20043</v>
      </c>
      <c r="F5" s="466">
        <v>10843</v>
      </c>
      <c r="G5" s="466"/>
      <c r="H5" s="466">
        <v>724</v>
      </c>
      <c r="I5" s="467"/>
      <c r="J5" s="467"/>
      <c r="K5" s="1671">
        <f>SUM(C5:J5)</f>
        <v>474527</v>
      </c>
      <c r="L5" s="466">
        <v>472824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24807</v>
      </c>
      <c r="D7" s="467">
        <v>274</v>
      </c>
      <c r="E7" s="467">
        <v>1378</v>
      </c>
      <c r="F7" s="467">
        <v>20066</v>
      </c>
      <c r="G7" s="467"/>
      <c r="H7" s="467"/>
      <c r="I7" s="467">
        <v>2569</v>
      </c>
      <c r="J7" s="467"/>
      <c r="K7" s="1671">
        <f t="shared" ref="K7:K32" si="0">SUM(C7:J7)</f>
        <v>49094</v>
      </c>
      <c r="L7" s="466">
        <v>50406</v>
      </c>
    </row>
    <row r="8" spans="1:14" x14ac:dyDescent="0.2">
      <c r="A8" s="1504" t="s">
        <v>164</v>
      </c>
      <c r="B8" s="614">
        <v>1200</v>
      </c>
      <c r="C8" s="466">
        <v>58757</v>
      </c>
      <c r="D8" s="466">
        <v>514</v>
      </c>
      <c r="E8" s="466">
        <v>2570</v>
      </c>
      <c r="F8" s="466"/>
      <c r="G8" s="466"/>
      <c r="H8" s="466"/>
      <c r="I8" s="467"/>
      <c r="J8" s="467"/>
      <c r="K8" s="1671">
        <f t="shared" si="0"/>
        <v>61841</v>
      </c>
      <c r="L8" s="466">
        <v>61827</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36839</v>
      </c>
      <c r="D10" s="466">
        <v>1306</v>
      </c>
      <c r="E10" s="466">
        <v>297</v>
      </c>
      <c r="F10" s="466">
        <v>7535</v>
      </c>
      <c r="G10" s="466"/>
      <c r="H10" s="466"/>
      <c r="I10" s="467">
        <v>4355</v>
      </c>
      <c r="J10" s="467"/>
      <c r="K10" s="1671">
        <f t="shared" si="0"/>
        <v>50332</v>
      </c>
      <c r="L10" s="466">
        <v>46395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8424</v>
      </c>
      <c r="D14" s="466">
        <v>97</v>
      </c>
      <c r="E14" s="466">
        <v>1308</v>
      </c>
      <c r="F14" s="466">
        <v>430</v>
      </c>
      <c r="G14" s="466"/>
      <c r="H14" s="466">
        <v>290</v>
      </c>
      <c r="I14" s="467"/>
      <c r="J14" s="467"/>
      <c r="K14" s="1671">
        <f t="shared" si="0"/>
        <v>10549</v>
      </c>
      <c r="L14" s="466">
        <v>9700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556572</v>
      </c>
      <c r="D33" s="1670">
        <f t="shared" ref="D33:L33" si="1">SUM(D5:D32)</f>
        <v>17363</v>
      </c>
      <c r="E33" s="1670">
        <f t="shared" si="1"/>
        <v>25596</v>
      </c>
      <c r="F33" s="1670">
        <f t="shared" si="1"/>
        <v>38874</v>
      </c>
      <c r="G33" s="1670">
        <f t="shared" si="1"/>
        <v>0</v>
      </c>
      <c r="H33" s="1670">
        <f t="shared" si="1"/>
        <v>1014</v>
      </c>
      <c r="I33" s="1670">
        <f t="shared" si="1"/>
        <v>6924</v>
      </c>
      <c r="J33" s="1670">
        <f t="shared" si="1"/>
        <v>0</v>
      </c>
      <c r="K33" s="1670">
        <f t="shared" si="1"/>
        <v>646343</v>
      </c>
      <c r="L33" s="1670">
        <f t="shared" si="1"/>
        <v>641152</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1750</v>
      </c>
      <c r="D38" s="466"/>
      <c r="E38" s="466"/>
      <c r="F38" s="466">
        <v>113</v>
      </c>
      <c r="G38" s="466"/>
      <c r="H38" s="466"/>
      <c r="I38" s="467"/>
      <c r="J38" s="467"/>
      <c r="K38" s="1671">
        <f t="shared" si="2"/>
        <v>1863</v>
      </c>
      <c r="L38" s="466">
        <v>1865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24004</v>
      </c>
      <c r="F40" s="466"/>
      <c r="G40" s="466"/>
      <c r="H40" s="466"/>
      <c r="I40" s="467"/>
      <c r="J40" s="467"/>
      <c r="K40" s="1671">
        <f t="shared" si="2"/>
        <v>24004</v>
      </c>
      <c r="L40" s="466">
        <v>24000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1750</v>
      </c>
      <c r="D42" s="1670">
        <f t="shared" ref="D42:L42" si="3">SUM(D36:D41)</f>
        <v>0</v>
      </c>
      <c r="E42" s="1670">
        <f t="shared" si="3"/>
        <v>24004</v>
      </c>
      <c r="F42" s="1670">
        <f t="shared" si="3"/>
        <v>113</v>
      </c>
      <c r="G42" s="1670">
        <f t="shared" si="3"/>
        <v>0</v>
      </c>
      <c r="H42" s="1670">
        <f t="shared" si="3"/>
        <v>0</v>
      </c>
      <c r="I42" s="1670">
        <f t="shared" si="3"/>
        <v>0</v>
      </c>
      <c r="J42" s="1670">
        <f t="shared" si="3"/>
        <v>0</v>
      </c>
      <c r="K42" s="1670">
        <f t="shared" si="3"/>
        <v>25867</v>
      </c>
      <c r="L42" s="1670">
        <f t="shared" si="3"/>
        <v>25865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320</v>
      </c>
      <c r="D44" s="481">
        <v>2</v>
      </c>
      <c r="E44" s="481">
        <v>917</v>
      </c>
      <c r="F44" s="481">
        <v>12007</v>
      </c>
      <c r="G44" s="481"/>
      <c r="H44" s="481"/>
      <c r="I44" s="467">
        <v>11187</v>
      </c>
      <c r="J44" s="467"/>
      <c r="K44" s="1672">
        <f>SUM(C44:J44)</f>
        <v>24433</v>
      </c>
      <c r="L44" s="481">
        <v>18593</v>
      </c>
    </row>
    <row r="45" spans="1:14" x14ac:dyDescent="0.2">
      <c r="A45" s="1504" t="s">
        <v>815</v>
      </c>
      <c r="B45" s="614">
        <v>2220</v>
      </c>
      <c r="C45" s="466">
        <v>26134</v>
      </c>
      <c r="D45" s="466"/>
      <c r="E45" s="466"/>
      <c r="F45" s="466">
        <v>750</v>
      </c>
      <c r="G45" s="466"/>
      <c r="H45" s="466"/>
      <c r="I45" s="467"/>
      <c r="J45" s="467"/>
      <c r="K45" s="1672">
        <f>SUM(C45:J45)</f>
        <v>26884</v>
      </c>
      <c r="L45" s="466">
        <v>26900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26454</v>
      </c>
      <c r="D47" s="1670">
        <f t="shared" ref="D47:K47" si="4">SUM(D44:D46)</f>
        <v>2</v>
      </c>
      <c r="E47" s="1670">
        <f t="shared" si="4"/>
        <v>917</v>
      </c>
      <c r="F47" s="1670">
        <f t="shared" si="4"/>
        <v>12757</v>
      </c>
      <c r="G47" s="1670">
        <f t="shared" si="4"/>
        <v>0</v>
      </c>
      <c r="H47" s="1670">
        <f t="shared" si="4"/>
        <v>0</v>
      </c>
      <c r="I47" s="1670">
        <f t="shared" si="4"/>
        <v>11187</v>
      </c>
      <c r="J47" s="1670">
        <f t="shared" si="4"/>
        <v>0</v>
      </c>
      <c r="K47" s="1670">
        <f t="shared" si="4"/>
        <v>51317</v>
      </c>
      <c r="L47" s="1670">
        <f>SUM(L44:L46)</f>
        <v>45493</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2400</v>
      </c>
      <c r="D49" s="481"/>
      <c r="E49" s="481">
        <v>8458</v>
      </c>
      <c r="F49" s="481">
        <v>513</v>
      </c>
      <c r="G49" s="481"/>
      <c r="H49" s="481">
        <v>1275</v>
      </c>
      <c r="I49" s="467"/>
      <c r="J49" s="467"/>
      <c r="K49" s="1672">
        <f>SUM(C49:J49)</f>
        <v>12646</v>
      </c>
      <c r="L49" s="481">
        <v>8715</v>
      </c>
    </row>
    <row r="50" spans="1:14" x14ac:dyDescent="0.2">
      <c r="A50" s="1504" t="s">
        <v>818</v>
      </c>
      <c r="B50" s="614">
        <v>2320</v>
      </c>
      <c r="C50" s="466">
        <v>4854</v>
      </c>
      <c r="D50" s="466">
        <v>231</v>
      </c>
      <c r="E50" s="466"/>
      <c r="F50" s="466">
        <v>25</v>
      </c>
      <c r="G50" s="466"/>
      <c r="H50" s="466"/>
      <c r="I50" s="467"/>
      <c r="J50" s="467"/>
      <c r="K50" s="1672">
        <f>SUM(C50:J50)</f>
        <v>5110</v>
      </c>
      <c r="L50" s="466">
        <v>5254</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7254</v>
      </c>
      <c r="D53" s="1670">
        <f t="shared" ref="D53:L53" si="5">SUM(D49:D52)</f>
        <v>231</v>
      </c>
      <c r="E53" s="1670">
        <f t="shared" si="5"/>
        <v>8458</v>
      </c>
      <c r="F53" s="1670">
        <f t="shared" si="5"/>
        <v>538</v>
      </c>
      <c r="G53" s="1670">
        <f t="shared" si="5"/>
        <v>0</v>
      </c>
      <c r="H53" s="1670">
        <f t="shared" si="5"/>
        <v>1275</v>
      </c>
      <c r="I53" s="1670">
        <f t="shared" si="5"/>
        <v>0</v>
      </c>
      <c r="J53" s="1670">
        <f t="shared" si="5"/>
        <v>0</v>
      </c>
      <c r="K53" s="1670">
        <f t="shared" si="5"/>
        <v>17756</v>
      </c>
      <c r="L53" s="1670">
        <f t="shared" si="5"/>
        <v>13969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98853</v>
      </c>
      <c r="D55" s="481">
        <v>3621</v>
      </c>
      <c r="E55" s="481"/>
      <c r="F55" s="481"/>
      <c r="G55" s="481"/>
      <c r="H55" s="481"/>
      <c r="I55" s="467"/>
      <c r="J55" s="467"/>
      <c r="K55" s="1672">
        <f>SUM(C55:J55)</f>
        <v>102474</v>
      </c>
      <c r="L55" s="481">
        <v>102700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98853</v>
      </c>
      <c r="D57" s="1674">
        <f t="shared" ref="D57:K57" si="6">SUM(D55:D56)</f>
        <v>3621</v>
      </c>
      <c r="E57" s="1674">
        <f t="shared" si="6"/>
        <v>0</v>
      </c>
      <c r="F57" s="1674">
        <f t="shared" si="6"/>
        <v>0</v>
      </c>
      <c r="G57" s="1674">
        <f t="shared" si="6"/>
        <v>0</v>
      </c>
      <c r="H57" s="1674">
        <f t="shared" si="6"/>
        <v>0</v>
      </c>
      <c r="I57" s="1674">
        <f t="shared" si="6"/>
        <v>0</v>
      </c>
      <c r="J57" s="1674">
        <f t="shared" si="6"/>
        <v>0</v>
      </c>
      <c r="K57" s="1674">
        <f t="shared" si="6"/>
        <v>102474</v>
      </c>
      <c r="L57" s="1670">
        <f>SUM(L55:L56)</f>
        <v>102700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5641</v>
      </c>
      <c r="D59" s="481"/>
      <c r="E59" s="481">
        <v>638</v>
      </c>
      <c r="F59" s="481">
        <v>939</v>
      </c>
      <c r="G59" s="481"/>
      <c r="H59" s="481"/>
      <c r="I59" s="467"/>
      <c r="J59" s="467"/>
      <c r="K59" s="1672">
        <f t="shared" ref="K59:K64" si="7">SUM(C59:J59)</f>
        <v>7218</v>
      </c>
      <c r="L59" s="481">
        <v>7100</v>
      </c>
      <c r="M59" s="609"/>
      <c r="N59" s="609"/>
    </row>
    <row r="60" spans="1:14" s="343" customFormat="1" x14ac:dyDescent="0.2">
      <c r="A60" s="1504" t="s">
        <v>463</v>
      </c>
      <c r="B60" s="614">
        <v>2520</v>
      </c>
      <c r="C60" s="466"/>
      <c r="D60" s="466"/>
      <c r="E60" s="466">
        <v>9000</v>
      </c>
      <c r="F60" s="466"/>
      <c r="G60" s="466"/>
      <c r="H60" s="466"/>
      <c r="I60" s="467"/>
      <c r="J60" s="467"/>
      <c r="K60" s="1672">
        <f t="shared" si="7"/>
        <v>9000</v>
      </c>
      <c r="L60" s="466">
        <v>9000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26936</v>
      </c>
      <c r="D63" s="466"/>
      <c r="E63" s="466">
        <v>382</v>
      </c>
      <c r="F63" s="466">
        <v>35121</v>
      </c>
      <c r="G63" s="466"/>
      <c r="H63" s="466"/>
      <c r="I63" s="467"/>
      <c r="J63" s="467"/>
      <c r="K63" s="1672">
        <f t="shared" si="7"/>
        <v>62439</v>
      </c>
      <c r="L63" s="466">
        <v>62491</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32577</v>
      </c>
      <c r="D65" s="1670">
        <f t="shared" ref="D65:L65" si="8">SUM(D59:D64)</f>
        <v>0</v>
      </c>
      <c r="E65" s="1670">
        <f t="shared" si="8"/>
        <v>10020</v>
      </c>
      <c r="F65" s="1670">
        <f t="shared" si="8"/>
        <v>36060</v>
      </c>
      <c r="G65" s="1670">
        <f t="shared" si="8"/>
        <v>0</v>
      </c>
      <c r="H65" s="1670">
        <f t="shared" si="8"/>
        <v>0</v>
      </c>
      <c r="I65" s="1670">
        <f t="shared" si="8"/>
        <v>0</v>
      </c>
      <c r="J65" s="1670">
        <f t="shared" si="8"/>
        <v>0</v>
      </c>
      <c r="K65" s="1670">
        <f t="shared" si="8"/>
        <v>78657</v>
      </c>
      <c r="L65" s="1670">
        <f t="shared" si="8"/>
        <v>78591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v>3150</v>
      </c>
      <c r="D69" s="466"/>
      <c r="E69" s="466"/>
      <c r="F69" s="466"/>
      <c r="G69" s="466"/>
      <c r="H69" s="466"/>
      <c r="I69" s="467"/>
      <c r="J69" s="467"/>
      <c r="K69" s="1672">
        <f>SUM(C69:J69)</f>
        <v>3150</v>
      </c>
      <c r="L69" s="466">
        <v>3150</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3150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3150</v>
      </c>
      <c r="L72" s="1670">
        <f>SUM(L67:L71)</f>
        <v>3150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170038</v>
      </c>
      <c r="D74" s="1677">
        <f t="shared" ref="D74:K74" si="10">SUM(D42,D47,D53,D57,D65,D72,D73)</f>
        <v>3854</v>
      </c>
      <c r="E74" s="1677">
        <f t="shared" si="10"/>
        <v>43399</v>
      </c>
      <c r="F74" s="1677">
        <f t="shared" si="10"/>
        <v>49468</v>
      </c>
      <c r="G74" s="1677">
        <f t="shared" si="10"/>
        <v>0</v>
      </c>
      <c r="H74" s="1677">
        <f t="shared" si="10"/>
        <v>1275</v>
      </c>
      <c r="I74" s="1677">
        <f t="shared" si="10"/>
        <v>11187</v>
      </c>
      <c r="J74" s="1677">
        <f t="shared" si="10"/>
        <v>0</v>
      </c>
      <c r="K74" s="1677">
        <f t="shared" si="10"/>
        <v>279221</v>
      </c>
      <c r="L74" s="1677">
        <f>SUM(L42,L47,L53,L57,L65,L72,L73)</f>
        <v>269768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v>1928</v>
      </c>
      <c r="I83" s="477"/>
      <c r="J83" s="477"/>
      <c r="K83" s="1671">
        <f t="shared" si="11"/>
        <v>1928</v>
      </c>
      <c r="L83" s="466">
        <v>1928</v>
      </c>
    </row>
    <row r="84" spans="1:12" ht="13.5" thickBot="1" x14ac:dyDescent="0.25">
      <c r="A84" s="1668" t="s">
        <v>1485</v>
      </c>
      <c r="B84" s="1678">
        <v>4100</v>
      </c>
      <c r="C84" s="616"/>
      <c r="D84" s="616"/>
      <c r="E84" s="1670">
        <f>SUM(E78:E83)</f>
        <v>0</v>
      </c>
      <c r="F84" s="616"/>
      <c r="G84" s="616"/>
      <c r="H84" s="1670">
        <f>SUM(H78:H83)</f>
        <v>1928</v>
      </c>
      <c r="I84" s="477"/>
      <c r="J84" s="477"/>
      <c r="K84" s="1670">
        <f>SUM(K78:K83)</f>
        <v>1928</v>
      </c>
      <c r="L84" s="1670">
        <f>SUM(L78:L83)</f>
        <v>1928</v>
      </c>
    </row>
    <row r="85" spans="1:12" ht="12.75" customHeight="1" thickTop="1" thickBot="1" x14ac:dyDescent="0.25">
      <c r="A85" s="1511" t="s">
        <v>255</v>
      </c>
      <c r="B85" s="635">
        <v>4210</v>
      </c>
      <c r="C85" s="616"/>
      <c r="D85" s="616"/>
      <c r="E85" s="636"/>
      <c r="F85" s="616"/>
      <c r="G85" s="616"/>
      <c r="H85" s="535">
        <v>324645</v>
      </c>
      <c r="I85" s="477"/>
      <c r="J85" s="477"/>
      <c r="K85" s="1677">
        <f>H85</f>
        <v>324645</v>
      </c>
      <c r="L85" s="530">
        <v>330000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7000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324645</v>
      </c>
      <c r="I92" s="477"/>
      <c r="J92" s="477"/>
      <c r="K92" s="1677">
        <f t="shared" si="12"/>
        <v>324645</v>
      </c>
      <c r="L92" s="1670">
        <f>SUM(L85:L91)</f>
        <v>337000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326573</v>
      </c>
      <c r="I102" s="477"/>
      <c r="J102" s="477"/>
      <c r="K102" s="1677">
        <f>SUM(K84,K92,K100,K101)</f>
        <v>326573</v>
      </c>
      <c r="L102" s="1677">
        <f>SUM(L84,L92,L100,L101)</f>
        <v>338928</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726610</v>
      </c>
      <c r="D114" s="1670">
        <f t="shared" ref="D114:K114" si="13">SUM(D33,D74,D75,D102,D112,D113)</f>
        <v>21217</v>
      </c>
      <c r="E114" s="1670">
        <f t="shared" si="13"/>
        <v>68995</v>
      </c>
      <c r="F114" s="1670">
        <f t="shared" si="13"/>
        <v>88342</v>
      </c>
      <c r="G114" s="1670">
        <f t="shared" si="13"/>
        <v>0</v>
      </c>
      <c r="H114" s="1670">
        <f>SUM(H33,H74,H75,H102,H112,H113)</f>
        <v>328862</v>
      </c>
      <c r="I114" s="1670">
        <f t="shared" si="13"/>
        <v>18111</v>
      </c>
      <c r="J114" s="1670">
        <f t="shared" si="13"/>
        <v>0</v>
      </c>
      <c r="K114" s="1670">
        <f t="shared" si="13"/>
        <v>1252137</v>
      </c>
      <c r="L114" s="1670">
        <f>SUM(L33,L74,L75,L102,L112,L113)</f>
        <v>1249848</v>
      </c>
    </row>
    <row r="115" spans="1:14" ht="13.5" thickTop="1" x14ac:dyDescent="0.2">
      <c r="A115" s="2158" t="s">
        <v>996</v>
      </c>
      <c r="B115" s="2159"/>
      <c r="C115" s="618"/>
      <c r="D115" s="618"/>
      <c r="E115" s="618"/>
      <c r="F115" s="618"/>
      <c r="G115" s="618"/>
      <c r="H115" s="618"/>
      <c r="I115" s="618"/>
      <c r="J115" s="618"/>
      <c r="K115" s="1684">
        <f>'Revenues 9-14'!C268-'Expenditures 15-22'!K114</f>
        <v>74459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32665</v>
      </c>
      <c r="D124" s="466"/>
      <c r="E124" s="466">
        <v>8996</v>
      </c>
      <c r="F124" s="466">
        <v>27252</v>
      </c>
      <c r="G124" s="466"/>
      <c r="H124" s="466"/>
      <c r="I124" s="467"/>
      <c r="J124" s="467"/>
      <c r="K124" s="1670">
        <f>SUM(C124:J124)</f>
        <v>68913</v>
      </c>
      <c r="L124" s="466">
        <v>70770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32665</v>
      </c>
      <c r="D127" s="1670">
        <f t="shared" ref="D127:L127" si="14">SUM(D122:D126)</f>
        <v>0</v>
      </c>
      <c r="E127" s="1670">
        <f t="shared" si="14"/>
        <v>8996</v>
      </c>
      <c r="F127" s="1670">
        <f t="shared" si="14"/>
        <v>27252</v>
      </c>
      <c r="G127" s="1670">
        <f t="shared" si="14"/>
        <v>0</v>
      </c>
      <c r="H127" s="1670">
        <f t="shared" si="14"/>
        <v>0</v>
      </c>
      <c r="I127" s="1670">
        <f t="shared" si="14"/>
        <v>0</v>
      </c>
      <c r="J127" s="1670">
        <f t="shared" si="14"/>
        <v>0</v>
      </c>
      <c r="K127" s="1670">
        <f t="shared" si="14"/>
        <v>68913</v>
      </c>
      <c r="L127" s="1670">
        <f t="shared" si="14"/>
        <v>70770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32665</v>
      </c>
      <c r="D129" s="1677">
        <f t="shared" ref="D129:L129" si="15">SUM(D120,D127,D128)</f>
        <v>0</v>
      </c>
      <c r="E129" s="1677">
        <f t="shared" si="15"/>
        <v>8996</v>
      </c>
      <c r="F129" s="1677">
        <f t="shared" si="15"/>
        <v>27252</v>
      </c>
      <c r="G129" s="1677">
        <f t="shared" si="15"/>
        <v>0</v>
      </c>
      <c r="H129" s="1677">
        <f t="shared" si="15"/>
        <v>0</v>
      </c>
      <c r="I129" s="1677">
        <f t="shared" si="15"/>
        <v>0</v>
      </c>
      <c r="J129" s="1677">
        <f t="shared" si="15"/>
        <v>0</v>
      </c>
      <c r="K129" s="1677">
        <f t="shared" si="15"/>
        <v>68913</v>
      </c>
      <c r="L129" s="1677">
        <f t="shared" si="15"/>
        <v>70770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32665</v>
      </c>
      <c r="D151" s="1670">
        <f t="shared" ref="D151:K151" si="16">SUM(D129,D130,D139,D149,D150)</f>
        <v>0</v>
      </c>
      <c r="E151" s="1670">
        <f t="shared" si="16"/>
        <v>8996</v>
      </c>
      <c r="F151" s="1670">
        <f t="shared" si="16"/>
        <v>27252</v>
      </c>
      <c r="G151" s="1670">
        <f t="shared" si="16"/>
        <v>0</v>
      </c>
      <c r="H151" s="1670">
        <f t="shared" si="16"/>
        <v>0</v>
      </c>
      <c r="I151" s="1670">
        <f t="shared" si="16"/>
        <v>0</v>
      </c>
      <c r="J151" s="1670">
        <f t="shared" si="16"/>
        <v>0</v>
      </c>
      <c r="K151" s="1670">
        <f t="shared" si="16"/>
        <v>68913</v>
      </c>
      <c r="L151" s="1670">
        <f>SUM(L129,L130,L139,L149,L150)</f>
        <v>70770</v>
      </c>
    </row>
    <row r="152" spans="1:14" ht="12.75" customHeight="1" thickTop="1" x14ac:dyDescent="0.2">
      <c r="A152" s="2178" t="s">
        <v>1178</v>
      </c>
      <c r="B152" s="2179"/>
      <c r="C152" s="618"/>
      <c r="D152" s="618"/>
      <c r="E152" s="618"/>
      <c r="F152" s="618"/>
      <c r="G152" s="618"/>
      <c r="H152" s="618"/>
      <c r="I152" s="618"/>
      <c r="J152" s="616"/>
      <c r="K152" s="1684">
        <f>'Revenues 9-14'!D268-'Expenditures 15-22'!K151</f>
        <v>-7186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20787</v>
      </c>
      <c r="I169" s="616"/>
      <c r="J169" s="616"/>
      <c r="K169" s="1671">
        <f>SUM(C169:H169)</f>
        <v>20787</v>
      </c>
      <c r="L169" s="656">
        <v>21000</v>
      </c>
    </row>
    <row r="170" spans="1:14" ht="33.75" customHeight="1" x14ac:dyDescent="0.2">
      <c r="A170" s="669" t="s">
        <v>1670</v>
      </c>
      <c r="B170" s="671" t="s">
        <v>31</v>
      </c>
      <c r="C170" s="616"/>
      <c r="D170" s="616"/>
      <c r="E170" s="616"/>
      <c r="F170" s="616"/>
      <c r="G170" s="616"/>
      <c r="H170" s="569">
        <v>56500</v>
      </c>
      <c r="I170" s="616"/>
      <c r="J170" s="616"/>
      <c r="K170" s="1671">
        <f>SUM(C170:J170)</f>
        <v>56500</v>
      </c>
      <c r="L170" s="569">
        <v>56500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77287</v>
      </c>
      <c r="I172" s="638"/>
      <c r="J172" s="616"/>
      <c r="K172" s="1677">
        <f>SUM(K168,K169,K170,K171)</f>
        <v>77287</v>
      </c>
      <c r="L172" s="1677">
        <f>SUM(L168,L169,L170,L171)</f>
        <v>77500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77287</v>
      </c>
      <c r="I174" s="638"/>
      <c r="J174" s="616"/>
      <c r="K174" s="1677">
        <f>SUM(K160,K172,K173)</f>
        <v>77287</v>
      </c>
      <c r="L174" s="1677">
        <f>SUM(L160,L172,L173)</f>
        <v>77500</v>
      </c>
    </row>
    <row r="175" spans="1:14" ht="13.5" thickTop="1" x14ac:dyDescent="0.2">
      <c r="A175" s="2158" t="s">
        <v>996</v>
      </c>
      <c r="B175" s="2159"/>
      <c r="C175" s="616"/>
      <c r="D175" s="616"/>
      <c r="E175" s="616"/>
      <c r="F175" s="616"/>
      <c r="G175" s="616"/>
      <c r="H175" s="618"/>
      <c r="I175" s="616"/>
      <c r="J175" s="616"/>
      <c r="K175" s="1684">
        <f>'Revenues 9-14'!E268-'Expenditures 15-22'!K174</f>
        <v>-22031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29826</v>
      </c>
      <c r="D182" s="466">
        <v>192</v>
      </c>
      <c r="E182" s="466">
        <v>11214</v>
      </c>
      <c r="F182" s="466">
        <v>13083</v>
      </c>
      <c r="G182" s="466"/>
      <c r="H182" s="466"/>
      <c r="I182" s="467"/>
      <c r="J182" s="467"/>
      <c r="K182" s="1671">
        <f>SUM(C182:J182)</f>
        <v>54315</v>
      </c>
      <c r="L182" s="466">
        <v>54924</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29826</v>
      </c>
      <c r="D184" s="1677">
        <f t="shared" ref="D184:J184" si="17">SUM(D180,D182,D183)</f>
        <v>192</v>
      </c>
      <c r="E184" s="1677">
        <f t="shared" si="17"/>
        <v>11214</v>
      </c>
      <c r="F184" s="1677">
        <f t="shared" si="17"/>
        <v>13083</v>
      </c>
      <c r="G184" s="1677">
        <f t="shared" si="17"/>
        <v>0</v>
      </c>
      <c r="H184" s="1677">
        <f t="shared" si="17"/>
        <v>0</v>
      </c>
      <c r="I184" s="1677">
        <f t="shared" si="17"/>
        <v>0</v>
      </c>
      <c r="J184" s="1677">
        <f t="shared" si="17"/>
        <v>0</v>
      </c>
      <c r="K184" s="1677">
        <f>SUM(K180,K182,K183)</f>
        <v>54315</v>
      </c>
      <c r="L184" s="1677">
        <f>SUM(L180, L182:L183)</f>
        <v>54924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29826</v>
      </c>
      <c r="D210" s="1670">
        <f>SUM(D184,D185)</f>
        <v>192</v>
      </c>
      <c r="E210" s="1670">
        <f>SUM(E184,E185,E196)</f>
        <v>11214</v>
      </c>
      <c r="F210" s="1670">
        <f>SUM(F184,F185)</f>
        <v>13083</v>
      </c>
      <c r="G210" s="1670">
        <f>SUM(G184,G185)</f>
        <v>0</v>
      </c>
      <c r="H210" s="1670">
        <f>SUM(H184,H185,H196,H208,H209)</f>
        <v>0</v>
      </c>
      <c r="I210" s="1670">
        <f>SUM(I184,I185)</f>
        <v>0</v>
      </c>
      <c r="J210" s="1670">
        <f>SUM(J184,J185)</f>
        <v>0</v>
      </c>
      <c r="K210" s="1671">
        <f>SUM(K184,K185,K196,K208,K209)</f>
        <v>54315</v>
      </c>
      <c r="L210" s="1670">
        <f>SUM(L184,L185,L196,L208,L209)</f>
        <v>54924</v>
      </c>
    </row>
    <row r="211" spans="1:14" ht="13.5" thickTop="1" x14ac:dyDescent="0.2">
      <c r="A211" s="2158" t="s">
        <v>996</v>
      </c>
      <c r="B211" s="2159"/>
      <c r="C211" s="618"/>
      <c r="D211" s="618"/>
      <c r="E211" s="618"/>
      <c r="F211" s="618"/>
      <c r="G211" s="618"/>
      <c r="H211" s="618"/>
      <c r="I211" s="616"/>
      <c r="J211" s="616"/>
      <c r="K211" s="1684">
        <f>'Revenues 9-14'!F268-'Expenditures 15-22'!K210</f>
        <v>12339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7064</v>
      </c>
      <c r="E215" s="616"/>
      <c r="F215" s="616"/>
      <c r="G215" s="616"/>
      <c r="H215" s="616"/>
      <c r="I215" s="616"/>
      <c r="J215" s="616"/>
      <c r="K215" s="1671">
        <f>D215</f>
        <v>7064</v>
      </c>
      <c r="L215" s="466">
        <v>9000</v>
      </c>
    </row>
    <row r="216" spans="1:14" x14ac:dyDescent="0.2">
      <c r="A216" s="1504" t="s">
        <v>163</v>
      </c>
      <c r="B216" s="614" t="s">
        <v>967</v>
      </c>
      <c r="C216" s="616"/>
      <c r="D216" s="467">
        <v>2938</v>
      </c>
      <c r="E216" s="616"/>
      <c r="F216" s="616"/>
      <c r="G216" s="616"/>
      <c r="H216" s="616"/>
      <c r="I216" s="616"/>
      <c r="J216" s="616"/>
      <c r="K216" s="1671">
        <f t="shared" ref="K216:K228" si="19">D216</f>
        <v>2938</v>
      </c>
      <c r="L216" s="466">
        <v>600</v>
      </c>
    </row>
    <row r="217" spans="1:14" x14ac:dyDescent="0.2">
      <c r="A217" s="1504" t="s">
        <v>164</v>
      </c>
      <c r="B217" s="614">
        <v>1200</v>
      </c>
      <c r="C217" s="616"/>
      <c r="D217" s="466">
        <v>3305</v>
      </c>
      <c r="E217" s="616"/>
      <c r="F217" s="616"/>
      <c r="G217" s="616"/>
      <c r="H217" s="616"/>
      <c r="I217" s="616"/>
      <c r="J217" s="616"/>
      <c r="K217" s="1671">
        <f t="shared" si="19"/>
        <v>3305</v>
      </c>
      <c r="L217" s="466">
        <v>3100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5194</v>
      </c>
      <c r="E219" s="616"/>
      <c r="F219" s="616"/>
      <c r="G219" s="616"/>
      <c r="H219" s="616"/>
      <c r="I219" s="616"/>
      <c r="J219" s="616"/>
      <c r="K219" s="1671">
        <f t="shared" si="19"/>
        <v>5194</v>
      </c>
      <c r="L219" s="466">
        <v>4913</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445</v>
      </c>
      <c r="E223" s="616"/>
      <c r="F223" s="616"/>
      <c r="G223" s="616"/>
      <c r="H223" s="616"/>
      <c r="I223" s="616"/>
      <c r="J223" s="616"/>
      <c r="K223" s="1671">
        <f t="shared" si="19"/>
        <v>445</v>
      </c>
      <c r="L223" s="466">
        <v>435</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18946</v>
      </c>
      <c r="E229" s="616"/>
      <c r="F229" s="616"/>
      <c r="G229" s="616"/>
      <c r="H229" s="616"/>
      <c r="I229" s="616"/>
      <c r="J229" s="616"/>
      <c r="K229" s="1670">
        <f>SUM(K215:K228)</f>
        <v>18946</v>
      </c>
      <c r="L229" s="1670">
        <f>SUM(L215:L228)</f>
        <v>18048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134</v>
      </c>
      <c r="E234" s="616"/>
      <c r="F234" s="616"/>
      <c r="G234" s="616"/>
      <c r="H234" s="616"/>
      <c r="I234" s="616"/>
      <c r="J234" s="616"/>
      <c r="K234" s="1671">
        <f t="shared" si="20"/>
        <v>134</v>
      </c>
      <c r="L234" s="466">
        <v>135</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134</v>
      </c>
      <c r="E238" s="616"/>
      <c r="F238" s="616"/>
      <c r="G238" s="616"/>
      <c r="H238" s="616"/>
      <c r="I238" s="616"/>
      <c r="J238" s="616"/>
      <c r="K238" s="1670">
        <f>SUM(K232:K237)</f>
        <v>134</v>
      </c>
      <c r="L238" s="1670">
        <f>SUM(L232:L237)</f>
        <v>135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3</v>
      </c>
      <c r="E240" s="616"/>
      <c r="F240" s="616"/>
      <c r="G240" s="616"/>
      <c r="H240" s="616"/>
      <c r="I240" s="616"/>
      <c r="J240" s="616"/>
      <c r="K240" s="1672">
        <f>D240</f>
        <v>3</v>
      </c>
      <c r="L240" s="481">
        <v>10</v>
      </c>
    </row>
    <row r="241" spans="1:12" x14ac:dyDescent="0.2">
      <c r="A241" s="1504" t="s">
        <v>815</v>
      </c>
      <c r="B241" s="614">
        <v>2220</v>
      </c>
      <c r="C241" s="616"/>
      <c r="D241" s="466">
        <v>3898</v>
      </c>
      <c r="E241" s="616"/>
      <c r="F241" s="616"/>
      <c r="G241" s="616"/>
      <c r="H241" s="616"/>
      <c r="I241" s="616"/>
      <c r="J241" s="616"/>
      <c r="K241" s="1672">
        <f>D241</f>
        <v>3898</v>
      </c>
      <c r="L241" s="466">
        <v>4000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3901</v>
      </c>
      <c r="E243" s="616"/>
      <c r="F243" s="616"/>
      <c r="G243" s="616"/>
      <c r="H243" s="616"/>
      <c r="I243" s="616"/>
      <c r="J243" s="616"/>
      <c r="K243" s="1670">
        <f>SUM(K240:K242)</f>
        <v>3901</v>
      </c>
      <c r="L243" s="1670">
        <f>SUM(L240:L242)</f>
        <v>4010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184</v>
      </c>
      <c r="E245" s="616"/>
      <c r="F245" s="616"/>
      <c r="G245" s="616"/>
      <c r="H245" s="616"/>
      <c r="I245" s="616"/>
      <c r="J245" s="616"/>
      <c r="K245" s="1672">
        <f>D245</f>
        <v>184</v>
      </c>
      <c r="L245" s="481">
        <v>185</v>
      </c>
    </row>
    <row r="246" spans="1:12" x14ac:dyDescent="0.2">
      <c r="A246" s="1504" t="s">
        <v>818</v>
      </c>
      <c r="B246" s="614">
        <v>2320</v>
      </c>
      <c r="C246" s="616"/>
      <c r="D246" s="466">
        <v>67</v>
      </c>
      <c r="E246" s="616"/>
      <c r="F246" s="616"/>
      <c r="G246" s="616"/>
      <c r="H246" s="616"/>
      <c r="I246" s="616"/>
      <c r="J246" s="616"/>
      <c r="K246" s="1672">
        <f t="shared" ref="K246:K256" si="21">D246</f>
        <v>67</v>
      </c>
      <c r="L246" s="466">
        <v>70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706</v>
      </c>
      <c r="E254" s="616"/>
      <c r="F254" s="616"/>
      <c r="G254" s="616"/>
      <c r="H254" s="616"/>
      <c r="I254" s="616"/>
      <c r="J254" s="616"/>
      <c r="K254" s="1672">
        <f t="shared" si="21"/>
        <v>706</v>
      </c>
      <c r="L254" s="466">
        <v>720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957</v>
      </c>
      <c r="E257" s="616"/>
      <c r="F257" s="616"/>
      <c r="G257" s="616"/>
      <c r="H257" s="616"/>
      <c r="I257" s="616"/>
      <c r="J257" s="616"/>
      <c r="K257" s="1670">
        <f>SUM(K245:K256)</f>
        <v>957</v>
      </c>
      <c r="L257" s="1670">
        <f>SUM(L245:L256)</f>
        <v>975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4430</v>
      </c>
      <c r="E259" s="616"/>
      <c r="F259" s="616"/>
      <c r="G259" s="616"/>
      <c r="H259" s="616"/>
      <c r="I259" s="616"/>
      <c r="J259" s="616"/>
      <c r="K259" s="1672">
        <f>D259</f>
        <v>4430</v>
      </c>
      <c r="L259" s="481">
        <v>4550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4430</v>
      </c>
      <c r="E261" s="616"/>
      <c r="F261" s="616"/>
      <c r="G261" s="616"/>
      <c r="H261" s="616"/>
      <c r="I261" s="616"/>
      <c r="J261" s="616"/>
      <c r="K261" s="1670">
        <f>SUM(K259:K260)</f>
        <v>4430</v>
      </c>
      <c r="L261" s="1670">
        <f>SUM(L259:L260)</f>
        <v>4550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842</v>
      </c>
      <c r="E263" s="616"/>
      <c r="F263" s="616"/>
      <c r="G263" s="616"/>
      <c r="H263" s="616"/>
      <c r="I263" s="616"/>
      <c r="J263" s="616"/>
      <c r="K263" s="1672">
        <f>D263</f>
        <v>842</v>
      </c>
      <c r="L263" s="481">
        <v>850</v>
      </c>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4864</v>
      </c>
      <c r="E266" s="616"/>
      <c r="F266" s="616"/>
      <c r="G266" s="616"/>
      <c r="H266" s="616"/>
      <c r="I266" s="616"/>
      <c r="J266" s="616"/>
      <c r="K266" s="1672">
        <f t="shared" si="22"/>
        <v>4864</v>
      </c>
      <c r="L266" s="466">
        <v>4900</v>
      </c>
    </row>
    <row r="267" spans="1:14" x14ac:dyDescent="0.2">
      <c r="A267" s="1504" t="s">
        <v>953</v>
      </c>
      <c r="B267" s="614">
        <v>2550</v>
      </c>
      <c r="C267" s="616"/>
      <c r="D267" s="466">
        <v>3660</v>
      </c>
      <c r="E267" s="616"/>
      <c r="F267" s="616"/>
      <c r="G267" s="616"/>
      <c r="H267" s="616"/>
      <c r="I267" s="616"/>
      <c r="J267" s="616"/>
      <c r="K267" s="1672">
        <f t="shared" si="22"/>
        <v>3660</v>
      </c>
      <c r="L267" s="466">
        <v>3650</v>
      </c>
    </row>
    <row r="268" spans="1:14" x14ac:dyDescent="0.2">
      <c r="A268" s="1504" t="s">
        <v>100</v>
      </c>
      <c r="B268" s="614">
        <v>2560</v>
      </c>
      <c r="C268" s="616"/>
      <c r="D268" s="466">
        <v>4014</v>
      </c>
      <c r="E268" s="616"/>
      <c r="F268" s="616"/>
      <c r="G268" s="616"/>
      <c r="H268" s="616"/>
      <c r="I268" s="616"/>
      <c r="J268" s="616"/>
      <c r="K268" s="1672">
        <f t="shared" si="22"/>
        <v>4014</v>
      </c>
      <c r="L268" s="466">
        <v>4020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13380</v>
      </c>
      <c r="E270" s="616"/>
      <c r="F270" s="616"/>
      <c r="G270" s="616"/>
      <c r="H270" s="616"/>
      <c r="I270" s="616"/>
      <c r="J270" s="616"/>
      <c r="K270" s="1670">
        <f>SUM(K263:K269)</f>
        <v>13380</v>
      </c>
      <c r="L270" s="1670">
        <f>SUM(L263:L269)</f>
        <v>13420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v>470</v>
      </c>
      <c r="E274" s="616"/>
      <c r="F274" s="616"/>
      <c r="G274" s="616"/>
      <c r="H274" s="616"/>
      <c r="I274" s="616"/>
      <c r="J274" s="616"/>
      <c r="K274" s="1672">
        <f>D274</f>
        <v>470</v>
      </c>
      <c r="L274" s="466">
        <v>470</v>
      </c>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470</v>
      </c>
      <c r="E277" s="616"/>
      <c r="F277" s="616"/>
      <c r="G277" s="616"/>
      <c r="H277" s="616"/>
      <c r="I277" s="616"/>
      <c r="J277" s="616"/>
      <c r="K277" s="1670">
        <f>SUM(K272:K276)</f>
        <v>470</v>
      </c>
      <c r="L277" s="1670">
        <f>SUM(L272:L276)</f>
        <v>470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23272</v>
      </c>
      <c r="E279" s="616"/>
      <c r="F279" s="616"/>
      <c r="G279" s="616"/>
      <c r="H279" s="616"/>
      <c r="I279" s="616"/>
      <c r="J279" s="616"/>
      <c r="K279" s="1677">
        <f>SUM(K238,K243,K257,K261,K270,K277,K278)</f>
        <v>23272</v>
      </c>
      <c r="L279" s="1677">
        <f>SUM(L238,L243,L257,L261,L270,L277,L278)</f>
        <v>23560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42218</v>
      </c>
      <c r="E295" s="616"/>
      <c r="F295" s="616"/>
      <c r="G295" s="616"/>
      <c r="H295" s="1670">
        <f>H293</f>
        <v>0</v>
      </c>
      <c r="I295" s="616"/>
      <c r="J295" s="616"/>
      <c r="K295" s="1670">
        <f>SUM(K229,K279,K280,K285,K293,K294)</f>
        <v>42218</v>
      </c>
      <c r="L295" s="1670">
        <f>SUM(L229,L279,L280,L285,L293,L294)</f>
        <v>41608</v>
      </c>
    </row>
    <row r="296" spans="1:14" ht="13.5" thickTop="1" x14ac:dyDescent="0.2">
      <c r="A296" s="2158" t="s">
        <v>996</v>
      </c>
      <c r="B296" s="2159"/>
      <c r="C296" s="616"/>
      <c r="D296" s="618"/>
      <c r="E296" s="616"/>
      <c r="F296" s="616"/>
      <c r="G296" s="616"/>
      <c r="H296" s="687"/>
      <c r="I296" s="616"/>
      <c r="J296" s="616"/>
      <c r="K296" s="1684">
        <f>'Revenues 9-14'!G268-'Expenditures 15-22'!K295</f>
        <v>-7225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68993</v>
      </c>
      <c r="F301" s="466">
        <v>538</v>
      </c>
      <c r="G301" s="466"/>
      <c r="H301" s="466"/>
      <c r="I301" s="467">
        <v>2800</v>
      </c>
      <c r="J301" s="467"/>
      <c r="K301" s="1671">
        <f>SUM(C301:J301)</f>
        <v>72331</v>
      </c>
      <c r="L301" s="467">
        <v>60000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68993</v>
      </c>
      <c r="F303" s="1677">
        <f t="shared" si="23"/>
        <v>538</v>
      </c>
      <c r="G303" s="1677">
        <f t="shared" si="23"/>
        <v>0</v>
      </c>
      <c r="H303" s="1677">
        <f t="shared" si="23"/>
        <v>0</v>
      </c>
      <c r="I303" s="1677">
        <f t="shared" si="23"/>
        <v>2800</v>
      </c>
      <c r="J303" s="1677">
        <f t="shared" si="23"/>
        <v>0</v>
      </c>
      <c r="K303" s="1677">
        <f t="shared" si="23"/>
        <v>72331</v>
      </c>
      <c r="L303" s="1677">
        <f t="shared" si="23"/>
        <v>60000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68993</v>
      </c>
      <c r="F312" s="1670">
        <f>SUM(F303)</f>
        <v>538</v>
      </c>
      <c r="G312" s="1670">
        <f>SUM(G303)</f>
        <v>0</v>
      </c>
      <c r="H312" s="1670">
        <f>SUM(H303,H310)</f>
        <v>0</v>
      </c>
      <c r="I312" s="1670">
        <f>SUM(I303)</f>
        <v>2800</v>
      </c>
      <c r="J312" s="1670">
        <f>SUM(J303)</f>
        <v>0</v>
      </c>
      <c r="K312" s="1670">
        <f>SUM(K303,K310,K311)</f>
        <v>72331</v>
      </c>
      <c r="L312" s="1670">
        <f>SUM(L303,L310,L311)</f>
        <v>60000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-4285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v>100</v>
      </c>
      <c r="M320" s="665"/>
      <c r="N320" s="665"/>
    </row>
    <row r="321" spans="1:14" s="674" customFormat="1" x14ac:dyDescent="0.2">
      <c r="A321" s="1519" t="s">
        <v>300</v>
      </c>
      <c r="B321" s="697" t="s">
        <v>283</v>
      </c>
      <c r="C321" s="467"/>
      <c r="D321" s="467"/>
      <c r="E321" s="467">
        <v>83</v>
      </c>
      <c r="F321" s="467"/>
      <c r="G321" s="467"/>
      <c r="H321" s="467"/>
      <c r="I321" s="467"/>
      <c r="J321" s="467"/>
      <c r="K321" s="1671">
        <f t="shared" si="24"/>
        <v>83</v>
      </c>
      <c r="L321" s="467">
        <v>600</v>
      </c>
      <c r="M321" s="665"/>
      <c r="N321" s="665"/>
    </row>
    <row r="322" spans="1:14" s="674" customFormat="1" x14ac:dyDescent="0.2">
      <c r="A322" s="1519" t="s">
        <v>238</v>
      </c>
      <c r="B322" s="697" t="s">
        <v>284</v>
      </c>
      <c r="C322" s="467"/>
      <c r="D322" s="467"/>
      <c r="E322" s="467">
        <v>27000</v>
      </c>
      <c r="F322" s="467"/>
      <c r="G322" s="467"/>
      <c r="H322" s="467"/>
      <c r="I322" s="467"/>
      <c r="J322" s="467"/>
      <c r="K322" s="1671">
        <f t="shared" si="24"/>
        <v>27000</v>
      </c>
      <c r="L322" s="467">
        <v>34000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14453</v>
      </c>
      <c r="D325" s="467">
        <v>432</v>
      </c>
      <c r="E325" s="467">
        <v>6714</v>
      </c>
      <c r="F325" s="467"/>
      <c r="G325" s="467"/>
      <c r="H325" s="467"/>
      <c r="I325" s="467"/>
      <c r="J325" s="467"/>
      <c r="K325" s="1671">
        <f t="shared" si="24"/>
        <v>21599</v>
      </c>
      <c r="L325" s="467">
        <v>14750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125</v>
      </c>
      <c r="F327" s="467"/>
      <c r="G327" s="467"/>
      <c r="H327" s="467"/>
      <c r="I327" s="467"/>
      <c r="J327" s="467"/>
      <c r="K327" s="1671">
        <f t="shared" si="24"/>
        <v>125</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14453</v>
      </c>
      <c r="D330" s="1670">
        <f t="shared" ref="D330:J330" si="25">SUM(D319:D329)</f>
        <v>432</v>
      </c>
      <c r="E330" s="1670">
        <f t="shared" si="25"/>
        <v>33922</v>
      </c>
      <c r="F330" s="1670">
        <f t="shared" si="25"/>
        <v>0</v>
      </c>
      <c r="G330" s="1670">
        <f t="shared" si="25"/>
        <v>0</v>
      </c>
      <c r="H330" s="1670">
        <f t="shared" si="25"/>
        <v>0</v>
      </c>
      <c r="I330" s="1670">
        <f t="shared" si="25"/>
        <v>0</v>
      </c>
      <c r="J330" s="1670">
        <f t="shared" si="25"/>
        <v>0</v>
      </c>
      <c r="K330" s="1670">
        <f>SUM(K319:K329)</f>
        <v>48807</v>
      </c>
      <c r="L330" s="1670">
        <f>SUM(L319:L329)</f>
        <v>49450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14453</v>
      </c>
      <c r="D342" s="1670">
        <f>SUM(D330)</f>
        <v>432</v>
      </c>
      <c r="E342" s="1670">
        <f>SUM(E330)</f>
        <v>33922</v>
      </c>
      <c r="F342" s="1670">
        <f>SUM(F330)</f>
        <v>0</v>
      </c>
      <c r="G342" s="1670">
        <f>SUM(G330)</f>
        <v>0</v>
      </c>
      <c r="H342" s="1670">
        <f>SUM(H330,H334,H340)</f>
        <v>0</v>
      </c>
      <c r="I342" s="1670">
        <f>SUM(I330)</f>
        <v>0</v>
      </c>
      <c r="J342" s="1670">
        <f>SUM(J330)</f>
        <v>0</v>
      </c>
      <c r="K342" s="1670">
        <f>SUM(K330,K334,K340)</f>
        <v>48807</v>
      </c>
      <c r="L342" s="1677">
        <f>SUM(L330,L334,L340,L341)</f>
        <v>49450</v>
      </c>
    </row>
    <row r="343" spans="1:14" ht="12.75" customHeight="1" thickTop="1" x14ac:dyDescent="0.2">
      <c r="A343" s="2171" t="s">
        <v>996</v>
      </c>
      <c r="B343" s="2172"/>
      <c r="C343" s="616"/>
      <c r="D343" s="616"/>
      <c r="E343" s="616"/>
      <c r="F343" s="616"/>
      <c r="G343" s="616"/>
      <c r="H343" s="616"/>
      <c r="I343" s="616"/>
      <c r="J343" s="616"/>
      <c r="K343" s="1684">
        <f>'Revenues 9-14'!J268-'Expenditures 15-22'!K342</f>
        <v>8129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44376</v>
      </c>
      <c r="H348" s="466"/>
      <c r="I348" s="467"/>
      <c r="J348" s="467"/>
      <c r="K348" s="1671">
        <f>SUM(C348:J348)</f>
        <v>44376</v>
      </c>
      <c r="L348" s="466"/>
    </row>
    <row r="349" spans="1:14" x14ac:dyDescent="0.2">
      <c r="A349" s="1504" t="s">
        <v>197</v>
      </c>
      <c r="B349" s="614">
        <v>2540</v>
      </c>
      <c r="C349" s="466"/>
      <c r="D349" s="466"/>
      <c r="E349" s="466">
        <v>253576</v>
      </c>
      <c r="F349" s="466"/>
      <c r="G349" s="466"/>
      <c r="H349" s="466"/>
      <c r="I349" s="467"/>
      <c r="J349" s="467"/>
      <c r="K349" s="1671">
        <f>SUM(C349:J349)</f>
        <v>253576</v>
      </c>
      <c r="L349" s="466">
        <v>450000</v>
      </c>
    </row>
    <row r="350" spans="1:14" ht="12.75" customHeight="1" thickBot="1" x14ac:dyDescent="0.25">
      <c r="A350" s="1668" t="s">
        <v>719</v>
      </c>
      <c r="B350" s="1669" t="s">
        <v>35</v>
      </c>
      <c r="C350" s="1670">
        <f>SUM(C348:C349)</f>
        <v>0</v>
      </c>
      <c r="D350" s="1670">
        <f t="shared" ref="D350:L350" si="26">SUM(D348:D349)</f>
        <v>0</v>
      </c>
      <c r="E350" s="1670">
        <f t="shared" si="26"/>
        <v>253576</v>
      </c>
      <c r="F350" s="1670">
        <f t="shared" si="26"/>
        <v>0</v>
      </c>
      <c r="G350" s="1670">
        <f t="shared" si="26"/>
        <v>44376</v>
      </c>
      <c r="H350" s="1670">
        <f t="shared" si="26"/>
        <v>0</v>
      </c>
      <c r="I350" s="1670">
        <f t="shared" si="26"/>
        <v>0</v>
      </c>
      <c r="J350" s="1670">
        <f t="shared" si="26"/>
        <v>0</v>
      </c>
      <c r="K350" s="1670">
        <f t="shared" si="26"/>
        <v>297952</v>
      </c>
      <c r="L350" s="1670">
        <f t="shared" si="26"/>
        <v>450000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253576</v>
      </c>
      <c r="F352" s="1670">
        <f t="shared" si="27"/>
        <v>0</v>
      </c>
      <c r="G352" s="1670">
        <f t="shared" si="27"/>
        <v>44376</v>
      </c>
      <c r="H352" s="1670">
        <f t="shared" si="27"/>
        <v>0</v>
      </c>
      <c r="I352" s="1670">
        <f t="shared" si="27"/>
        <v>0</v>
      </c>
      <c r="J352" s="1670">
        <f t="shared" si="27"/>
        <v>0</v>
      </c>
      <c r="K352" s="1670">
        <f t="shared" si="27"/>
        <v>297952</v>
      </c>
      <c r="L352" s="1670">
        <f t="shared" si="27"/>
        <v>450000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253576</v>
      </c>
      <c r="F367" s="1670">
        <f t="shared" si="28"/>
        <v>0</v>
      </c>
      <c r="G367" s="1670">
        <f t="shared" si="28"/>
        <v>44376</v>
      </c>
      <c r="H367" s="1670">
        <f t="shared" si="28"/>
        <v>0</v>
      </c>
      <c r="I367" s="1670">
        <f t="shared" si="28"/>
        <v>0</v>
      </c>
      <c r="J367" s="1670">
        <f t="shared" si="28"/>
        <v>0</v>
      </c>
      <c r="K367" s="1670">
        <f t="shared" si="28"/>
        <v>297952</v>
      </c>
      <c r="L367" s="1670">
        <f t="shared" si="28"/>
        <v>450000</v>
      </c>
    </row>
    <row r="368" spans="1:14" ht="13.5" thickTop="1" x14ac:dyDescent="0.2">
      <c r="A368" s="2158" t="s">
        <v>996</v>
      </c>
      <c r="B368" s="2159"/>
      <c r="C368" s="654"/>
      <c r="D368" s="654"/>
      <c r="E368" s="626"/>
      <c r="F368" s="626"/>
      <c r="G368" s="626"/>
      <c r="H368" s="626"/>
      <c r="I368" s="626"/>
      <c r="J368" s="623"/>
      <c r="K368" s="1671">
        <f>'Revenues 9-14'!K268-'Expenditures 15-22'!K367</f>
        <v>-289397</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257855</v>
      </c>
      <c r="C4" s="1524"/>
      <c r="D4" s="1752">
        <f>B4-C4</f>
        <v>257855</v>
      </c>
      <c r="E4" s="1524"/>
      <c r="F4" s="1752">
        <f>E4-C4</f>
        <v>0</v>
      </c>
    </row>
    <row r="5" spans="1:6" ht="13.7" customHeight="1" x14ac:dyDescent="0.2">
      <c r="A5" s="715" t="s">
        <v>870</v>
      </c>
      <c r="B5" s="1750">
        <f>'Revenues 9-14'!D5</f>
        <v>61394</v>
      </c>
      <c r="C5" s="585"/>
      <c r="D5" s="1753">
        <f t="shared" ref="D5:D18" si="0">B5-C5</f>
        <v>61394</v>
      </c>
      <c r="E5" s="585"/>
      <c r="F5" s="1753">
        <f>E5-C5</f>
        <v>0</v>
      </c>
    </row>
    <row r="6" spans="1:6" ht="13.7" customHeight="1" x14ac:dyDescent="0.2">
      <c r="A6" s="715" t="s">
        <v>411</v>
      </c>
      <c r="B6" s="1750">
        <f>'Revenues 9-14'!E5</f>
        <v>55106</v>
      </c>
      <c r="C6" s="585"/>
      <c r="D6" s="1753">
        <f t="shared" si="0"/>
        <v>55106</v>
      </c>
      <c r="E6" s="585"/>
      <c r="F6" s="1753">
        <f t="shared" ref="F6:F18" si="1">E6-C6</f>
        <v>0</v>
      </c>
    </row>
    <row r="7" spans="1:6" ht="13.7" customHeight="1" x14ac:dyDescent="0.2">
      <c r="A7" s="715" t="s">
        <v>155</v>
      </c>
      <c r="B7" s="1750">
        <f>'Revenues 9-14'!F5</f>
        <v>24558</v>
      </c>
      <c r="C7" s="585"/>
      <c r="D7" s="1753">
        <f t="shared" si="0"/>
        <v>24558</v>
      </c>
      <c r="E7" s="585"/>
      <c r="F7" s="1753">
        <f t="shared" si="1"/>
        <v>0</v>
      </c>
    </row>
    <row r="8" spans="1:6" ht="13.7" customHeight="1" x14ac:dyDescent="0.2">
      <c r="A8" s="715" t="s">
        <v>1179</v>
      </c>
      <c r="B8" s="1750">
        <f>'Revenues 9-14'!G5</f>
        <v>1007</v>
      </c>
      <c r="C8" s="585"/>
      <c r="D8" s="1753">
        <f t="shared" si="0"/>
        <v>1007</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6140</v>
      </c>
      <c r="C10" s="585"/>
      <c r="D10" s="1753">
        <f t="shared" si="0"/>
        <v>6140</v>
      </c>
      <c r="E10" s="585"/>
      <c r="F10" s="1753">
        <f t="shared" si="1"/>
        <v>0</v>
      </c>
    </row>
    <row r="11" spans="1:6" x14ac:dyDescent="0.2">
      <c r="A11" s="715" t="s">
        <v>409</v>
      </c>
      <c r="B11" s="1750">
        <f>'Revenues 9-14'!J5</f>
        <v>55609</v>
      </c>
      <c r="C11" s="585"/>
      <c r="D11" s="1753">
        <f t="shared" si="0"/>
        <v>55609</v>
      </c>
      <c r="E11" s="585"/>
      <c r="F11" s="1753">
        <f t="shared" si="1"/>
        <v>0</v>
      </c>
    </row>
    <row r="12" spans="1:6" ht="13.7" customHeight="1" x14ac:dyDescent="0.2">
      <c r="A12" s="715" t="s">
        <v>157</v>
      </c>
      <c r="B12" s="1750">
        <f>'Revenues 9-14'!K5</f>
        <v>6139</v>
      </c>
      <c r="C12" s="585"/>
      <c r="D12" s="1753">
        <f t="shared" si="0"/>
        <v>6139</v>
      </c>
      <c r="E12" s="585"/>
      <c r="F12" s="1753">
        <f t="shared" si="1"/>
        <v>0</v>
      </c>
    </row>
    <row r="13" spans="1:6" ht="13.7" customHeight="1" x14ac:dyDescent="0.2">
      <c r="A13" s="715" t="s">
        <v>936</v>
      </c>
      <c r="B13" s="1750">
        <f>SUM('Revenues 9-14'!C6:D6)</f>
        <v>6139</v>
      </c>
      <c r="C13" s="585"/>
      <c r="D13" s="1753">
        <f t="shared" si="0"/>
        <v>6139</v>
      </c>
      <c r="E13" s="585"/>
      <c r="F13" s="1753">
        <f t="shared" si="1"/>
        <v>0</v>
      </c>
    </row>
    <row r="14" spans="1:6" ht="13.7" customHeight="1" x14ac:dyDescent="0.2">
      <c r="A14" s="715" t="s">
        <v>410</v>
      </c>
      <c r="B14" s="1750">
        <f>SUM('Revenues 9-14'!C7:D7,'Revenues 9-14'!F7:H7)</f>
        <v>4912</v>
      </c>
      <c r="C14" s="585"/>
      <c r="D14" s="1753">
        <f t="shared" si="0"/>
        <v>4912</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27504</v>
      </c>
      <c r="C16" s="585"/>
      <c r="D16" s="1753">
        <f t="shared" si="0"/>
        <v>27504</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506363</v>
      </c>
      <c r="C19" s="1751">
        <f>SUM(C4:C18)</f>
        <v>0</v>
      </c>
      <c r="D19" s="1751">
        <f>SUM(D4:D18)</f>
        <v>506363</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407</v>
      </c>
      <c r="B31" s="733">
        <v>42948</v>
      </c>
      <c r="C31" s="734">
        <v>200000</v>
      </c>
      <c r="D31" s="735">
        <v>1</v>
      </c>
      <c r="E31" s="734">
        <v>191796</v>
      </c>
      <c r="F31" s="734"/>
      <c r="G31" s="734"/>
      <c r="H31" s="734">
        <v>12876</v>
      </c>
      <c r="I31" s="1756">
        <f>((E31+F31)-H31)+G31</f>
        <v>178920</v>
      </c>
      <c r="J31" s="734">
        <v>178920</v>
      </c>
      <c r="K31" s="736"/>
    </row>
    <row r="32" spans="1:11" ht="12" customHeight="1" x14ac:dyDescent="0.2">
      <c r="A32" s="732" t="s">
        <v>2086</v>
      </c>
      <c r="B32" s="733">
        <v>42948</v>
      </c>
      <c r="C32" s="734">
        <v>677600</v>
      </c>
      <c r="D32" s="735">
        <v>4</v>
      </c>
      <c r="E32" s="734">
        <v>649804</v>
      </c>
      <c r="F32" s="734"/>
      <c r="G32" s="734"/>
      <c r="H32" s="734">
        <v>43624</v>
      </c>
      <c r="I32" s="1756">
        <f>((E32+F32)-H32)+G32</f>
        <v>606180</v>
      </c>
      <c r="J32" s="734">
        <v>590649</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877600</v>
      </c>
      <c r="D49" s="745"/>
      <c r="E49" s="1756">
        <f t="shared" ref="E49:J49" si="2">SUM(E31:E48)</f>
        <v>841600</v>
      </c>
      <c r="F49" s="1756">
        <f t="shared" si="2"/>
        <v>0</v>
      </c>
      <c r="G49" s="1756">
        <f t="shared" si="2"/>
        <v>0</v>
      </c>
      <c r="H49" s="1756">
        <f t="shared" si="2"/>
        <v>56500</v>
      </c>
      <c r="I49" s="1756">
        <f t="shared" si="2"/>
        <v>785100</v>
      </c>
      <c r="J49" s="1756">
        <f t="shared" si="2"/>
        <v>769569</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61"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c r="I3" s="764"/>
      <c r="J3" s="765"/>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0</v>
      </c>
      <c r="I12" s="1758">
        <f>SUM(I5:I11)</f>
        <v>0</v>
      </c>
      <c r="J12" s="1758">
        <f>SUM(J5:J11)</f>
        <v>0</v>
      </c>
      <c r="K12" s="1758">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c r="I14" s="771"/>
      <c r="J14" s="773"/>
      <c r="K14" s="765"/>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1809</v>
      </c>
      <c r="B19" s="2228"/>
      <c r="C19" s="2228"/>
      <c r="D19" s="2228"/>
      <c r="E19" s="2229"/>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0</v>
      </c>
      <c r="I23" s="1758">
        <f>SUM(I14:I16,I21,I22)</f>
        <v>0</v>
      </c>
      <c r="J23" s="1758">
        <f>SUM(J14:J16,J21,J22)</f>
        <v>0</v>
      </c>
      <c r="K23" s="1758">
        <f>SUM(K14:K16,K21,K22)</f>
        <v>0</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31" sqref="F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19115</v>
      </c>
      <c r="D5" s="841"/>
      <c r="E5" s="841"/>
      <c r="F5" s="1760">
        <f>(C5+D5)-E5</f>
        <v>19115</v>
      </c>
      <c r="G5" s="837"/>
      <c r="H5" s="842"/>
      <c r="I5" s="842"/>
      <c r="J5" s="842"/>
      <c r="K5" s="793"/>
      <c r="L5" s="1769">
        <f>F5-K5</f>
        <v>19115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1617981</v>
      </c>
      <c r="D8" s="844"/>
      <c r="E8" s="844"/>
      <c r="F8" s="1760">
        <f>(C8+D8)-E8</f>
        <v>1617981</v>
      </c>
      <c r="G8" s="843">
        <v>50</v>
      </c>
      <c r="H8" s="765">
        <v>875342</v>
      </c>
      <c r="I8" s="765">
        <v>32360</v>
      </c>
      <c r="J8" s="765"/>
      <c r="K8" s="1769">
        <f>(H8+I8)-J8</f>
        <v>907702</v>
      </c>
      <c r="L8" s="1769">
        <f>F8-K8</f>
        <v>710279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143892</v>
      </c>
      <c r="D10" s="846"/>
      <c r="E10" s="846"/>
      <c r="F10" s="1764">
        <f>(C10+D10)-E10</f>
        <v>143892</v>
      </c>
      <c r="G10" s="843">
        <v>20</v>
      </c>
      <c r="H10" s="847">
        <v>143892</v>
      </c>
      <c r="I10" s="847"/>
      <c r="J10" s="847"/>
      <c r="K10" s="1769">
        <f>(H10+I10)-J10</f>
        <v>143892</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326267</v>
      </c>
      <c r="D12" s="844">
        <v>44376</v>
      </c>
      <c r="E12" s="844"/>
      <c r="F12" s="1760">
        <f>(C12+D12)-E12</f>
        <v>370643</v>
      </c>
      <c r="G12" s="843">
        <v>10</v>
      </c>
      <c r="H12" s="765">
        <v>326267</v>
      </c>
      <c r="I12" s="765">
        <v>4438</v>
      </c>
      <c r="J12" s="765"/>
      <c r="K12" s="1769">
        <f>(H12+I12)-J12</f>
        <v>330705</v>
      </c>
      <c r="L12" s="1769">
        <f>F12-K12</f>
        <v>39938</v>
      </c>
    </row>
    <row r="13" spans="1:14" ht="14.25" thickTop="1" thickBot="1" x14ac:dyDescent="0.25">
      <c r="A13" s="848" t="s">
        <v>1122</v>
      </c>
      <c r="B13" s="840">
        <v>252</v>
      </c>
      <c r="C13" s="844">
        <v>552989</v>
      </c>
      <c r="D13" s="844"/>
      <c r="E13" s="844"/>
      <c r="F13" s="1760">
        <f>(C13+D13)-E13</f>
        <v>552989</v>
      </c>
      <c r="G13" s="843">
        <v>5</v>
      </c>
      <c r="H13" s="765">
        <v>517863</v>
      </c>
      <c r="I13" s="765">
        <v>16174</v>
      </c>
      <c r="J13" s="765"/>
      <c r="K13" s="1769">
        <f>(H13+I13)-J13</f>
        <v>534037</v>
      </c>
      <c r="L13" s="1769">
        <f>F13-K13</f>
        <v>18952</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2660244</v>
      </c>
      <c r="D16" s="1760">
        <f>SUM(D3,D5:D6,D8:D10,D12:D15)</f>
        <v>44376</v>
      </c>
      <c r="E16" s="1760">
        <f>SUM(E3,E5:E6,E8:E10,E12:E15)</f>
        <v>0</v>
      </c>
      <c r="F16" s="1760">
        <f>SUM(F3,F5:F6,F8:F10,F12:F15)</f>
        <v>2704620</v>
      </c>
      <c r="G16" s="843"/>
      <c r="H16" s="1760">
        <f>SUM(H3,H6,H8:H10,H12:H14,)</f>
        <v>1863364</v>
      </c>
      <c r="I16" s="1760">
        <f>SUM(I3,I6,I8:I10,I12:I14,)</f>
        <v>52972</v>
      </c>
      <c r="J16" s="1760">
        <f>SUM(J3,J6,J8:J10,J12:J14,)</f>
        <v>0</v>
      </c>
      <c r="K16" s="1760">
        <f>(H16+I16)-J16</f>
        <v>1916336</v>
      </c>
      <c r="L16" s="1760">
        <f>F16-K16</f>
        <v>788284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20911</v>
      </c>
      <c r="G17" s="837">
        <v>10</v>
      </c>
      <c r="H17" s="769"/>
      <c r="I17" s="1769">
        <f>F17/G17</f>
        <v>2091.1</v>
      </c>
      <c r="J17" s="769"/>
      <c r="K17" s="795"/>
      <c r="L17" s="795"/>
    </row>
    <row r="18" spans="1:12" ht="14.25" thickTop="1" thickBot="1" x14ac:dyDescent="0.25">
      <c r="A18" s="1767" t="s">
        <v>685</v>
      </c>
      <c r="B18" s="1768"/>
      <c r="C18" s="771"/>
      <c r="D18" s="771"/>
      <c r="E18" s="771"/>
      <c r="F18" s="850"/>
      <c r="G18" s="851"/>
      <c r="H18" s="773"/>
      <c r="I18" s="1760">
        <f>SUM(I16,I17)</f>
        <v>55063.1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5"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1252137</v>
      </c>
      <c r="G8" s="865"/>
    </row>
    <row r="9" spans="1:7" x14ac:dyDescent="0.2">
      <c r="A9" s="869" t="s">
        <v>460</v>
      </c>
      <c r="B9" s="870" t="s">
        <v>1876</v>
      </c>
      <c r="C9" s="871"/>
      <c r="D9" s="869" t="s">
        <v>501</v>
      </c>
      <c r="E9" s="868"/>
      <c r="F9" s="1909">
        <f>'Expenditures 15-22'!K151</f>
        <v>68913</v>
      </c>
      <c r="G9" s="872"/>
    </row>
    <row r="10" spans="1:7" x14ac:dyDescent="0.2">
      <c r="A10" s="869" t="s">
        <v>499</v>
      </c>
      <c r="B10" s="870" t="s">
        <v>1877</v>
      </c>
      <c r="C10" s="871"/>
      <c r="D10" s="869" t="s">
        <v>501</v>
      </c>
      <c r="E10" s="868"/>
      <c r="F10" s="1909">
        <f>'Expenditures 15-22'!K174</f>
        <v>77287</v>
      </c>
      <c r="G10" s="872"/>
    </row>
    <row r="11" spans="1:7" x14ac:dyDescent="0.2">
      <c r="A11" s="869" t="s">
        <v>461</v>
      </c>
      <c r="B11" s="870" t="s">
        <v>1878</v>
      </c>
      <c r="C11" s="871"/>
      <c r="D11" s="869" t="s">
        <v>501</v>
      </c>
      <c r="E11" s="868"/>
      <c r="F11" s="1909">
        <f>'Expenditures 15-22'!K210</f>
        <v>54315</v>
      </c>
      <c r="G11" s="872"/>
    </row>
    <row r="12" spans="1:7" x14ac:dyDescent="0.2">
      <c r="A12" s="869" t="s">
        <v>462</v>
      </c>
      <c r="B12" s="870" t="s">
        <v>1879</v>
      </c>
      <c r="C12" s="871"/>
      <c r="D12" s="869" t="s">
        <v>501</v>
      </c>
      <c r="E12" s="868"/>
      <c r="F12" s="1909">
        <f>'Expenditures 15-22'!K295</f>
        <v>42218</v>
      </c>
      <c r="G12" s="872"/>
    </row>
    <row r="13" spans="1:7" x14ac:dyDescent="0.2">
      <c r="A13" s="869" t="s">
        <v>106</v>
      </c>
      <c r="B13" s="870" t="s">
        <v>1880</v>
      </c>
      <c r="C13" s="871"/>
      <c r="D13" s="869" t="s">
        <v>501</v>
      </c>
      <c r="E13" s="868"/>
      <c r="F13" s="1909">
        <f>'Expenditures 15-22'!K342</f>
        <v>48807</v>
      </c>
      <c r="G13" s="873"/>
    </row>
    <row r="14" spans="1:7" ht="12" customHeight="1" thickBot="1" x14ac:dyDescent="0.25">
      <c r="A14" s="1770"/>
      <c r="B14" s="1771"/>
      <c r="C14" s="1772"/>
      <c r="D14" s="1773" t="s">
        <v>501</v>
      </c>
      <c r="E14" s="1774" t="s">
        <v>958</v>
      </c>
      <c r="F14" s="1775">
        <f>SUM(F8:F13)</f>
        <v>1543677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46525</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326573</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18111</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56500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2938</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450647</v>
      </c>
      <c r="G76" s="865"/>
    </row>
    <row r="77" spans="1:8" s="893" customFormat="1" ht="12" customHeight="1" thickTop="1" thickBot="1" x14ac:dyDescent="0.25">
      <c r="A77" s="1779"/>
      <c r="B77" s="1776"/>
      <c r="C77" s="1772"/>
      <c r="D77" s="1777" t="s">
        <v>1899</v>
      </c>
      <c r="E77" s="1774"/>
      <c r="F77" s="1780">
        <f>(F14-F76)</f>
        <v>1093030</v>
      </c>
      <c r="G77" s="869"/>
    </row>
    <row r="78" spans="1:8" s="893" customFormat="1" ht="12" customHeight="1" thickTop="1" x14ac:dyDescent="0.2">
      <c r="A78" s="1781"/>
      <c r="B78" s="1776"/>
      <c r="C78" s="1772"/>
      <c r="D78" s="1777" t="s">
        <v>2060</v>
      </c>
      <c r="E78" s="1774"/>
      <c r="F78" s="898">
        <v>164.2</v>
      </c>
      <c r="G78" s="899"/>
      <c r="H78" s="869"/>
    </row>
    <row r="79" spans="1:8" s="893" customFormat="1" ht="12" customHeight="1" thickBot="1" x14ac:dyDescent="0.25">
      <c r="A79" s="1782"/>
      <c r="B79" s="1776"/>
      <c r="C79" s="1772"/>
      <c r="D79" s="1777" t="s">
        <v>1900</v>
      </c>
      <c r="E79" s="1774" t="s">
        <v>958</v>
      </c>
      <c r="F79" s="1783">
        <f>IF(F78&gt;0,F77/F78," Complete Line 78")</f>
        <v>6656.6991473812432</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2195</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18149</v>
      </c>
      <c r="G94" s="912"/>
    </row>
    <row r="95" spans="1:7" x14ac:dyDescent="0.2">
      <c r="A95" s="908" t="s">
        <v>140</v>
      </c>
      <c r="B95" s="908" t="s">
        <v>175</v>
      </c>
      <c r="C95" s="910">
        <v>1700</v>
      </c>
      <c r="D95" s="918" t="str">
        <f>'Revenues 9-14'!A82</f>
        <v>Total District/School Activity Income</v>
      </c>
      <c r="E95" s="906"/>
      <c r="F95" s="1789">
        <f>SUM('Revenues 9-14'!C82,'Revenues 9-14'!D82)</f>
        <v>3301</v>
      </c>
      <c r="G95" s="912"/>
    </row>
    <row r="96" spans="1:7" x14ac:dyDescent="0.2">
      <c r="A96" s="908" t="s">
        <v>459</v>
      </c>
      <c r="B96" s="908" t="s">
        <v>176</v>
      </c>
      <c r="C96" s="910">
        <f>'Revenues 9-14'!B84</f>
        <v>1811</v>
      </c>
      <c r="D96" s="911" t="str">
        <f>'Revenues 9-14'!A84</f>
        <v>Rentals - Regular Textbooks</v>
      </c>
      <c r="E96" s="906"/>
      <c r="F96" s="1789">
        <f>'Revenues 9-14'!C84</f>
        <v>8404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800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39160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52628</v>
      </c>
      <c r="G125" s="930"/>
    </row>
    <row r="126" spans="1:7" x14ac:dyDescent="0.2">
      <c r="A126" s="927" t="s">
        <v>668</v>
      </c>
      <c r="B126" s="927" t="s">
        <v>2022</v>
      </c>
      <c r="C126" s="932">
        <v>4300</v>
      </c>
      <c r="D126" s="933" t="str">
        <f>'Revenues 9-14'!A204</f>
        <v>Total Title I</v>
      </c>
      <c r="E126" s="906"/>
      <c r="F126" s="1789">
        <f>SUM('Revenues 9-14'!C204,'Revenues 9-14'!D204,'Revenues 9-14'!F204,'Revenues 9-14'!G204)</f>
        <v>61303</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1721</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1102</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1102</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2866</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3146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14258</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209783</v>
      </c>
    </row>
    <row r="175" spans="1:7" ht="12" customHeight="1" x14ac:dyDescent="0.2">
      <c r="A175" s="1770"/>
      <c r="B175" s="1784"/>
      <c r="C175" s="1785"/>
      <c r="D175" s="1786" t="s">
        <v>2055</v>
      </c>
      <c r="E175" s="1787"/>
      <c r="F175" s="1789">
        <f>'PCTC-OEPP 27-28'!F77-F174</f>
        <v>883247</v>
      </c>
    </row>
    <row r="176" spans="1:7" ht="12" customHeight="1" x14ac:dyDescent="0.2">
      <c r="A176" s="1770"/>
      <c r="B176" s="1784"/>
      <c r="C176" s="1785"/>
      <c r="D176" s="1786" t="s">
        <v>1817</v>
      </c>
      <c r="E176" s="1787"/>
      <c r="F176" s="1789">
        <f>'Cap Outlay Deprec 26'!I18</f>
        <v>55063.1</v>
      </c>
    </row>
    <row r="177" spans="1:7" ht="12" customHeight="1" x14ac:dyDescent="0.2">
      <c r="A177" s="1770"/>
      <c r="B177" s="1784"/>
      <c r="C177" s="1785"/>
      <c r="D177" s="1786" t="s">
        <v>2056</v>
      </c>
      <c r="E177" s="1787"/>
      <c r="F177" s="1789">
        <f>F175+F176</f>
        <v>938310.1</v>
      </c>
    </row>
    <row r="178" spans="1:7" ht="12" customHeight="1" x14ac:dyDescent="0.2">
      <c r="A178" s="1770"/>
      <c r="B178" s="1790"/>
      <c r="C178" s="1785"/>
      <c r="D178" s="1786" t="str">
        <f>D78</f>
        <v>9 Month ADA from District Average Daily Attendance/Prior General State Aid Inquiry 2018-2019</v>
      </c>
      <c r="E178" s="1787"/>
      <c r="F178" s="1791">
        <f>'PCTC-OEPP 27-28'!F78</f>
        <v>164.2</v>
      </c>
      <c r="G178" s="930"/>
    </row>
    <row r="179" spans="1:7" ht="12" customHeight="1" thickBot="1" x14ac:dyDescent="0.25">
      <c r="A179" s="1770"/>
      <c r="B179" s="1790"/>
      <c r="C179" s="1785"/>
      <c r="D179" s="1786" t="s">
        <v>2057</v>
      </c>
      <c r="E179" s="1787" t="s">
        <v>1545</v>
      </c>
      <c r="F179" s="1792">
        <f>F177/F178</f>
        <v>5714.434226552984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C18" sqref="C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t="s">
        <v>2089</v>
      </c>
      <c r="B18" s="1942" t="s">
        <v>2088</v>
      </c>
      <c r="C18" s="1941" t="s">
        <v>2090</v>
      </c>
      <c r="D18" s="1844">
        <v>9000</v>
      </c>
      <c r="E18" s="1540">
        <f t="shared" ref="E18:E142" si="0">IF(D18&lt;=25000,D18,IF(D18&gt;25000,25000,0))</f>
        <v>9000</v>
      </c>
      <c r="F18" s="1936">
        <v>9000</v>
      </c>
      <c r="G18" s="1793">
        <v>0</v>
      </c>
      <c r="H18" s="1647"/>
    </row>
    <row r="19" spans="1:8" x14ac:dyDescent="0.25">
      <c r="A19" s="1653"/>
      <c r="B19" s="1933"/>
      <c r="C19" s="1656"/>
      <c r="D19" s="1844"/>
      <c r="E19" s="1540">
        <f t="shared" ref="E19:E141" si="1">IF(D19&lt;=25000,D19,IF(D19&gt;25000,25000,0))</f>
        <v>0</v>
      </c>
      <c r="F19" s="1936">
        <f t="shared" ref="F19:F81" si="2">(IF(D19="",0,(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Check func/obj # in Colm B"))))</f>
        <v>0</v>
      </c>
      <c r="G19" s="1793">
        <f t="shared" ref="G19:G141" si="3">IF(F19=0,0,D19-F19)</f>
        <v>0</v>
      </c>
    </row>
    <row r="20" spans="1:8" x14ac:dyDescent="0.25">
      <c r="A20" s="1653"/>
      <c r="B20" s="1933"/>
      <c r="C20" s="1656"/>
      <c r="D20" s="1844"/>
      <c r="E20" s="1540">
        <f t="shared" si="1"/>
        <v>0</v>
      </c>
      <c r="F20" s="1936">
        <f t="shared" si="2"/>
        <v>0</v>
      </c>
      <c r="G20" s="1793">
        <f t="shared" si="3"/>
        <v>0</v>
      </c>
    </row>
    <row r="21" spans="1:8" x14ac:dyDescent="0.25">
      <c r="A21" s="1653"/>
      <c r="B21" s="1933"/>
      <c r="C21" s="1656"/>
      <c r="D21" s="1844"/>
      <c r="E21" s="1540">
        <f t="shared" si="1"/>
        <v>0</v>
      </c>
      <c r="F21" s="1936">
        <f t="shared" si="2"/>
        <v>0</v>
      </c>
      <c r="G21" s="1793">
        <f t="shared" si="3"/>
        <v>0</v>
      </c>
    </row>
    <row r="22" spans="1:8" x14ac:dyDescent="0.25">
      <c r="A22" s="1653"/>
      <c r="B22" s="1933"/>
      <c r="C22" s="1656"/>
      <c r="D22" s="1844"/>
      <c r="E22" s="1540">
        <f t="shared" si="1"/>
        <v>0</v>
      </c>
      <c r="F22" s="1936">
        <f t="shared" si="2"/>
        <v>0</v>
      </c>
      <c r="G22" s="1793">
        <f t="shared" si="3"/>
        <v>0</v>
      </c>
    </row>
    <row r="23" spans="1:8" x14ac:dyDescent="0.25">
      <c r="A23" s="1653"/>
      <c r="B23" s="1933"/>
      <c r="C23" s="1656"/>
      <c r="D23" s="1844"/>
      <c r="E23" s="1540">
        <f t="shared" si="1"/>
        <v>0</v>
      </c>
      <c r="F23" s="1936">
        <f t="shared" si="2"/>
        <v>0</v>
      </c>
      <c r="G23" s="1793">
        <f t="shared" si="3"/>
        <v>0</v>
      </c>
    </row>
    <row r="24" spans="1:8" x14ac:dyDescent="0.25">
      <c r="A24" s="1653"/>
      <c r="B24" s="1933"/>
      <c r="C24" s="1656"/>
      <c r="D24" s="1844"/>
      <c r="E24" s="1540">
        <f t="shared" si="1"/>
        <v>0</v>
      </c>
      <c r="F24" s="1936">
        <f t="shared" si="2"/>
        <v>0</v>
      </c>
      <c r="G24" s="1793">
        <f t="shared" si="3"/>
        <v>0</v>
      </c>
    </row>
    <row r="25" spans="1:8" x14ac:dyDescent="0.25">
      <c r="A25" s="1653"/>
      <c r="B25" s="1933"/>
      <c r="C25" s="1656"/>
      <c r="D25" s="1844"/>
      <c r="E25" s="1540">
        <f t="shared" si="1"/>
        <v>0</v>
      </c>
      <c r="F25" s="1936">
        <f t="shared" si="2"/>
        <v>0</v>
      </c>
      <c r="G25" s="1793">
        <f t="shared" si="3"/>
        <v>0</v>
      </c>
    </row>
    <row r="26" spans="1:8" x14ac:dyDescent="0.25">
      <c r="A26" s="1653"/>
      <c r="B26" s="1933"/>
      <c r="C26" s="1656"/>
      <c r="D26" s="1844"/>
      <c r="E26" s="1540">
        <f t="shared" si="1"/>
        <v>0</v>
      </c>
      <c r="F26" s="1936">
        <f t="shared" si="2"/>
        <v>0</v>
      </c>
      <c r="G26" s="1793">
        <f t="shared" si="3"/>
        <v>0</v>
      </c>
    </row>
    <row r="27" spans="1:8" x14ac:dyDescent="0.25">
      <c r="A27" s="1653"/>
      <c r="B27" s="1933"/>
      <c r="C27" s="1654"/>
      <c r="D27" s="1844"/>
      <c r="E27" s="1540">
        <f t="shared" si="1"/>
        <v>0</v>
      </c>
      <c r="F27" s="1936">
        <f t="shared" si="2"/>
        <v>0</v>
      </c>
      <c r="G27" s="1793">
        <f t="shared" si="3"/>
        <v>0</v>
      </c>
    </row>
    <row r="28" spans="1:8" x14ac:dyDescent="0.25">
      <c r="A28" s="1653"/>
      <c r="B28" s="1933"/>
      <c r="C28" s="1654"/>
      <c r="D28" s="1844"/>
      <c r="E28" s="1540">
        <f t="shared" si="1"/>
        <v>0</v>
      </c>
      <c r="F28" s="1936">
        <f t="shared" si="2"/>
        <v>0</v>
      </c>
      <c r="G28" s="1793">
        <f t="shared" si="3"/>
        <v>0</v>
      </c>
    </row>
    <row r="29" spans="1:8" x14ac:dyDescent="0.25">
      <c r="A29" s="1653"/>
      <c r="B29" s="1933"/>
      <c r="C29" s="1654"/>
      <c r="D29" s="1844"/>
      <c r="E29" s="1540">
        <f t="shared" si="1"/>
        <v>0</v>
      </c>
      <c r="F29" s="1936">
        <f t="shared" si="2"/>
        <v>0</v>
      </c>
      <c r="G29" s="1793">
        <f t="shared" si="3"/>
        <v>0</v>
      </c>
    </row>
    <row r="30" spans="1:8" x14ac:dyDescent="0.25">
      <c r="A30" s="1653"/>
      <c r="B30" s="1933"/>
      <c r="C30" s="1654"/>
      <c r="D30" s="1844"/>
      <c r="E30" s="1540">
        <f t="shared" si="1"/>
        <v>0</v>
      </c>
      <c r="F30" s="1936">
        <f t="shared" si="2"/>
        <v>0</v>
      </c>
      <c r="G30" s="1793">
        <f t="shared" si="3"/>
        <v>0</v>
      </c>
    </row>
    <row r="31" spans="1:8" x14ac:dyDescent="0.25">
      <c r="A31" s="1653"/>
      <c r="B31" s="1933"/>
      <c r="C31" s="1654"/>
      <c r="D31" s="1844"/>
      <c r="E31" s="1540">
        <f t="shared" si="1"/>
        <v>0</v>
      </c>
      <c r="F31" s="1936">
        <f t="shared" si="2"/>
        <v>0</v>
      </c>
      <c r="G31" s="1793">
        <f t="shared" si="3"/>
        <v>0</v>
      </c>
    </row>
    <row r="32" spans="1:8" x14ac:dyDescent="0.25">
      <c r="A32" s="1653"/>
      <c r="B32" s="1933"/>
      <c r="C32" s="1654"/>
      <c r="D32" s="1844"/>
      <c r="E32" s="1540">
        <f t="shared" si="1"/>
        <v>0</v>
      </c>
      <c r="F32" s="1936">
        <f t="shared" si="2"/>
        <v>0</v>
      </c>
      <c r="G32" s="1793">
        <f t="shared" si="3"/>
        <v>0</v>
      </c>
    </row>
    <row r="33" spans="1:7" x14ac:dyDescent="0.25">
      <c r="A33" s="1653"/>
      <c r="B33" s="1933"/>
      <c r="C33" s="1654"/>
      <c r="D33" s="1844"/>
      <c r="E33" s="1540">
        <f t="shared" si="1"/>
        <v>0</v>
      </c>
      <c r="F33" s="1936">
        <f t="shared" si="2"/>
        <v>0</v>
      </c>
      <c r="G33" s="1793">
        <f t="shared" si="3"/>
        <v>0</v>
      </c>
    </row>
    <row r="34" spans="1:7" x14ac:dyDescent="0.25">
      <c r="A34" s="1653"/>
      <c r="B34" s="1933"/>
      <c r="C34" s="1654"/>
      <c r="D34" s="1844"/>
      <c r="E34" s="1540">
        <f t="shared" si="1"/>
        <v>0</v>
      </c>
      <c r="F34" s="1936">
        <f t="shared" si="2"/>
        <v>0</v>
      </c>
      <c r="G34" s="1793">
        <f t="shared" si="3"/>
        <v>0</v>
      </c>
    </row>
    <row r="35" spans="1:7" x14ac:dyDescent="0.25">
      <c r="A35" s="1653"/>
      <c r="B35" s="1933"/>
      <c r="C35" s="1654"/>
      <c r="D35" s="1844"/>
      <c r="E35" s="1540">
        <f t="shared" si="1"/>
        <v>0</v>
      </c>
      <c r="F35" s="1936">
        <f t="shared" si="2"/>
        <v>0</v>
      </c>
      <c r="G35" s="1793">
        <f t="shared" si="3"/>
        <v>0</v>
      </c>
    </row>
    <row r="36" spans="1:7" x14ac:dyDescent="0.25">
      <c r="A36" s="1653"/>
      <c r="B36" s="1933"/>
      <c r="C36" s="1654"/>
      <c r="D36" s="1844"/>
      <c r="E36" s="1540">
        <f t="shared" si="1"/>
        <v>0</v>
      </c>
      <c r="F36" s="1936">
        <f t="shared" si="2"/>
        <v>0</v>
      </c>
      <c r="G36" s="1793">
        <f t="shared" si="3"/>
        <v>0</v>
      </c>
    </row>
    <row r="37" spans="1:7" x14ac:dyDescent="0.25">
      <c r="A37" s="1653"/>
      <c r="B37" s="1933"/>
      <c r="C37" s="1654"/>
      <c r="D37" s="1844"/>
      <c r="E37" s="1540">
        <f t="shared" si="1"/>
        <v>0</v>
      </c>
      <c r="F37" s="1936">
        <f t="shared" si="2"/>
        <v>0</v>
      </c>
      <c r="G37" s="1793">
        <f t="shared" si="3"/>
        <v>0</v>
      </c>
    </row>
    <row r="38" spans="1:7" x14ac:dyDescent="0.25">
      <c r="A38" s="1653"/>
      <c r="B38" s="1933"/>
      <c r="C38" s="1654"/>
      <c r="D38" s="1844"/>
      <c r="E38" s="1540">
        <f t="shared" si="1"/>
        <v>0</v>
      </c>
      <c r="F38" s="1936">
        <f t="shared" si="2"/>
        <v>0</v>
      </c>
      <c r="G38" s="1793">
        <f t="shared" si="3"/>
        <v>0</v>
      </c>
    </row>
    <row r="39" spans="1:7" x14ac:dyDescent="0.25">
      <c r="A39" s="1653"/>
      <c r="B39" s="1934"/>
      <c r="C39" s="1654"/>
      <c r="D39" s="1844"/>
      <c r="E39" s="1540">
        <f t="shared" si="1"/>
        <v>0</v>
      </c>
      <c r="F39" s="1936">
        <f t="shared" si="2"/>
        <v>0</v>
      </c>
      <c r="G39" s="1793">
        <f t="shared" si="3"/>
        <v>0</v>
      </c>
    </row>
    <row r="40" spans="1:7" x14ac:dyDescent="0.25">
      <c r="A40" s="1653"/>
      <c r="B40" s="1934"/>
      <c r="C40" s="1654"/>
      <c r="D40" s="1844"/>
      <c r="E40" s="1540">
        <f t="shared" si="1"/>
        <v>0</v>
      </c>
      <c r="F40" s="1936">
        <f t="shared" si="2"/>
        <v>0</v>
      </c>
      <c r="G40" s="1793">
        <f t="shared" si="3"/>
        <v>0</v>
      </c>
    </row>
    <row r="41" spans="1:7" x14ac:dyDescent="0.25">
      <c r="A41" s="1653"/>
      <c r="B41" s="1934"/>
      <c r="C41" s="1654"/>
      <c r="D41" s="1844"/>
      <c r="E41" s="1540">
        <f t="shared" si="1"/>
        <v>0</v>
      </c>
      <c r="F41" s="1936">
        <f t="shared" si="2"/>
        <v>0</v>
      </c>
      <c r="G41" s="1793">
        <f t="shared" si="3"/>
        <v>0</v>
      </c>
    </row>
    <row r="42" spans="1:7" x14ac:dyDescent="0.25">
      <c r="A42" s="1653"/>
      <c r="B42" s="1934"/>
      <c r="C42" s="1654"/>
      <c r="D42" s="1844"/>
      <c r="E42" s="1540">
        <f t="shared" si="1"/>
        <v>0</v>
      </c>
      <c r="F42" s="1936">
        <f t="shared" si="2"/>
        <v>0</v>
      </c>
      <c r="G42" s="1793">
        <f t="shared" si="3"/>
        <v>0</v>
      </c>
    </row>
    <row r="43" spans="1:7" x14ac:dyDescent="0.25">
      <c r="A43" s="1653"/>
      <c r="B43" s="1934"/>
      <c r="C43" s="1654"/>
      <c r="D43" s="1844"/>
      <c r="E43" s="1540">
        <f t="shared" si="1"/>
        <v>0</v>
      </c>
      <c r="F43" s="1936">
        <f t="shared" si="2"/>
        <v>0</v>
      </c>
      <c r="G43" s="1793">
        <f t="shared" si="3"/>
        <v>0</v>
      </c>
    </row>
    <row r="44" spans="1:7" x14ac:dyDescent="0.25">
      <c r="A44" s="1653"/>
      <c r="B44" s="1934"/>
      <c r="C44" s="1654"/>
      <c r="D44" s="1844"/>
      <c r="E44" s="1540">
        <f t="shared" si="1"/>
        <v>0</v>
      </c>
      <c r="F44" s="1936">
        <f t="shared" si="2"/>
        <v>0</v>
      </c>
      <c r="G44" s="1793">
        <f t="shared" si="3"/>
        <v>0</v>
      </c>
    </row>
    <row r="45" spans="1:7" x14ac:dyDescent="0.25">
      <c r="A45" s="1653"/>
      <c r="B45" s="1934"/>
      <c r="C45" s="1654"/>
      <c r="D45" s="1844"/>
      <c r="E45" s="1540">
        <f t="shared" si="1"/>
        <v>0</v>
      </c>
      <c r="F45" s="1936">
        <f t="shared" si="2"/>
        <v>0</v>
      </c>
      <c r="G45" s="1793">
        <f t="shared" si="3"/>
        <v>0</v>
      </c>
    </row>
    <row r="46" spans="1:7" x14ac:dyDescent="0.25">
      <c r="A46" s="1653"/>
      <c r="B46" s="1934"/>
      <c r="C46" s="1654"/>
      <c r="D46" s="1844"/>
      <c r="E46" s="1540">
        <f t="shared" si="1"/>
        <v>0</v>
      </c>
      <c r="F46" s="1936">
        <f t="shared" si="2"/>
        <v>0</v>
      </c>
      <c r="G46" s="1793">
        <f t="shared" si="3"/>
        <v>0</v>
      </c>
    </row>
    <row r="47" spans="1:7" x14ac:dyDescent="0.25">
      <c r="A47" s="1653"/>
      <c r="B47" s="1667"/>
      <c r="C47" s="1654"/>
      <c r="D47" s="1844"/>
      <c r="E47" s="1540">
        <f t="shared" si="1"/>
        <v>0</v>
      </c>
      <c r="F47" s="1936">
        <f t="shared" si="2"/>
        <v>0</v>
      </c>
      <c r="G47" s="1793">
        <f t="shared" si="3"/>
        <v>0</v>
      </c>
    </row>
    <row r="48" spans="1:7" x14ac:dyDescent="0.25">
      <c r="A48" s="1653"/>
      <c r="B48" s="1667"/>
      <c r="C48" s="1654"/>
      <c r="D48" s="1844"/>
      <c r="E48" s="1540">
        <f t="shared" si="1"/>
        <v>0</v>
      </c>
      <c r="F48" s="1936">
        <f t="shared" si="2"/>
        <v>0</v>
      </c>
      <c r="G48" s="1793">
        <f t="shared" si="3"/>
        <v>0</v>
      </c>
    </row>
    <row r="49" spans="1:7" x14ac:dyDescent="0.25">
      <c r="A49" s="1653"/>
      <c r="B49" s="1667"/>
      <c r="C49" s="1654"/>
      <c r="D49" s="1844"/>
      <c r="E49" s="1540">
        <f t="shared" si="1"/>
        <v>0</v>
      </c>
      <c r="F49" s="1936">
        <f t="shared" si="2"/>
        <v>0</v>
      </c>
      <c r="G49" s="1793">
        <f t="shared" si="3"/>
        <v>0</v>
      </c>
    </row>
    <row r="50" spans="1:7" x14ac:dyDescent="0.25">
      <c r="A50" s="1653"/>
      <c r="B50" s="1667"/>
      <c r="C50" s="1654"/>
      <c r="D50" s="1844"/>
      <c r="E50" s="1540">
        <f t="shared" si="1"/>
        <v>0</v>
      </c>
      <c r="F50" s="1936">
        <f t="shared" si="2"/>
        <v>0</v>
      </c>
      <c r="G50" s="1793">
        <f t="shared" si="3"/>
        <v>0</v>
      </c>
    </row>
    <row r="51" spans="1:7" x14ac:dyDescent="0.25">
      <c r="A51" s="1653"/>
      <c r="B51" s="1667"/>
      <c r="C51" s="1654"/>
      <c r="D51" s="1844"/>
      <c r="E51" s="1540">
        <f t="shared" si="1"/>
        <v>0</v>
      </c>
      <c r="F51" s="1936">
        <f t="shared" si="2"/>
        <v>0</v>
      </c>
      <c r="G51" s="1793">
        <f t="shared" si="3"/>
        <v>0</v>
      </c>
    </row>
    <row r="52" spans="1:7" x14ac:dyDescent="0.25">
      <c r="A52" s="1653"/>
      <c r="B52" s="1667"/>
      <c r="C52" s="1654"/>
      <c r="D52" s="1844"/>
      <c r="E52" s="1540">
        <f t="shared" si="1"/>
        <v>0</v>
      </c>
      <c r="F52" s="1936">
        <f t="shared" si="2"/>
        <v>0</v>
      </c>
      <c r="G52" s="1793">
        <f t="shared" si="3"/>
        <v>0</v>
      </c>
    </row>
    <row r="53" spans="1:7" x14ac:dyDescent="0.25">
      <c r="A53" s="1653"/>
      <c r="B53" s="1667"/>
      <c r="C53" s="1654"/>
      <c r="D53" s="1844"/>
      <c r="E53" s="1540">
        <f t="shared" si="1"/>
        <v>0</v>
      </c>
      <c r="F53" s="1936">
        <f t="shared" si="2"/>
        <v>0</v>
      </c>
      <c r="G53" s="1793">
        <f t="shared" si="3"/>
        <v>0</v>
      </c>
    </row>
    <row r="54" spans="1:7" x14ac:dyDescent="0.25">
      <c r="A54" s="1653"/>
      <c r="B54" s="1667"/>
      <c r="C54" s="1654"/>
      <c r="D54" s="1844"/>
      <c r="E54" s="1540">
        <f t="shared" si="1"/>
        <v>0</v>
      </c>
      <c r="F54" s="1936">
        <f t="shared" si="2"/>
        <v>0</v>
      </c>
      <c r="G54" s="1793">
        <f t="shared" si="3"/>
        <v>0</v>
      </c>
    </row>
    <row r="55" spans="1:7" x14ac:dyDescent="0.25">
      <c r="A55" s="1653"/>
      <c r="B55" s="1667"/>
      <c r="C55" s="1654"/>
      <c r="D55" s="1844"/>
      <c r="E55" s="1540">
        <f t="shared" si="1"/>
        <v>0</v>
      </c>
      <c r="F55" s="1936">
        <f t="shared" si="2"/>
        <v>0</v>
      </c>
      <c r="G55" s="1793">
        <f t="shared" si="3"/>
        <v>0</v>
      </c>
    </row>
    <row r="56" spans="1:7" x14ac:dyDescent="0.25">
      <c r="A56" s="1653"/>
      <c r="B56" s="1667"/>
      <c r="C56" s="1654"/>
      <c r="D56" s="1844"/>
      <c r="E56" s="1540">
        <f t="shared" si="1"/>
        <v>0</v>
      </c>
      <c r="F56" s="1936">
        <f t="shared" si="2"/>
        <v>0</v>
      </c>
      <c r="G56" s="1793">
        <f t="shared" si="3"/>
        <v>0</v>
      </c>
    </row>
    <row r="57" spans="1:7" x14ac:dyDescent="0.25">
      <c r="A57" s="1653"/>
      <c r="B57" s="1667"/>
      <c r="C57" s="1654"/>
      <c r="D57" s="1844"/>
      <c r="E57" s="1540">
        <f t="shared" si="1"/>
        <v>0</v>
      </c>
      <c r="F57" s="1936">
        <f t="shared" si="2"/>
        <v>0</v>
      </c>
      <c r="G57" s="1793">
        <f t="shared" si="3"/>
        <v>0</v>
      </c>
    </row>
    <row r="58" spans="1:7" x14ac:dyDescent="0.25">
      <c r="A58" s="1653"/>
      <c r="B58" s="1667"/>
      <c r="C58" s="1654"/>
      <c r="D58" s="1844"/>
      <c r="E58" s="1540">
        <f t="shared" si="1"/>
        <v>0</v>
      </c>
      <c r="F58" s="1936">
        <f t="shared" si="2"/>
        <v>0</v>
      </c>
      <c r="G58" s="1793">
        <f t="shared" si="3"/>
        <v>0</v>
      </c>
    </row>
    <row r="59" spans="1:7" x14ac:dyDescent="0.25">
      <c r="A59" s="1653"/>
      <c r="B59" s="1667"/>
      <c r="C59" s="1654"/>
      <c r="D59" s="1844"/>
      <c r="E59" s="1540">
        <f t="shared" si="1"/>
        <v>0</v>
      </c>
      <c r="F59" s="1936">
        <f t="shared" si="2"/>
        <v>0</v>
      </c>
      <c r="G59" s="1793">
        <f t="shared" si="3"/>
        <v>0</v>
      </c>
    </row>
    <row r="60" spans="1:7" x14ac:dyDescent="0.25">
      <c r="A60" s="1653"/>
      <c r="B60" s="1667"/>
      <c r="C60" s="1654"/>
      <c r="D60" s="1844"/>
      <c r="E60" s="1540">
        <f t="shared" si="1"/>
        <v>0</v>
      </c>
      <c r="F60" s="1936">
        <f t="shared" si="2"/>
        <v>0</v>
      </c>
      <c r="G60" s="1793">
        <f t="shared" si="3"/>
        <v>0</v>
      </c>
    </row>
    <row r="61" spans="1:7" x14ac:dyDescent="0.25">
      <c r="A61" s="1653"/>
      <c r="B61" s="1667"/>
      <c r="C61" s="1654"/>
      <c r="D61" s="1844"/>
      <c r="E61" s="1540">
        <f t="shared" si="1"/>
        <v>0</v>
      </c>
      <c r="F61" s="1936">
        <f t="shared" si="2"/>
        <v>0</v>
      </c>
      <c r="G61" s="1793">
        <f t="shared" si="3"/>
        <v>0</v>
      </c>
    </row>
    <row r="62" spans="1:7" x14ac:dyDescent="0.25">
      <c r="A62" s="1653"/>
      <c r="B62" s="1667"/>
      <c r="C62" s="1654"/>
      <c r="D62" s="1844"/>
      <c r="E62" s="1540">
        <f t="shared" si="1"/>
        <v>0</v>
      </c>
      <c r="F62" s="1936">
        <f t="shared" si="2"/>
        <v>0</v>
      </c>
      <c r="G62" s="1793">
        <f t="shared" si="3"/>
        <v>0</v>
      </c>
    </row>
    <row r="63" spans="1:7" x14ac:dyDescent="0.25">
      <c r="A63" s="1653"/>
      <c r="B63" s="1667"/>
      <c r="C63" s="1654"/>
      <c r="D63" s="1844"/>
      <c r="E63" s="1540">
        <f t="shared" si="1"/>
        <v>0</v>
      </c>
      <c r="F63" s="1936">
        <f t="shared" si="2"/>
        <v>0</v>
      </c>
      <c r="G63" s="1793">
        <f t="shared" si="3"/>
        <v>0</v>
      </c>
    </row>
    <row r="64" spans="1:7" x14ac:dyDescent="0.25">
      <c r="A64" s="1653"/>
      <c r="B64" s="1667"/>
      <c r="C64" s="1654"/>
      <c r="D64" s="1844"/>
      <c r="E64" s="1540">
        <f t="shared" si="1"/>
        <v>0</v>
      </c>
      <c r="F64" s="1936">
        <f t="shared" si="2"/>
        <v>0</v>
      </c>
      <c r="G64" s="1793">
        <f t="shared" si="3"/>
        <v>0</v>
      </c>
    </row>
    <row r="65" spans="1:7" x14ac:dyDescent="0.25">
      <c r="A65" s="1655"/>
      <c r="B65" s="1667"/>
      <c r="C65" s="1656"/>
      <c r="D65" s="1844"/>
      <c r="E65" s="1540">
        <f t="shared" si="1"/>
        <v>0</v>
      </c>
      <c r="F65" s="1936">
        <f t="shared" si="2"/>
        <v>0</v>
      </c>
      <c r="G65" s="1793">
        <f t="shared" si="3"/>
        <v>0</v>
      </c>
    </row>
    <row r="66" spans="1:7" x14ac:dyDescent="0.25">
      <c r="A66" s="1653"/>
      <c r="B66" s="1667"/>
      <c r="C66" s="1654"/>
      <c r="D66" s="1844"/>
      <c r="E66" s="1540">
        <f t="shared" si="1"/>
        <v>0</v>
      </c>
      <c r="F66" s="1936">
        <f t="shared" si="2"/>
        <v>0</v>
      </c>
      <c r="G66" s="1793">
        <f t="shared" si="3"/>
        <v>0</v>
      </c>
    </row>
    <row r="67" spans="1:7" x14ac:dyDescent="0.25">
      <c r="A67" s="1653"/>
      <c r="B67" s="1667"/>
      <c r="C67" s="1654"/>
      <c r="D67" s="1844"/>
      <c r="E67" s="1540">
        <f t="shared" si="1"/>
        <v>0</v>
      </c>
      <c r="F67" s="1936">
        <f t="shared" si="2"/>
        <v>0</v>
      </c>
      <c r="G67" s="1793">
        <f t="shared" si="3"/>
        <v>0</v>
      </c>
    </row>
    <row r="68" spans="1:7" x14ac:dyDescent="0.25">
      <c r="A68" s="1653"/>
      <c r="B68" s="1667"/>
      <c r="C68" s="1654"/>
      <c r="D68" s="1844"/>
      <c r="E68" s="1540">
        <f t="shared" si="1"/>
        <v>0</v>
      </c>
      <c r="F68" s="1936">
        <f t="shared" si="2"/>
        <v>0</v>
      </c>
      <c r="G68" s="1793">
        <f t="shared" si="3"/>
        <v>0</v>
      </c>
    </row>
    <row r="69" spans="1:7" x14ac:dyDescent="0.25">
      <c r="A69" s="1653"/>
      <c r="B69" s="1667"/>
      <c r="C69" s="1654"/>
      <c r="D69" s="1844"/>
      <c r="E69" s="1540">
        <f t="shared" si="1"/>
        <v>0</v>
      </c>
      <c r="F69" s="1936">
        <f t="shared" si="2"/>
        <v>0</v>
      </c>
      <c r="G69" s="1793">
        <f t="shared" si="3"/>
        <v>0</v>
      </c>
    </row>
    <row r="70" spans="1:7" x14ac:dyDescent="0.25">
      <c r="A70" s="1653"/>
      <c r="B70" s="1667"/>
      <c r="C70" s="1654"/>
      <c r="D70" s="1844"/>
      <c r="E70" s="1540">
        <f t="shared" si="1"/>
        <v>0</v>
      </c>
      <c r="F70" s="1936">
        <f t="shared" si="2"/>
        <v>0</v>
      </c>
      <c r="G70" s="1793">
        <f t="shared" si="3"/>
        <v>0</v>
      </c>
    </row>
    <row r="71" spans="1:7" x14ac:dyDescent="0.25">
      <c r="A71" s="1653"/>
      <c r="B71" s="1667"/>
      <c r="C71" s="1654"/>
      <c r="D71" s="1844"/>
      <c r="E71" s="1540">
        <f t="shared" si="1"/>
        <v>0</v>
      </c>
      <c r="F71" s="1936">
        <f t="shared" si="2"/>
        <v>0</v>
      </c>
      <c r="G71" s="1793">
        <f t="shared" si="3"/>
        <v>0</v>
      </c>
    </row>
    <row r="72" spans="1:7" x14ac:dyDescent="0.25">
      <c r="A72" s="1653"/>
      <c r="B72" s="1667"/>
      <c r="C72" s="1654"/>
      <c r="D72" s="1844"/>
      <c r="E72" s="1540">
        <f t="shared" si="1"/>
        <v>0</v>
      </c>
      <c r="F72" s="1936">
        <f t="shared" si="2"/>
        <v>0</v>
      </c>
      <c r="G72" s="1793">
        <f t="shared" si="3"/>
        <v>0</v>
      </c>
    </row>
    <row r="73" spans="1:7" x14ac:dyDescent="0.25">
      <c r="A73" s="1653"/>
      <c r="B73" s="1667"/>
      <c r="C73" s="1654"/>
      <c r="D73" s="1844"/>
      <c r="E73" s="1540">
        <f t="shared" si="1"/>
        <v>0</v>
      </c>
      <c r="F73" s="1936">
        <f t="shared" si="2"/>
        <v>0</v>
      </c>
      <c r="G73" s="1793">
        <f t="shared" si="3"/>
        <v>0</v>
      </c>
    </row>
    <row r="74" spans="1:7" x14ac:dyDescent="0.25">
      <c r="A74" s="1653"/>
      <c r="B74" s="1667"/>
      <c r="C74" s="1654"/>
      <c r="D74" s="1844"/>
      <c r="E74" s="1540">
        <f t="shared" ref="E74:E85" si="4">IF(D74&lt;=25000,D74,IF(D74&gt;25000,25000,0))</f>
        <v>0</v>
      </c>
      <c r="F74" s="1936">
        <f t="shared" si="2"/>
        <v>0</v>
      </c>
      <c r="G74" s="1793">
        <f t="shared" ref="G74:G85" si="5">IF(F74=0,0,D74-F74)</f>
        <v>0</v>
      </c>
    </row>
    <row r="75" spans="1:7" x14ac:dyDescent="0.25">
      <c r="A75" s="1653"/>
      <c r="B75" s="1667"/>
      <c r="C75" s="1654"/>
      <c r="D75" s="1844"/>
      <c r="E75" s="1540">
        <f t="shared" si="4"/>
        <v>0</v>
      </c>
      <c r="F75" s="1936">
        <f t="shared" si="2"/>
        <v>0</v>
      </c>
      <c r="G75" s="1793">
        <f t="shared" si="5"/>
        <v>0</v>
      </c>
    </row>
    <row r="76" spans="1:7" x14ac:dyDescent="0.25">
      <c r="A76" s="1653"/>
      <c r="B76" s="1667"/>
      <c r="C76" s="1654"/>
      <c r="D76" s="1844"/>
      <c r="E76" s="1540">
        <f t="shared" si="4"/>
        <v>0</v>
      </c>
      <c r="F76" s="1936">
        <f t="shared" si="2"/>
        <v>0</v>
      </c>
      <c r="G76" s="1793">
        <f t="shared" si="5"/>
        <v>0</v>
      </c>
    </row>
    <row r="77" spans="1:7" x14ac:dyDescent="0.25">
      <c r="A77" s="1653"/>
      <c r="B77" s="1667"/>
      <c r="C77" s="1654"/>
      <c r="D77" s="1844"/>
      <c r="E77" s="1540">
        <f t="shared" si="4"/>
        <v>0</v>
      </c>
      <c r="F77" s="1936">
        <f t="shared" si="2"/>
        <v>0</v>
      </c>
      <c r="G77" s="1793">
        <f t="shared" si="5"/>
        <v>0</v>
      </c>
    </row>
    <row r="78" spans="1:7" x14ac:dyDescent="0.25">
      <c r="A78" s="1653"/>
      <c r="B78" s="1667"/>
      <c r="C78" s="1654"/>
      <c r="D78" s="1844"/>
      <c r="E78" s="1540">
        <f t="shared" si="4"/>
        <v>0</v>
      </c>
      <c r="F78" s="1936">
        <f t="shared" si="2"/>
        <v>0</v>
      </c>
      <c r="G78" s="1793">
        <f t="shared" si="5"/>
        <v>0</v>
      </c>
    </row>
    <row r="79" spans="1:7" x14ac:dyDescent="0.25">
      <c r="A79" s="1653"/>
      <c r="B79" s="1667"/>
      <c r="C79" s="1654"/>
      <c r="D79" s="1844"/>
      <c r="E79" s="1540">
        <f t="shared" si="4"/>
        <v>0</v>
      </c>
      <c r="F79" s="1936">
        <f t="shared" si="2"/>
        <v>0</v>
      </c>
      <c r="G79" s="1793">
        <f t="shared" si="5"/>
        <v>0</v>
      </c>
    </row>
    <row r="80" spans="1:7" x14ac:dyDescent="0.25">
      <c r="A80" s="1653"/>
      <c r="B80" s="1667"/>
      <c r="C80" s="1654"/>
      <c r="D80" s="1844"/>
      <c r="E80" s="1540">
        <f t="shared" si="4"/>
        <v>0</v>
      </c>
      <c r="F80" s="1936">
        <f t="shared" si="2"/>
        <v>0</v>
      </c>
      <c r="G80" s="1793">
        <f t="shared" si="5"/>
        <v>0</v>
      </c>
    </row>
    <row r="81" spans="1:7" x14ac:dyDescent="0.25">
      <c r="A81" s="1653"/>
      <c r="B81" s="1667"/>
      <c r="C81" s="1654"/>
      <c r="D81" s="1844"/>
      <c r="E81" s="1540">
        <f t="shared" si="4"/>
        <v>0</v>
      </c>
      <c r="F81" s="1936">
        <f t="shared" si="2"/>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1"/>
        <v>0</v>
      </c>
      <c r="F86" s="1936">
        <f t="shared" si="6"/>
        <v>0</v>
      </c>
      <c r="G86" s="1793">
        <f t="shared" si="3"/>
        <v>0</v>
      </c>
    </row>
    <row r="87" spans="1:7" x14ac:dyDescent="0.25">
      <c r="A87" s="1653"/>
      <c r="B87" s="1667"/>
      <c r="C87" s="1654"/>
      <c r="D87" s="1844"/>
      <c r="E87" s="1540">
        <f t="shared" si="1"/>
        <v>0</v>
      </c>
      <c r="F87" s="1936">
        <f t="shared" si="6"/>
        <v>0</v>
      </c>
      <c r="G87" s="1793">
        <f t="shared" si="3"/>
        <v>0</v>
      </c>
    </row>
    <row r="88" spans="1:7" x14ac:dyDescent="0.25">
      <c r="A88" s="1653"/>
      <c r="B88" s="1667"/>
      <c r="C88" s="1654"/>
      <c r="D88" s="1844"/>
      <c r="E88" s="1540">
        <f t="shared" si="1"/>
        <v>0</v>
      </c>
      <c r="F88" s="1936">
        <f t="shared" si="6"/>
        <v>0</v>
      </c>
      <c r="G88" s="1793">
        <f t="shared" si="3"/>
        <v>0</v>
      </c>
    </row>
    <row r="89" spans="1:7" x14ac:dyDescent="0.25">
      <c r="A89" s="1653"/>
      <c r="B89" s="1667"/>
      <c r="C89" s="1654"/>
      <c r="D89" s="1844"/>
      <c r="E89" s="1540">
        <f t="shared" si="1"/>
        <v>0</v>
      </c>
      <c r="F89" s="1936">
        <f t="shared" si="6"/>
        <v>0</v>
      </c>
      <c r="G89" s="1793">
        <f t="shared" si="3"/>
        <v>0</v>
      </c>
    </row>
    <row r="90" spans="1:7" x14ac:dyDescent="0.25">
      <c r="A90" s="1653"/>
      <c r="B90" s="1667"/>
      <c r="C90" s="1654"/>
      <c r="D90" s="1844"/>
      <c r="E90" s="1540">
        <f t="shared" si="1"/>
        <v>0</v>
      </c>
      <c r="F90" s="1936">
        <f t="shared" si="6"/>
        <v>0</v>
      </c>
      <c r="G90" s="1793">
        <f t="shared" si="3"/>
        <v>0</v>
      </c>
    </row>
    <row r="91" spans="1:7" x14ac:dyDescent="0.25">
      <c r="A91" s="1653"/>
      <c r="B91" s="1667"/>
      <c r="C91" s="1654"/>
      <c r="D91" s="1844"/>
      <c r="E91" s="1540">
        <f t="shared" si="1"/>
        <v>0</v>
      </c>
      <c r="F91" s="1936">
        <f t="shared" si="6"/>
        <v>0</v>
      </c>
      <c r="G91" s="1793">
        <f t="shared" si="3"/>
        <v>0</v>
      </c>
    </row>
    <row r="92" spans="1:7" x14ac:dyDescent="0.25">
      <c r="A92" s="1653"/>
      <c r="B92" s="1667"/>
      <c r="C92" s="1654"/>
      <c r="D92" s="1844"/>
      <c r="E92" s="1540">
        <f t="shared" si="1"/>
        <v>0</v>
      </c>
      <c r="F92" s="1936">
        <f t="shared" si="6"/>
        <v>0</v>
      </c>
      <c r="G92" s="1793">
        <f t="shared" si="3"/>
        <v>0</v>
      </c>
    </row>
    <row r="93" spans="1:7" x14ac:dyDescent="0.25">
      <c r="A93" s="1653"/>
      <c r="B93" s="1667"/>
      <c r="C93" s="1654"/>
      <c r="D93" s="1844"/>
      <c r="E93" s="1540">
        <f t="shared" si="1"/>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1"/>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1"/>
        <v>0</v>
      </c>
      <c r="F141" s="1936">
        <f t="shared" si="6"/>
        <v>0</v>
      </c>
      <c r="G141" s="1793">
        <f t="shared" si="3"/>
        <v>0</v>
      </c>
    </row>
    <row r="142" spans="1:7" x14ac:dyDescent="0.25">
      <c r="A142" s="1796" t="s">
        <v>156</v>
      </c>
      <c r="B142" s="1797"/>
      <c r="C142" s="1798"/>
      <c r="D142" s="1794">
        <f>SUM(D18:D141)</f>
        <v>9000</v>
      </c>
      <c r="E142" s="1541">
        <f t="shared" si="0"/>
        <v>9000</v>
      </c>
      <c r="F142" s="1932">
        <f>SUM(F18:F141)</f>
        <v>9000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35503</v>
      </c>
      <c r="F10" s="974"/>
      <c r="G10" s="975"/>
      <c r="H10" s="162"/>
      <c r="I10" s="162"/>
    </row>
    <row r="11" spans="1:9" s="668" customFormat="1" ht="22.5" customHeight="1" x14ac:dyDescent="0.2">
      <c r="A11" s="2289" t="s">
        <v>1975</v>
      </c>
      <c r="B11" s="2290"/>
      <c r="C11" s="2290"/>
      <c r="D11" s="2291"/>
      <c r="E11" s="977">
        <v>4926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658365</v>
      </c>
      <c r="F19" s="1799"/>
      <c r="G19" s="1801">
        <f>'Expenditures 15-22'!K33-SUM('Expenditures 15-22'!G33,'Expenditures 15-22'!I33)+'Expenditures 15-22'!D229</f>
        <v>658365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26001</v>
      </c>
      <c r="F21" s="1802"/>
      <c r="G21" s="1805">
        <f>'Expenditures 15-22'!K42-SUM('Expenditures 15-22'!G42,'Expenditures 15-22'!I42)+'Expenditures 15-22'!K120-SUM('Expenditures 15-22'!G120,'Expenditures 15-22'!I120)+'Expenditures 15-22'!K180-SUM('Expenditures 15-22'!G180,'Expenditures 15-22'!I180)+'Expenditures 15-22'!D238</f>
        <v>26001</v>
      </c>
      <c r="H21" s="987"/>
      <c r="I21" s="162"/>
    </row>
    <row r="22" spans="1:9" s="668" customFormat="1" ht="12" customHeight="1" x14ac:dyDescent="0.2">
      <c r="A22" s="994" t="s">
        <v>564</v>
      </c>
      <c r="B22" s="995"/>
      <c r="C22" s="993">
        <v>2200</v>
      </c>
      <c r="D22" s="1802"/>
      <c r="E22" s="1804">
        <f>'Expenditures 15-22'!K47-SUM('Expenditures 15-22'!G47,'Expenditures 15-22'!I47)+'Expenditures 15-22'!D243</f>
        <v>44031</v>
      </c>
      <c r="F22" s="1802"/>
      <c r="G22" s="1805">
        <f>'Expenditures 15-22'!K47-SUM('Expenditures 15-22'!G47,'Expenditures 15-22'!I47)+'Expenditures 15-22'!D243</f>
        <v>44031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67520</v>
      </c>
      <c r="F23" s="1802"/>
      <c r="G23" s="1804">
        <f>'Expenditures 15-22'!K53-SUM('Expenditures 15-22'!G53,'Expenditures 15-22'!I53)+'Expenditures 15-22'!D257+'Expenditures 15-22'!K330-SUM('Expenditures 15-22'!G330,'Expenditures 15-22'!I330)</f>
        <v>67520</v>
      </c>
      <c r="H23" s="987"/>
      <c r="I23" s="162"/>
    </row>
    <row r="24" spans="1:9" s="668" customFormat="1" ht="12" customHeight="1" x14ac:dyDescent="0.2">
      <c r="A24" s="994" t="s">
        <v>566</v>
      </c>
      <c r="B24" s="995"/>
      <c r="C24" s="993">
        <v>2400</v>
      </c>
      <c r="D24" s="1802"/>
      <c r="E24" s="1804">
        <f>'Expenditures 15-22'!K57-SUM('Expenditures 15-22'!G57,'Expenditures 15-22'!I57)+'Expenditures 15-22'!D261</f>
        <v>106904</v>
      </c>
      <c r="F24" s="1802"/>
      <c r="G24" s="1805">
        <f>'Expenditures 15-22'!K57-SUM('Expenditures 15-22'!G57,'Expenditures 15-22'!I57)+'Expenditures 15-22'!D261</f>
        <v>106904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8060</v>
      </c>
      <c r="E26" s="1804">
        <f>'Expenditures 15-22'!K122-SUM('Expenditures 15-22'!G122,'Expenditures 15-22'!I122)+E7</f>
        <v>0</v>
      </c>
      <c r="F26" s="1804">
        <f>'Expenditures 15-22'!K59-SUM('Expenditures 15-22'!G59,'Expenditures 15-22'!I59)+'Expenditures 15-22'!D263-E7</f>
        <v>8060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9000</v>
      </c>
      <c r="E27" s="1804">
        <f>E8</f>
        <v>0</v>
      </c>
      <c r="F27" s="1804">
        <f>'Expenditures 15-22'!K60-SUM('Expenditures 15-22'!G60,'Expenditures 15-22'!I60)+'Expenditures 15-22'!D264-E8</f>
        <v>9000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73777</v>
      </c>
      <c r="F28" s="1806">
        <f>'Expenditures 15-22'!K61-SUM('Expenditures 15-22'!G61,'Expenditures 15-22'!I61)+'Expenditures 15-22'!K124-SUM('Expenditures 15-22'!G124,'Expenditures 15-22'!I124)+'Expenditures 15-22'!D266-E9</f>
        <v>73777</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57975</v>
      </c>
      <c r="F29" s="1802"/>
      <c r="G29" s="1805">
        <f>'Expenditures 15-22'!K62-SUM('Expenditures 15-22'!G62,'Expenditures 15-22'!I62)+'Expenditures 15-22'!K125-SUM('Expenditures 15-22'!G125,'Expenditures 15-22'!I125)+'Expenditures 15-22'!K182-SUM('Expenditures 15-22'!G182,'Expenditures 15-22'!I182)+'Expenditures 15-22'!D267</f>
        <v>57975</v>
      </c>
      <c r="H29" s="985"/>
    </row>
    <row r="30" spans="1:9" ht="12" customHeight="1" x14ac:dyDescent="0.2">
      <c r="A30" s="994" t="s">
        <v>100</v>
      </c>
      <c r="B30" s="997"/>
      <c r="C30" s="993">
        <v>2560</v>
      </c>
      <c r="D30" s="1802"/>
      <c r="E30" s="1804">
        <f>'Expenditures 15-22'!K63-SUM('Expenditures 15-22'!G63,'Expenditures 15-22'!I63)+'Expenditures 15-22'!D268-E10</f>
        <v>30950</v>
      </c>
      <c r="F30" s="1802"/>
      <c r="G30" s="1804">
        <f>'Expenditures 15-22'!K63-SUM('Expenditures 15-22'!G63,'Expenditures 15-22'!I63)+'Expenditures 15-22'!D268-E10</f>
        <v>30950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3620</v>
      </c>
      <c r="F35" s="1802"/>
      <c r="G35" s="1804">
        <f>'Expenditures 15-22'!K69-SUM('Expenditures 15-22'!G69,'Expenditures 15-22'!I69)+'Expenditures 15-22'!D274</f>
        <v>3620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17060</v>
      </c>
      <c r="E41" s="1806">
        <f>SUM(E19:E40)</f>
        <v>1069143</v>
      </c>
      <c r="F41" s="1806">
        <f>SUM(F19:F39)</f>
        <v>90837</v>
      </c>
      <c r="G41" s="1806">
        <f>SUM(G19:G40)</f>
        <v>995366</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17060</v>
      </c>
      <c r="F43" s="1807" t="s">
        <v>473</v>
      </c>
      <c r="G43" s="1808">
        <f>F41</f>
        <v>90837</v>
      </c>
    </row>
    <row r="44" spans="1:7" ht="12" customHeight="1" x14ac:dyDescent="0.2">
      <c r="A44" s="987"/>
      <c r="B44" s="162"/>
      <c r="C44" s="1001"/>
      <c r="D44" s="1807" t="s">
        <v>474</v>
      </c>
      <c r="E44" s="1808">
        <f>E41</f>
        <v>1069143</v>
      </c>
      <c r="F44" s="1807" t="s">
        <v>474</v>
      </c>
      <c r="G44" s="1808">
        <f>G41</f>
        <v>995366</v>
      </c>
    </row>
    <row r="45" spans="1:7" ht="12" customHeight="1" x14ac:dyDescent="0.2">
      <c r="A45" s="987"/>
      <c r="B45" s="162"/>
      <c r="C45" s="162"/>
      <c r="D45" s="1809" t="s">
        <v>1006</v>
      </c>
      <c r="E45" s="1810">
        <f>(E43/E44)</f>
        <v>1.5956705510862437E-2</v>
      </c>
      <c r="F45" s="1809" t="s">
        <v>1006</v>
      </c>
      <c r="G45" s="1810">
        <f>(G43/G44)</f>
        <v>9.1259898369042136E-2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F25" sqref="F2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Allendale CCSD 17</v>
      </c>
      <c r="D6" s="2310"/>
      <c r="E6" s="2310"/>
      <c r="F6" s="1852"/>
    </row>
    <row r="7" spans="1:10" ht="11.25" customHeight="1" thickBot="1" x14ac:dyDescent="0.3">
      <c r="A7" s="1850"/>
      <c r="B7" s="1851"/>
      <c r="C7" s="2311">
        <f>COVER!A13</f>
        <v>20093017024</v>
      </c>
      <c r="D7" s="2311"/>
      <c r="E7" s="231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2065</v>
      </c>
      <c r="D24" s="1865" t="s">
        <v>2065</v>
      </c>
      <c r="E24" s="1868" t="s">
        <v>2065</v>
      </c>
      <c r="F24" s="1867" t="s">
        <v>2087</v>
      </c>
      <c r="H24" s="1878">
        <f t="shared" si="0"/>
        <v>5</v>
      </c>
      <c r="I24" s="1878">
        <f t="shared" si="1"/>
        <v>5</v>
      </c>
      <c r="J24" s="1878">
        <f t="shared" si="2"/>
        <v>5</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Allendale CCSD 17</v>
      </c>
      <c r="J6" s="2320"/>
      <c r="Q6" s="1664"/>
    </row>
    <row r="7" spans="1:17" x14ac:dyDescent="0.2">
      <c r="A7" s="2321" t="s">
        <v>869</v>
      </c>
      <c r="B7" s="2322"/>
      <c r="C7" s="2322"/>
      <c r="D7" s="2322"/>
      <c r="E7" s="2323"/>
      <c r="F7" s="1017"/>
      <c r="G7" s="1009"/>
      <c r="H7" s="1016" t="s">
        <v>372</v>
      </c>
      <c r="I7" s="2324">
        <f>COVER!A13</f>
        <v>20093017024</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5110</v>
      </c>
      <c r="F12" s="1039"/>
      <c r="G12" s="1811">
        <f t="shared" ref="G12:G18" si="0">SUM(E12:F12)</f>
        <v>5110</v>
      </c>
      <c r="H12" s="1040">
        <v>5350</v>
      </c>
      <c r="I12" s="1039"/>
      <c r="J12" s="1811">
        <f t="shared" ref="J12:J18" si="1">SUM(H12:I12)</f>
        <v>5350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7218</v>
      </c>
      <c r="F15" s="1811">
        <f>'Expenditures 15-22'!K122</f>
        <v>0</v>
      </c>
      <c r="G15" s="1811">
        <f t="shared" si="0"/>
        <v>7218</v>
      </c>
      <c r="H15" s="1040">
        <v>7600</v>
      </c>
      <c r="I15" s="1040"/>
      <c r="J15" s="1811">
        <f t="shared" si="1"/>
        <v>7600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12328</v>
      </c>
      <c r="F19" s="1813">
        <f t="shared" si="2"/>
        <v>0</v>
      </c>
      <c r="G19" s="1813">
        <f t="shared" si="2"/>
        <v>12328</v>
      </c>
      <c r="H19" s="1813">
        <f t="shared" si="2"/>
        <v>12950</v>
      </c>
      <c r="I19" s="1813">
        <f t="shared" si="2"/>
        <v>0</v>
      </c>
      <c r="J19" s="1813">
        <f t="shared" si="2"/>
        <v>12950</v>
      </c>
    </row>
    <row r="20" spans="1:10" ht="13.5" thickTop="1" x14ac:dyDescent="0.2">
      <c r="A20" s="1035">
        <v>9</v>
      </c>
      <c r="B20" s="2331" t="s">
        <v>1979</v>
      </c>
      <c r="C20" s="2331"/>
      <c r="D20" s="2332"/>
      <c r="E20" s="1046"/>
      <c r="F20" s="1046"/>
      <c r="G20" s="1046"/>
      <c r="H20" s="1046"/>
      <c r="I20" s="1046"/>
      <c r="J20" s="1814">
        <f>IF(AND(G19&gt;0,J19&gt;0),(((J19-G19)/G19)),"Enter Budget Data")</f>
        <v>5.0454250486696953E-2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Allendale CCSD 17</v>
      </c>
    </row>
    <row r="65" spans="2:2" x14ac:dyDescent="0.2">
      <c r="B65" s="1070">
        <f>COVER!A13</f>
        <v>20093017024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2" r:id="rId4">
          <objectPr defaultSize="0" r:id="rId5">
            <anchor moveWithCells="1">
              <from>
                <xdr:col>1</xdr:col>
                <xdr:colOff>485775</xdr:colOff>
                <xdr:row>3</xdr:row>
                <xdr:rowOff>85725</xdr:rowOff>
              </from>
              <to>
                <xdr:col>1</xdr:col>
                <xdr:colOff>1400175</xdr:colOff>
                <xdr:row>7</xdr:row>
                <xdr:rowOff>123825</xdr:rowOff>
              </to>
            </anchor>
          </objectPr>
        </oleObject>
      </mc:Choice>
      <mc:Fallback>
        <oleObject progId="Acrobat Document" dvAspect="DVASPECT_ICON" shapeId="51202" r:id="rId4"/>
      </mc:Fallback>
    </mc:AlternateContent>
    <mc:AlternateContent xmlns:mc="http://schemas.openxmlformats.org/markup-compatibility/2006">
      <mc:Choice Requires="x14">
        <oleObject progId="Acrobat Document" dvAspect="DVASPECT_ICON" shapeId="51203" r:id="rId6">
          <objectPr defaultSize="0" r:id="rId7">
            <anchor moveWithCells="1">
              <from>
                <xdr:col>1</xdr:col>
                <xdr:colOff>1609725</xdr:colOff>
                <xdr:row>3</xdr:row>
                <xdr:rowOff>76200</xdr:rowOff>
              </from>
              <to>
                <xdr:col>1</xdr:col>
                <xdr:colOff>2524125</xdr:colOff>
                <xdr:row>7</xdr:row>
                <xdr:rowOff>114300</xdr:rowOff>
              </to>
            </anchor>
          </objectPr>
        </oleObject>
      </mc:Choice>
      <mc:Fallback>
        <oleObject progId="Acrobat Document" dvAspect="DVASPECT_ICON" shapeId="5120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1326596</v>
      </c>
      <c r="C8" s="1815">
        <f>'Acct Summary 7-8'!D8</f>
        <v>61727</v>
      </c>
      <c r="D8" s="1815">
        <f>'Acct Summary 7-8'!F8</f>
        <v>66654</v>
      </c>
      <c r="E8" s="1815">
        <f>'Acct Summary 7-8'!I8</f>
        <v>7461</v>
      </c>
      <c r="F8" s="1815">
        <f>SUM(B8:E8)</f>
        <v>1462438</v>
      </c>
    </row>
    <row r="9" spans="1:8" s="1079" customFormat="1" ht="14.25" customHeight="1" thickBot="1" x14ac:dyDescent="0.25">
      <c r="A9" s="1078" t="s">
        <v>1369</v>
      </c>
      <c r="B9" s="1816">
        <f>'Acct Summary 7-8'!C17</f>
        <v>1252137</v>
      </c>
      <c r="C9" s="1816">
        <f>'Acct Summary 7-8'!D17</f>
        <v>68913</v>
      </c>
      <c r="D9" s="1816">
        <f>'Acct Summary 7-8'!F17</f>
        <v>54315</v>
      </c>
      <c r="E9" s="1815"/>
      <c r="F9" s="1815">
        <f>SUM(B9:E9)</f>
        <v>1375365</v>
      </c>
    </row>
    <row r="10" spans="1:8" s="1079" customFormat="1" ht="14.25" thickTop="1" thickBot="1" x14ac:dyDescent="0.25">
      <c r="A10" s="1080" t="s">
        <v>1370</v>
      </c>
      <c r="B10" s="1817">
        <f>(B8-B9)</f>
        <v>74459</v>
      </c>
      <c r="C10" s="1817">
        <f>(C8-C9)</f>
        <v>-7186</v>
      </c>
      <c r="D10" s="1817">
        <f>(D8-D9)</f>
        <v>12339</v>
      </c>
      <c r="E10" s="1816">
        <f>(E8-E9)</f>
        <v>7461</v>
      </c>
      <c r="F10" s="1818">
        <f>SUM(F8-F9)</f>
        <v>87073</v>
      </c>
    </row>
    <row r="11" spans="1:8" s="1079" customFormat="1" ht="14.25" thickTop="1" thickBot="1" x14ac:dyDescent="0.25">
      <c r="A11" s="1081" t="s">
        <v>1983</v>
      </c>
      <c r="B11" s="1819">
        <f>'Acct Summary 7-8'!C81</f>
        <v>134442</v>
      </c>
      <c r="C11" s="1819">
        <f>'Acct Summary 7-8'!D81</f>
        <v>29839</v>
      </c>
      <c r="D11" s="1819">
        <f>'Acct Summary 7-8'!F81</f>
        <v>80746</v>
      </c>
      <c r="E11" s="1819">
        <f>'Acct Summary 7-8'!I81</f>
        <v>152123</v>
      </c>
      <c r="F11" s="1820">
        <f>SUM(B11:E11)</f>
        <v>397150</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20093017024</v>
      </c>
    </row>
    <row r="3" spans="1:2" x14ac:dyDescent="0.2">
      <c r="A3" t="s">
        <v>956</v>
      </c>
      <c r="B3" s="138" t="str">
        <f>COVER!A15</f>
        <v>WABASH</v>
      </c>
    </row>
    <row r="4" spans="1:2" x14ac:dyDescent="0.2">
      <c r="A4" t="s">
        <v>1007</v>
      </c>
      <c r="B4" s="138" t="str">
        <f>COVER!A17</f>
        <v>Allendale CCSD 17</v>
      </c>
    </row>
    <row r="5" spans="1:2" x14ac:dyDescent="0.2">
      <c r="A5" t="s">
        <v>704</v>
      </c>
      <c r="B5" s="138" t="str">
        <f>COVER!A38</f>
        <v>BOB BOWSER</v>
      </c>
    </row>
    <row r="6" spans="1:2" x14ac:dyDescent="0.2">
      <c r="A6" t="s">
        <v>709</v>
      </c>
      <c r="B6" s="138">
        <f>COVER!P35</f>
        <v>0</v>
      </c>
    </row>
    <row r="7" spans="1:2" x14ac:dyDescent="0.2">
      <c r="A7" t="s">
        <v>705</v>
      </c>
      <c r="B7" s="138">
        <f>COVER!I38</f>
        <v>0</v>
      </c>
    </row>
    <row r="8" spans="1:2" x14ac:dyDescent="0.2">
      <c r="A8" t="s">
        <v>706</v>
      </c>
      <c r="B8" s="138" t="str">
        <f>COVER!T38</f>
        <v>BETH RISTER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065-011645</v>
      </c>
    </row>
    <row r="16" spans="1:2" x14ac:dyDescent="0.2">
      <c r="A16" t="s">
        <v>422</v>
      </c>
      <c r="B16" s="138" t="str">
        <f>COVER!T13</f>
        <v>TERRY L. HARPER, CPA</v>
      </c>
    </row>
    <row r="17" spans="1:2" x14ac:dyDescent="0.2">
      <c r="A17" t="s">
        <v>884</v>
      </c>
      <c r="B17" s="138" t="str">
        <f>COVER!T15</f>
        <v>TERRY L. HARPER</v>
      </c>
    </row>
    <row r="18" spans="1:2" x14ac:dyDescent="0.2">
      <c r="A18" t="s">
        <v>1150</v>
      </c>
      <c r="B18" s="138" t="str">
        <f>COVER!T17</f>
        <v>9 N. FIFTH ST.</v>
      </c>
    </row>
    <row r="19" spans="1:2" x14ac:dyDescent="0.2">
      <c r="A19" t="s">
        <v>886</v>
      </c>
      <c r="B19" s="138" t="str">
        <f>COVER!T25</f>
        <v>HARPERCPA@FRONTIER.COM</v>
      </c>
    </row>
    <row r="20" spans="1:2" x14ac:dyDescent="0.2">
      <c r="A20" t="s">
        <v>887</v>
      </c>
      <c r="B20" s="138" t="str">
        <f>COVER!T19</f>
        <v>ALBION</v>
      </c>
    </row>
    <row r="21" spans="1:2" x14ac:dyDescent="0.2">
      <c r="A21" t="s">
        <v>479</v>
      </c>
      <c r="B21" s="138" t="str">
        <f>COVER!X19</f>
        <v>IL</v>
      </c>
    </row>
    <row r="22" spans="1:2" x14ac:dyDescent="0.2">
      <c r="A22" t="s">
        <v>888</v>
      </c>
      <c r="B22" s="138">
        <f>COVER!Z19</f>
        <v>62806</v>
      </c>
    </row>
    <row r="23" spans="1:2" x14ac:dyDescent="0.2">
      <c r="A23" t="s">
        <v>1152</v>
      </c>
      <c r="B23" s="138" t="str">
        <f>COVER!T21</f>
        <v>618-445-3433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134924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482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482</v>
      </c>
      <c r="C91" s="2" t="s">
        <v>573</v>
      </c>
      <c r="D91" s="2" t="str">
        <f t="shared" si="0"/>
        <v>Error?</v>
      </c>
    </row>
    <row r="92" spans="1:4" x14ac:dyDescent="0.2">
      <c r="A92" s="5">
        <v>31</v>
      </c>
      <c r="B92" s="138">
        <f>'Assets-Liab 5-6'!C39</f>
        <v>134442</v>
      </c>
      <c r="D92" s="2" t="str">
        <f t="shared" si="0"/>
        <v>Error?</v>
      </c>
    </row>
    <row r="93" spans="1:4" x14ac:dyDescent="0.2">
      <c r="A93" s="5">
        <v>32</v>
      </c>
      <c r="B93" s="138">
        <f>'Assets-Liab 5-6'!C41</f>
        <v>134924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29839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29839</v>
      </c>
      <c r="D123" s="2" t="str">
        <f t="shared" si="0"/>
        <v>Error?</v>
      </c>
    </row>
    <row r="124" spans="1:4" x14ac:dyDescent="0.2">
      <c r="A124" s="5">
        <v>63</v>
      </c>
      <c r="B124" s="138">
        <f>'Assets-Liab 5-6'!D41</f>
        <v>29839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15531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15531</v>
      </c>
      <c r="D140" s="2" t="str">
        <f t="shared" si="1"/>
        <v>Error?</v>
      </c>
    </row>
    <row r="141" spans="1:4" x14ac:dyDescent="0.2">
      <c r="A141" s="5">
        <v>80</v>
      </c>
      <c r="B141" s="138">
        <f>'Assets-Liab 5-6'!E41</f>
        <v>15531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80752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6</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v>
      </c>
      <c r="C169" s="2" t="s">
        <v>573</v>
      </c>
      <c r="D169" s="2" t="str">
        <f t="shared" si="1"/>
        <v>Error?</v>
      </c>
    </row>
    <row r="170" spans="1:4" x14ac:dyDescent="0.2">
      <c r="A170" s="5">
        <v>109</v>
      </c>
      <c r="B170" s="138">
        <f>'Assets-Liab 5-6'!F39</f>
        <v>80746</v>
      </c>
      <c r="D170" s="2" t="str">
        <f t="shared" si="1"/>
        <v>Error?</v>
      </c>
    </row>
    <row r="171" spans="1:4" x14ac:dyDescent="0.2">
      <c r="A171" s="5">
        <v>110</v>
      </c>
      <c r="B171" s="138">
        <f>'Assets-Liab 5-6'!F41</f>
        <v>80752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36979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36979</v>
      </c>
      <c r="D189" s="2" t="str">
        <f t="shared" si="1"/>
        <v>Error?</v>
      </c>
    </row>
    <row r="190" spans="1:4" x14ac:dyDescent="0.2">
      <c r="A190" s="5">
        <v>129</v>
      </c>
      <c r="B190" s="138">
        <f>'Assets-Liab 5-6'!G41</f>
        <v>36979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28244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28244</v>
      </c>
      <c r="D212" s="2" t="str">
        <f t="shared" si="2"/>
        <v>Error?</v>
      </c>
    </row>
    <row r="213" spans="1:4" x14ac:dyDescent="0.2">
      <c r="A213" s="12">
        <v>152</v>
      </c>
      <c r="B213" s="138">
        <f>'Assets-Liab 5-6'!H41</f>
        <v>28244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19115</v>
      </c>
      <c r="D273" s="2" t="str">
        <f t="shared" si="3"/>
        <v>Error?</v>
      </c>
    </row>
    <row r="274" spans="1:4" x14ac:dyDescent="0.2">
      <c r="A274" s="5">
        <v>213</v>
      </c>
      <c r="B274" s="138">
        <f>'Assets-Liab 5-6'!M17</f>
        <v>1617981</v>
      </c>
      <c r="D274" s="2" t="str">
        <f t="shared" si="3"/>
        <v>Error?</v>
      </c>
    </row>
    <row r="275" spans="1:4" x14ac:dyDescent="0.2">
      <c r="A275" s="5">
        <v>214</v>
      </c>
      <c r="B275" s="138">
        <f>'Assets-Liab 5-6'!M18</f>
        <v>143892</v>
      </c>
      <c r="D275" s="2" t="str">
        <f t="shared" si="3"/>
        <v>Error?</v>
      </c>
    </row>
    <row r="276" spans="1:4" x14ac:dyDescent="0.2">
      <c r="A276" s="5">
        <v>215</v>
      </c>
      <c r="B276" s="138">
        <f>'Assets-Liab 5-6'!M19</f>
        <v>923632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2704620</v>
      </c>
      <c r="C279" s="2" t="s">
        <v>573</v>
      </c>
      <c r="D279" s="2" t="str">
        <f t="shared" si="3"/>
        <v>Error?</v>
      </c>
    </row>
    <row r="280" spans="1:4" x14ac:dyDescent="0.2">
      <c r="A280" s="5">
        <v>219</v>
      </c>
      <c r="B280" s="138">
        <f>'Assets-Liab 5-6'!M40</f>
        <v>2704620</v>
      </c>
      <c r="D280" s="2" t="str">
        <f t="shared" si="3"/>
        <v>Error?</v>
      </c>
    </row>
    <row r="281" spans="1:4" x14ac:dyDescent="0.2">
      <c r="A281" s="5">
        <v>220</v>
      </c>
      <c r="B281" s="138">
        <f>'Assets-Liab 5-6'!M41</f>
        <v>2704620</v>
      </c>
      <c r="C281" s="2" t="s">
        <v>573</v>
      </c>
      <c r="D281" s="2" t="str">
        <f t="shared" si="3"/>
        <v>Error?</v>
      </c>
    </row>
    <row r="282" spans="1:4" x14ac:dyDescent="0.2">
      <c r="A282" s="5">
        <v>221</v>
      </c>
      <c r="B282" s="138">
        <f>'Assets-Liab 5-6'!N21</f>
        <v>15531</v>
      </c>
      <c r="D282" s="2" t="str">
        <f t="shared" si="3"/>
        <v>Error?</v>
      </c>
    </row>
    <row r="283" spans="1:4" x14ac:dyDescent="0.2">
      <c r="A283" s="5">
        <v>222</v>
      </c>
      <c r="B283" s="138">
        <f>'Assets-Liab 5-6'!N22</f>
        <v>769569</v>
      </c>
      <c r="D283" s="2" t="str">
        <f t="shared" si="3"/>
        <v>Error?</v>
      </c>
    </row>
    <row r="284" spans="1:4" x14ac:dyDescent="0.2">
      <c r="A284" s="5">
        <v>223</v>
      </c>
      <c r="B284" s="138">
        <f>'Assets-Liab 5-6'!N23</f>
        <v>785100</v>
      </c>
      <c r="C284" s="2" t="s">
        <v>573</v>
      </c>
      <c r="D284" s="2" t="str">
        <f t="shared" si="3"/>
        <v>Error?</v>
      </c>
    </row>
    <row r="285" spans="1:4" x14ac:dyDescent="0.2">
      <c r="A285" s="5">
        <v>224</v>
      </c>
      <c r="B285" s="138">
        <f>'Assets-Liab 5-6'!N36</f>
        <v>785100</v>
      </c>
      <c r="D285" s="2" t="str">
        <f t="shared" si="3"/>
        <v>Error?</v>
      </c>
    </row>
    <row r="286" spans="1:4" x14ac:dyDescent="0.2">
      <c r="A286" s="10">
        <v>225</v>
      </c>
      <c r="D286" s="2" t="str">
        <f t="shared" si="3"/>
        <v>OK</v>
      </c>
    </row>
    <row r="287" spans="1:4" x14ac:dyDescent="0.2">
      <c r="A287" s="5">
        <v>226</v>
      </c>
      <c r="B287" s="138">
        <f>'Assets-Liab 5-6'!N37</f>
        <v>785100</v>
      </c>
      <c r="C287" s="2" t="s">
        <v>573</v>
      </c>
      <c r="D287" s="2" t="str">
        <f t="shared" si="3"/>
        <v>Error?</v>
      </c>
    </row>
    <row r="288" spans="1:4" x14ac:dyDescent="0.2">
      <c r="A288" s="5">
        <v>227</v>
      </c>
      <c r="B288" s="138">
        <f>'Assets-Liab 5-6'!N41</f>
        <v>785100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427745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8424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556572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1750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1750</v>
      </c>
      <c r="C727" s="2" t="s">
        <v>573</v>
      </c>
      <c r="D727" s="2" t="str">
        <f t="shared" si="10"/>
        <v>Error?</v>
      </c>
    </row>
    <row r="728" spans="1:4" x14ac:dyDescent="0.2">
      <c r="A728" s="5">
        <v>667</v>
      </c>
      <c r="B728" s="138">
        <f>'Expenditures 15-22'!C44</f>
        <v>320</v>
      </c>
      <c r="D728" s="2" t="str">
        <f t="shared" si="10"/>
        <v>Error?</v>
      </c>
    </row>
    <row r="729" spans="1:4" x14ac:dyDescent="0.2">
      <c r="A729" s="5">
        <v>668</v>
      </c>
      <c r="B729" s="138">
        <f>'Expenditures 15-22'!C45</f>
        <v>26134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26454</v>
      </c>
      <c r="C731" s="2" t="s">
        <v>573</v>
      </c>
      <c r="D731" s="2" t="str">
        <f t="shared" si="10"/>
        <v>Error?</v>
      </c>
    </row>
    <row r="732" spans="1:4" x14ac:dyDescent="0.2">
      <c r="A732" s="5">
        <v>671</v>
      </c>
      <c r="B732" s="138">
        <f>'Expenditures 15-22'!C49</f>
        <v>2400</v>
      </c>
      <c r="D732" s="2" t="str">
        <f t="shared" si="10"/>
        <v>Error?</v>
      </c>
    </row>
    <row r="733" spans="1:4" x14ac:dyDescent="0.2">
      <c r="A733" s="5">
        <v>672</v>
      </c>
      <c r="B733" s="138">
        <f>'Expenditures 15-22'!C50</f>
        <v>4854</v>
      </c>
      <c r="D733" s="2" t="str">
        <f t="shared" si="10"/>
        <v>Error?</v>
      </c>
    </row>
    <row r="734" spans="1:4" x14ac:dyDescent="0.2">
      <c r="A734" s="5">
        <v>673</v>
      </c>
      <c r="B734" s="138">
        <f>'Expenditures 15-22'!C53</f>
        <v>7254</v>
      </c>
      <c r="C734" s="2" t="s">
        <v>573</v>
      </c>
      <c r="D734" s="2" t="str">
        <f t="shared" si="10"/>
        <v>Error?</v>
      </c>
    </row>
    <row r="735" spans="1:4" x14ac:dyDescent="0.2">
      <c r="A735" s="5">
        <v>674</v>
      </c>
      <c r="B735" s="138">
        <f>'Expenditures 15-22'!C55</f>
        <v>98853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98853</v>
      </c>
      <c r="C737" s="2" t="s">
        <v>573</v>
      </c>
      <c r="D737" s="2" t="str">
        <f t="shared" si="10"/>
        <v>Error?</v>
      </c>
    </row>
    <row r="738" spans="1:4" x14ac:dyDescent="0.2">
      <c r="A738" s="5">
        <v>677</v>
      </c>
      <c r="B738" s="138">
        <f>'Expenditures 15-22'!C59</f>
        <v>5641</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26936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32577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3150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3150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170038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726610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15172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17363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231</v>
      </c>
      <c r="D791" s="2" t="str">
        <f t="shared" si="11"/>
        <v>Error?</v>
      </c>
    </row>
    <row r="792" spans="1:4" x14ac:dyDescent="0.2">
      <c r="A792" s="5">
        <v>731</v>
      </c>
      <c r="B792" s="138">
        <f>'Expenditures 15-22'!D53</f>
        <v>231</v>
      </c>
      <c r="C792" s="2" t="s">
        <v>573</v>
      </c>
      <c r="D792" s="2" t="str">
        <f t="shared" si="11"/>
        <v>Error?</v>
      </c>
    </row>
    <row r="793" spans="1:4" x14ac:dyDescent="0.2">
      <c r="A793" s="5">
        <v>732</v>
      </c>
      <c r="B793" s="138">
        <f>'Expenditures 15-22'!D55</f>
        <v>3621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3621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3854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21217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20043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1308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25596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24004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24004</v>
      </c>
      <c r="C843" s="2" t="s">
        <v>573</v>
      </c>
      <c r="D843" s="2" t="str">
        <f t="shared" si="12"/>
        <v>Error?</v>
      </c>
    </row>
    <row r="844" spans="1:4" x14ac:dyDescent="0.2">
      <c r="A844" s="5">
        <v>783</v>
      </c>
      <c r="B844" s="138">
        <f>'Expenditures 15-22'!E44</f>
        <v>917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917</v>
      </c>
      <c r="C847" s="2" t="s">
        <v>573</v>
      </c>
      <c r="D847" s="2" t="str">
        <f t="shared" si="12"/>
        <v>Error?</v>
      </c>
    </row>
    <row r="848" spans="1:4" x14ac:dyDescent="0.2">
      <c r="A848" s="5">
        <v>787</v>
      </c>
      <c r="B848" s="138">
        <f>'Expenditures 15-22'!E49</f>
        <v>8458</v>
      </c>
      <c r="D848" s="2" t="str">
        <f t="shared" si="12"/>
        <v>Error?</v>
      </c>
    </row>
    <row r="849" spans="1:4" x14ac:dyDescent="0.2">
      <c r="A849" s="5">
        <v>788</v>
      </c>
      <c r="B849" s="138">
        <f>'Expenditures 15-22'!E50</f>
        <v>0</v>
      </c>
      <c r="D849" s="2" t="str">
        <f t="shared" si="12"/>
        <v>Error?</v>
      </c>
    </row>
    <row r="850" spans="1:4" x14ac:dyDescent="0.2">
      <c r="A850" s="5">
        <v>789</v>
      </c>
      <c r="B850" s="138">
        <f>'Expenditures 15-22'!E53</f>
        <v>8458</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638</v>
      </c>
      <c r="D854" s="2" t="str">
        <f t="shared" si="12"/>
        <v>Error?</v>
      </c>
    </row>
    <row r="855" spans="1:4" x14ac:dyDescent="0.2">
      <c r="A855" s="5">
        <v>794</v>
      </c>
      <c r="B855" s="138">
        <f>'Expenditures 15-22'!E60</f>
        <v>9000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382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10020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43399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68995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10843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430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38874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113</v>
      </c>
      <c r="C901" s="2" t="s">
        <v>573</v>
      </c>
      <c r="D901" s="2" t="str">
        <f t="shared" si="13"/>
        <v>Error?</v>
      </c>
    </row>
    <row r="902" spans="1:4" x14ac:dyDescent="0.2">
      <c r="A902" s="5">
        <v>841</v>
      </c>
      <c r="B902" s="138">
        <f>'Expenditures 15-22'!F44</f>
        <v>12007</v>
      </c>
      <c r="D902" s="2" t="str">
        <f t="shared" si="13"/>
        <v>Error?</v>
      </c>
    </row>
    <row r="903" spans="1:4" x14ac:dyDescent="0.2">
      <c r="A903" s="5">
        <v>842</v>
      </c>
      <c r="B903" s="138">
        <f>'Expenditures 15-22'!F45</f>
        <v>750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12757</v>
      </c>
      <c r="C905" s="2" t="s">
        <v>573</v>
      </c>
      <c r="D905" s="2" t="str">
        <f t="shared" si="13"/>
        <v>Error?</v>
      </c>
    </row>
    <row r="906" spans="1:4" x14ac:dyDescent="0.2">
      <c r="A906" s="5">
        <v>845</v>
      </c>
      <c r="B906" s="138">
        <f>'Expenditures 15-22'!F49</f>
        <v>513</v>
      </c>
      <c r="D906" s="2" t="str">
        <f t="shared" si="13"/>
        <v>Error?</v>
      </c>
    </row>
    <row r="907" spans="1:4" x14ac:dyDescent="0.2">
      <c r="A907" s="5">
        <v>846</v>
      </c>
      <c r="B907" s="138">
        <f>'Expenditures 15-22'!F50</f>
        <v>25</v>
      </c>
      <c r="D907" s="2" t="str">
        <f t="shared" si="13"/>
        <v>Error?</v>
      </c>
    </row>
    <row r="908" spans="1:4" x14ac:dyDescent="0.2">
      <c r="A908" s="5">
        <v>847</v>
      </c>
      <c r="B908" s="138">
        <f>'Expenditures 15-22'!F53</f>
        <v>538</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939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35121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36060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49468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88342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724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290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1014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1275</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1275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1275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326573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328862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474527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10549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646343</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1863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24004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25867</v>
      </c>
      <c r="C1115" s="2" t="s">
        <v>573</v>
      </c>
      <c r="D1115" s="2" t="str">
        <f t="shared" si="16"/>
        <v>Error?</v>
      </c>
    </row>
    <row r="1116" spans="1:4" x14ac:dyDescent="0.2">
      <c r="A1116" s="5">
        <v>1055</v>
      </c>
      <c r="B1116" s="138">
        <f>'Expenditures 15-22'!K44</f>
        <v>24433</v>
      </c>
      <c r="C1116" s="2" t="s">
        <v>573</v>
      </c>
      <c r="D1116" s="2" t="str">
        <f t="shared" si="16"/>
        <v>Error?</v>
      </c>
    </row>
    <row r="1117" spans="1:4" x14ac:dyDescent="0.2">
      <c r="A1117" s="5">
        <v>1056</v>
      </c>
      <c r="B1117" s="138">
        <f>'Expenditures 15-22'!K45</f>
        <v>26884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51317</v>
      </c>
      <c r="C1119" s="2" t="s">
        <v>573</v>
      </c>
      <c r="D1119" s="2" t="str">
        <f t="shared" si="16"/>
        <v>Error?</v>
      </c>
    </row>
    <row r="1120" spans="1:4" x14ac:dyDescent="0.2">
      <c r="A1120" s="5">
        <v>1059</v>
      </c>
      <c r="B1120" s="138">
        <f>'Expenditures 15-22'!K49</f>
        <v>12646</v>
      </c>
      <c r="C1120" s="2" t="s">
        <v>573</v>
      </c>
      <c r="D1120" s="2" t="str">
        <f t="shared" si="16"/>
        <v>Error?</v>
      </c>
    </row>
    <row r="1121" spans="1:4" x14ac:dyDescent="0.2">
      <c r="A1121" s="5">
        <v>1060</v>
      </c>
      <c r="B1121" s="138">
        <f>'Expenditures 15-22'!K50</f>
        <v>5110</v>
      </c>
      <c r="C1121" s="2" t="s">
        <v>573</v>
      </c>
      <c r="D1121" s="2" t="str">
        <f t="shared" si="16"/>
        <v>Error?</v>
      </c>
    </row>
    <row r="1122" spans="1:4" x14ac:dyDescent="0.2">
      <c r="A1122" s="5">
        <v>1061</v>
      </c>
      <c r="B1122" s="138">
        <f>'Expenditures 15-22'!K53</f>
        <v>17756</v>
      </c>
      <c r="C1122" s="2" t="s">
        <v>573</v>
      </c>
      <c r="D1122" s="2" t="str">
        <f t="shared" si="16"/>
        <v>Error?</v>
      </c>
    </row>
    <row r="1123" spans="1:4" x14ac:dyDescent="0.2">
      <c r="A1123" s="5">
        <v>1062</v>
      </c>
      <c r="B1123" s="138">
        <f>'Expenditures 15-22'!K55</f>
        <v>102474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102474</v>
      </c>
      <c r="C1125" s="2" t="s">
        <v>573</v>
      </c>
      <c r="D1125" s="2" t="str">
        <f t="shared" si="16"/>
        <v>Error?</v>
      </c>
    </row>
    <row r="1126" spans="1:4" x14ac:dyDescent="0.2">
      <c r="A1126" s="5">
        <v>1065</v>
      </c>
      <c r="B1126" s="138">
        <f>'Expenditures 15-22'!K59</f>
        <v>7218</v>
      </c>
      <c r="C1126" s="2" t="s">
        <v>573</v>
      </c>
      <c r="D1126" s="2" t="str">
        <f t="shared" si="16"/>
        <v>Error?</v>
      </c>
    </row>
    <row r="1127" spans="1:4" x14ac:dyDescent="0.2">
      <c r="A1127" s="5">
        <v>1066</v>
      </c>
      <c r="B1127" s="138">
        <f>'Expenditures 15-22'!K60</f>
        <v>9000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62439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78657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3150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3150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279221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326573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1252137</v>
      </c>
      <c r="C1152" s="2" t="s">
        <v>573</v>
      </c>
      <c r="D1152" s="2" t="str">
        <f t="shared" si="17"/>
        <v>Error?</v>
      </c>
    </row>
    <row r="1153" spans="1:4" x14ac:dyDescent="0.2">
      <c r="A1153" s="5">
        <v>1092</v>
      </c>
      <c r="B1153" s="138">
        <f>'Expenditures 15-22'!K115</f>
        <v>74459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32665</v>
      </c>
      <c r="D1221" s="2" t="str">
        <f t="shared" si="18"/>
        <v>Error?</v>
      </c>
    </row>
    <row r="1222" spans="1:4" x14ac:dyDescent="0.2">
      <c r="A1222" s="10">
        <v>1161</v>
      </c>
      <c r="D1222" s="2" t="str">
        <f t="shared" si="18"/>
        <v>OK</v>
      </c>
    </row>
    <row r="1223" spans="1:4" x14ac:dyDescent="0.2">
      <c r="A1223" s="5">
        <v>1162</v>
      </c>
      <c r="B1223" s="138">
        <f>'Expenditures 15-22'!C127</f>
        <v>32665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32665</v>
      </c>
      <c r="C1225" s="2" t="s">
        <v>573</v>
      </c>
      <c r="D1225" s="2" t="str">
        <f t="shared" si="18"/>
        <v>Error?</v>
      </c>
    </row>
    <row r="1226" spans="1:4" x14ac:dyDescent="0.2">
      <c r="A1226" s="5">
        <v>1165</v>
      </c>
      <c r="B1226" s="138">
        <f>'Expenditures 15-22'!C151</f>
        <v>32665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8996</v>
      </c>
      <c r="D1237" s="2" t="str">
        <f t="shared" si="18"/>
        <v>Error?</v>
      </c>
    </row>
    <row r="1238" spans="1:4" x14ac:dyDescent="0.2">
      <c r="A1238" s="10">
        <v>1177</v>
      </c>
      <c r="D1238" s="2" t="str">
        <f t="shared" si="18"/>
        <v>OK</v>
      </c>
    </row>
    <row r="1239" spans="1:4" x14ac:dyDescent="0.2">
      <c r="A1239" s="5">
        <v>1178</v>
      </c>
      <c r="B1239" s="138">
        <f>'Expenditures 15-22'!E127</f>
        <v>8996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8996</v>
      </c>
      <c r="C1241" s="2" t="s">
        <v>573</v>
      </c>
      <c r="D1241" s="2" t="str">
        <f t="shared" si="18"/>
        <v>Error?</v>
      </c>
    </row>
    <row r="1242" spans="1:4" x14ac:dyDescent="0.2">
      <c r="A1242" s="5">
        <v>1181</v>
      </c>
      <c r="B1242" s="138">
        <f>'Expenditures 15-22'!E151</f>
        <v>8996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27252</v>
      </c>
      <c r="D1245" s="2" t="str">
        <f t="shared" si="18"/>
        <v>Error?</v>
      </c>
    </row>
    <row r="1246" spans="1:4" x14ac:dyDescent="0.2">
      <c r="A1246" s="10">
        <v>1185</v>
      </c>
      <c r="D1246" s="2" t="str">
        <f t="shared" si="18"/>
        <v>OK</v>
      </c>
    </row>
    <row r="1247" spans="1:4" x14ac:dyDescent="0.2">
      <c r="A1247" s="5">
        <v>1186</v>
      </c>
      <c r="B1247" s="138">
        <f>'Expenditures 15-22'!F127</f>
        <v>27252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27252</v>
      </c>
      <c r="C1249" s="2" t="s">
        <v>573</v>
      </c>
      <c r="D1249" s="2" t="str">
        <f t="shared" si="18"/>
        <v>Error?</v>
      </c>
    </row>
    <row r="1250" spans="1:4" x14ac:dyDescent="0.2">
      <c r="A1250" s="5">
        <v>1189</v>
      </c>
      <c r="B1250" s="138">
        <f>'Expenditures 15-22'!F151</f>
        <v>27252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68913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68913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68913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68913</v>
      </c>
      <c r="C1288" s="2" t="s">
        <v>573</v>
      </c>
      <c r="D1288" s="2" t="str">
        <f t="shared" si="19"/>
        <v>Error?</v>
      </c>
    </row>
    <row r="1289" spans="1:4" x14ac:dyDescent="0.2">
      <c r="A1289" s="5">
        <v>1228</v>
      </c>
      <c r="B1289" s="138">
        <f>'Expenditures 15-22'!K152</f>
        <v>-7186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20787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56500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77287</v>
      </c>
      <c r="C1317" s="2" t="s">
        <v>573</v>
      </c>
      <c r="D1317" s="2" t="str">
        <f t="shared" si="19"/>
        <v>Error?</v>
      </c>
    </row>
    <row r="1318" spans="1:4" x14ac:dyDescent="0.2">
      <c r="A1318" s="5">
        <v>1257</v>
      </c>
      <c r="B1318" s="138">
        <f>'Expenditures 15-22'!H174</f>
        <v>77287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20787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56500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77287</v>
      </c>
      <c r="C1331" s="2" t="s">
        <v>573</v>
      </c>
      <c r="D1331" s="2" t="str">
        <f t="shared" si="19"/>
        <v>Error?</v>
      </c>
    </row>
    <row r="1332" spans="1:4" x14ac:dyDescent="0.2">
      <c r="A1332" s="5">
        <v>1271</v>
      </c>
      <c r="B1332" s="138">
        <f>'Expenditures 15-22'!K174</f>
        <v>77287</v>
      </c>
      <c r="C1332" s="2" t="s">
        <v>573</v>
      </c>
      <c r="D1332" s="2" t="str">
        <f t="shared" si="19"/>
        <v>Error?</v>
      </c>
    </row>
    <row r="1333" spans="1:4" x14ac:dyDescent="0.2">
      <c r="A1333" s="5">
        <v>1272</v>
      </c>
      <c r="B1333" s="138">
        <f>'Expenditures 15-22'!K175</f>
        <v>-22031</v>
      </c>
      <c r="C1333" s="2" t="s">
        <v>573</v>
      </c>
      <c r="D1333" s="2" t="str">
        <f t="shared" si="19"/>
        <v>Error?</v>
      </c>
    </row>
    <row r="1334" spans="1:4" x14ac:dyDescent="0.2">
      <c r="A1334" s="10">
        <v>1273</v>
      </c>
      <c r="D1334" s="2" t="str">
        <f t="shared" si="19"/>
        <v>OK</v>
      </c>
    </row>
    <row r="1335" spans="1:4" x14ac:dyDescent="0.2">
      <c r="A1335" s="5">
        <v>1274</v>
      </c>
      <c r="B1335" s="138">
        <f>'Expenditures 15-22'!C182</f>
        <v>29826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29826</v>
      </c>
      <c r="C1339" s="2" t="s">
        <v>573</v>
      </c>
      <c r="D1339" s="2" t="str">
        <f t="shared" si="19"/>
        <v>Error?</v>
      </c>
    </row>
    <row r="1340" spans="1:4" x14ac:dyDescent="0.2">
      <c r="A1340" s="5">
        <v>1279</v>
      </c>
      <c r="B1340" s="138">
        <f>'Expenditures 15-22'!C210</f>
        <v>29826</v>
      </c>
      <c r="C1340" s="2" t="s">
        <v>573</v>
      </c>
      <c r="D1340" s="2" t="str">
        <f t="shared" si="19"/>
        <v>Error?</v>
      </c>
    </row>
    <row r="1341" spans="1:4" x14ac:dyDescent="0.2">
      <c r="A1341" s="5">
        <v>1280</v>
      </c>
      <c r="B1341" s="138">
        <f>'Expenditures 15-22'!D182</f>
        <v>192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192</v>
      </c>
      <c r="C1345" s="2" t="s">
        <v>573</v>
      </c>
      <c r="D1345" s="2" t="str">
        <f t="shared" si="20"/>
        <v>Error?</v>
      </c>
    </row>
    <row r="1346" spans="1:4" x14ac:dyDescent="0.2">
      <c r="A1346" s="5">
        <v>1285</v>
      </c>
      <c r="B1346" s="138">
        <f>'Expenditures 15-22'!D210</f>
        <v>192</v>
      </c>
      <c r="C1346" s="2" t="s">
        <v>573</v>
      </c>
      <c r="D1346" s="2" t="str">
        <f t="shared" si="20"/>
        <v>Error?</v>
      </c>
    </row>
    <row r="1347" spans="1:4" x14ac:dyDescent="0.2">
      <c r="A1347" s="5">
        <v>1286</v>
      </c>
      <c r="B1347" s="138">
        <f>'Expenditures 15-22'!E182</f>
        <v>11214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11214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11214</v>
      </c>
      <c r="C1353" s="2" t="s">
        <v>573</v>
      </c>
      <c r="D1353" s="2" t="str">
        <f t="shared" si="20"/>
        <v>Error?</v>
      </c>
    </row>
    <row r="1354" spans="1:4" x14ac:dyDescent="0.2">
      <c r="A1354" s="5">
        <v>1293</v>
      </c>
      <c r="B1354" s="138">
        <f>'Expenditures 15-22'!F182</f>
        <v>13083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13083</v>
      </c>
      <c r="C1358" s="2" t="s">
        <v>573</v>
      </c>
      <c r="D1358" s="2" t="str">
        <f t="shared" si="20"/>
        <v>Error?</v>
      </c>
    </row>
    <row r="1359" spans="1:4" x14ac:dyDescent="0.2">
      <c r="A1359" s="5">
        <v>1298</v>
      </c>
      <c r="B1359" s="138">
        <f>'Expenditures 15-22'!F210</f>
        <v>13083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54315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54315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54315</v>
      </c>
      <c r="C1388" s="2" t="s">
        <v>573</v>
      </c>
      <c r="D1388" s="2" t="str">
        <f t="shared" si="20"/>
        <v>Error?</v>
      </c>
    </row>
    <row r="1389" spans="1:4" x14ac:dyDescent="0.2">
      <c r="A1389" s="5">
        <v>1328</v>
      </c>
      <c r="B1389" s="138">
        <f>'Expenditures 15-22'!K211</f>
        <v>12339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445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18946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134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134</v>
      </c>
      <c r="C1417" s="2" t="s">
        <v>573</v>
      </c>
      <c r="D1417" s="2" t="str">
        <f t="shared" si="21"/>
        <v>Error?</v>
      </c>
    </row>
    <row r="1418" spans="1:4" x14ac:dyDescent="0.2">
      <c r="A1418" s="5">
        <v>1357</v>
      </c>
      <c r="B1418" s="138">
        <f>'Expenditures 15-22'!D240</f>
        <v>3</v>
      </c>
      <c r="D1418" s="2" t="str">
        <f t="shared" si="21"/>
        <v>Error?</v>
      </c>
    </row>
    <row r="1419" spans="1:4" x14ac:dyDescent="0.2">
      <c r="A1419" s="5">
        <v>1358</v>
      </c>
      <c r="B1419" s="138">
        <f>'Expenditures 15-22'!D241</f>
        <v>3898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3901</v>
      </c>
      <c r="C1421" s="2" t="s">
        <v>573</v>
      </c>
      <c r="D1421" s="2" t="str">
        <f t="shared" si="21"/>
        <v>Error?</v>
      </c>
    </row>
    <row r="1422" spans="1:4" x14ac:dyDescent="0.2">
      <c r="A1422" s="5">
        <v>1361</v>
      </c>
      <c r="B1422" s="138">
        <f>'Expenditures 15-22'!D245</f>
        <v>184</v>
      </c>
      <c r="D1422" s="2" t="str">
        <f t="shared" si="21"/>
        <v>Error?</v>
      </c>
    </row>
    <row r="1423" spans="1:4" x14ac:dyDescent="0.2">
      <c r="A1423" s="5">
        <v>1362</v>
      </c>
      <c r="B1423" s="138">
        <f>'Expenditures 15-22'!D246</f>
        <v>67</v>
      </c>
      <c r="D1423" s="2" t="str">
        <f t="shared" si="21"/>
        <v>Error?</v>
      </c>
    </row>
    <row r="1424" spans="1:4" x14ac:dyDescent="0.2">
      <c r="A1424" s="5">
        <v>1363</v>
      </c>
      <c r="B1424" s="138">
        <f>'Expenditures 15-22'!D257</f>
        <v>957</v>
      </c>
      <c r="C1424" s="2" t="s">
        <v>573</v>
      </c>
      <c r="D1424" s="2" t="str">
        <f t="shared" si="21"/>
        <v>Error?</v>
      </c>
    </row>
    <row r="1425" spans="1:4" x14ac:dyDescent="0.2">
      <c r="A1425" s="5">
        <v>1364</v>
      </c>
      <c r="B1425" s="138">
        <f>'Expenditures 15-22'!D259</f>
        <v>4430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4430</v>
      </c>
      <c r="C1427" s="2" t="s">
        <v>573</v>
      </c>
      <c r="D1427" s="2" t="str">
        <f t="shared" si="21"/>
        <v>Error?</v>
      </c>
    </row>
    <row r="1428" spans="1:4" x14ac:dyDescent="0.2">
      <c r="A1428" s="5">
        <v>1367</v>
      </c>
      <c r="B1428" s="138">
        <f>'Expenditures 15-22'!D263</f>
        <v>842</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4864</v>
      </c>
      <c r="D1431" s="2" t="str">
        <f t="shared" si="21"/>
        <v>Error?</v>
      </c>
    </row>
    <row r="1432" spans="1:4" x14ac:dyDescent="0.2">
      <c r="A1432" s="5">
        <v>1371</v>
      </c>
      <c r="B1432" s="138">
        <f>'Expenditures 15-22'!D267</f>
        <v>3660</v>
      </c>
      <c r="D1432" s="2" t="str">
        <f t="shared" si="21"/>
        <v>Error?</v>
      </c>
    </row>
    <row r="1433" spans="1:4" x14ac:dyDescent="0.2">
      <c r="A1433" s="5">
        <v>1372</v>
      </c>
      <c r="B1433" s="138">
        <f>'Expenditures 15-22'!D268</f>
        <v>4014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13380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470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470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23272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42218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445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18946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134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134</v>
      </c>
      <c r="C1481" s="2" t="s">
        <v>573</v>
      </c>
      <c r="D1481" s="2" t="str">
        <f t="shared" si="22"/>
        <v>Error?</v>
      </c>
    </row>
    <row r="1482" spans="1:4" x14ac:dyDescent="0.2">
      <c r="A1482" s="5">
        <v>1421</v>
      </c>
      <c r="B1482" s="138">
        <f>'Expenditures 15-22'!K240</f>
        <v>3</v>
      </c>
      <c r="C1482" s="2" t="s">
        <v>573</v>
      </c>
      <c r="D1482" s="2" t="str">
        <f t="shared" si="22"/>
        <v>Error?</v>
      </c>
    </row>
    <row r="1483" spans="1:4" x14ac:dyDescent="0.2">
      <c r="A1483" s="5">
        <v>1422</v>
      </c>
      <c r="B1483" s="138">
        <f>'Expenditures 15-22'!K241</f>
        <v>3898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3901</v>
      </c>
      <c r="C1485" s="2" t="s">
        <v>573</v>
      </c>
      <c r="D1485" s="2" t="str">
        <f t="shared" si="22"/>
        <v>Error?</v>
      </c>
    </row>
    <row r="1486" spans="1:4" x14ac:dyDescent="0.2">
      <c r="A1486" s="5">
        <v>1425</v>
      </c>
      <c r="B1486" s="138">
        <f>'Expenditures 15-22'!K245</f>
        <v>184</v>
      </c>
      <c r="C1486" s="2" t="s">
        <v>573</v>
      </c>
      <c r="D1486" s="2" t="str">
        <f t="shared" si="22"/>
        <v>Error?</v>
      </c>
    </row>
    <row r="1487" spans="1:4" x14ac:dyDescent="0.2">
      <c r="A1487" s="5">
        <v>1426</v>
      </c>
      <c r="B1487" s="138">
        <f>'Expenditures 15-22'!K246</f>
        <v>67</v>
      </c>
      <c r="C1487" s="2" t="s">
        <v>573</v>
      </c>
      <c r="D1487" s="2" t="str">
        <f t="shared" si="22"/>
        <v>Error?</v>
      </c>
    </row>
    <row r="1488" spans="1:4" x14ac:dyDescent="0.2">
      <c r="A1488" s="5">
        <v>1427</v>
      </c>
      <c r="B1488" s="138">
        <f>'Expenditures 15-22'!K257</f>
        <v>957</v>
      </c>
      <c r="C1488" s="2" t="s">
        <v>573</v>
      </c>
      <c r="D1488" s="2" t="str">
        <f t="shared" si="22"/>
        <v>Error?</v>
      </c>
    </row>
    <row r="1489" spans="1:4" x14ac:dyDescent="0.2">
      <c r="A1489" s="5">
        <v>1428</v>
      </c>
      <c r="B1489" s="138">
        <f>'Expenditures 15-22'!K259</f>
        <v>4430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4430</v>
      </c>
      <c r="C1491" s="2" t="s">
        <v>573</v>
      </c>
      <c r="D1491" s="2" t="str">
        <f t="shared" si="22"/>
        <v>Error?</v>
      </c>
    </row>
    <row r="1492" spans="1:4" x14ac:dyDescent="0.2">
      <c r="A1492" s="5">
        <v>1431</v>
      </c>
      <c r="B1492" s="138">
        <f>'Expenditures 15-22'!K263</f>
        <v>842</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4864</v>
      </c>
      <c r="C1495" s="2" t="s">
        <v>573</v>
      </c>
      <c r="D1495" s="2" t="str">
        <f t="shared" si="22"/>
        <v>Error?</v>
      </c>
    </row>
    <row r="1496" spans="1:4" x14ac:dyDescent="0.2">
      <c r="A1496" s="5">
        <v>1435</v>
      </c>
      <c r="B1496" s="138">
        <f>'Expenditures 15-22'!K267</f>
        <v>3660</v>
      </c>
      <c r="C1496" s="2" t="s">
        <v>573</v>
      </c>
      <c r="D1496" s="2" t="str">
        <f t="shared" si="22"/>
        <v>Error?</v>
      </c>
    </row>
    <row r="1497" spans="1:4" x14ac:dyDescent="0.2">
      <c r="A1497" s="5">
        <v>1436</v>
      </c>
      <c r="B1497" s="138">
        <f>'Expenditures 15-22'!K268</f>
        <v>4014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13380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470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470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23272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42218</v>
      </c>
      <c r="C1517" s="2" t="s">
        <v>573</v>
      </c>
      <c r="D1517" s="2" t="str">
        <f t="shared" si="22"/>
        <v>Error?</v>
      </c>
    </row>
    <row r="1518" spans="1:4" x14ac:dyDescent="0.2">
      <c r="A1518" s="5">
        <v>1457</v>
      </c>
      <c r="B1518" s="138">
        <f>'Expenditures 15-22'!K296</f>
        <v>-7225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68993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68993</v>
      </c>
      <c r="C1535" s="2" t="s">
        <v>573</v>
      </c>
      <c r="D1535" s="2" t="str">
        <f t="shared" ref="D1535:D1598" si="23">IF(ISBLANK(B1535),"OK",IF(A1535-B1535=0,"OK","Error?"))</f>
        <v>Error?</v>
      </c>
    </row>
    <row r="1536" spans="1:4" x14ac:dyDescent="0.2">
      <c r="A1536" s="5">
        <v>1475</v>
      </c>
      <c r="B1536" s="138">
        <f>'Expenditures 15-22'!E312</f>
        <v>68993</v>
      </c>
      <c r="C1536" s="2" t="s">
        <v>573</v>
      </c>
      <c r="D1536" s="2" t="str">
        <f t="shared" si="23"/>
        <v>Error?</v>
      </c>
    </row>
    <row r="1537" spans="1:4" x14ac:dyDescent="0.2">
      <c r="A1537" s="5">
        <v>1476</v>
      </c>
      <c r="B1537" s="138">
        <f>'Expenditures 15-22'!F301</f>
        <v>538</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538</v>
      </c>
      <c r="C1541" s="2" t="s">
        <v>573</v>
      </c>
      <c r="D1541" s="2" t="str">
        <f t="shared" si="23"/>
        <v>Error?</v>
      </c>
    </row>
    <row r="1542" spans="1:4" x14ac:dyDescent="0.2">
      <c r="A1542" s="5">
        <v>1481</v>
      </c>
      <c r="B1542" s="138">
        <f>'Expenditures 15-22'!F312</f>
        <v>538</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72331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72331</v>
      </c>
      <c r="C1559" s="2" t="s">
        <v>573</v>
      </c>
      <c r="D1559" s="2" t="str">
        <f t="shared" si="23"/>
        <v>Error?</v>
      </c>
    </row>
    <row r="1560" spans="1:4" x14ac:dyDescent="0.2">
      <c r="A1560" s="5">
        <v>1499</v>
      </c>
      <c r="B1560" s="138">
        <f>'Expenditures 15-22'!K312</f>
        <v>72331</v>
      </c>
      <c r="C1560" s="2" t="s">
        <v>573</v>
      </c>
      <c r="D1560" s="2" t="str">
        <f t="shared" si="23"/>
        <v>Error?</v>
      </c>
    </row>
    <row r="1561" spans="1:4" x14ac:dyDescent="0.2">
      <c r="A1561" s="5">
        <v>1500</v>
      </c>
      <c r="B1561" s="138">
        <f>'Expenditures 15-22'!K313</f>
        <v>-4285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59983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134442</v>
      </c>
      <c r="C1630" s="2" t="s">
        <v>573</v>
      </c>
      <c r="D1630" s="2" t="str">
        <f t="shared" si="24"/>
        <v>Error?</v>
      </c>
    </row>
    <row r="1631" spans="1:4" x14ac:dyDescent="0.2">
      <c r="A1631" s="5">
        <v>1570</v>
      </c>
      <c r="B1631" s="138">
        <f>'Acct Summary 7-8'!D79</f>
        <v>12025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29839</v>
      </c>
      <c r="C1644" s="2" t="s">
        <v>573</v>
      </c>
      <c r="D1644" s="2" t="str">
        <f t="shared" si="24"/>
        <v>Error?</v>
      </c>
    </row>
    <row r="1645" spans="1:4" x14ac:dyDescent="0.2">
      <c r="A1645" s="5">
        <v>1584</v>
      </c>
      <c r="B1645" s="138">
        <f>'Acct Summary 7-8'!E79</f>
        <v>22562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15531</v>
      </c>
      <c r="C1658" s="2" t="s">
        <v>573</v>
      </c>
      <c r="D1658" s="2" t="str">
        <f t="shared" si="24"/>
        <v>Error?</v>
      </c>
    </row>
    <row r="1659" spans="1:4" x14ac:dyDescent="0.2">
      <c r="A1659" s="5">
        <v>1598</v>
      </c>
      <c r="B1659" s="138">
        <f>'Acct Summary 7-8'!F79</f>
        <v>68407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80746</v>
      </c>
      <c r="C1672" s="2" t="s">
        <v>573</v>
      </c>
      <c r="D1672" s="2" t="str">
        <f t="shared" si="25"/>
        <v>Error?</v>
      </c>
    </row>
    <row r="1673" spans="1:4" x14ac:dyDescent="0.2">
      <c r="A1673" s="5">
        <v>1612</v>
      </c>
      <c r="B1673" s="138">
        <f>'Acct Summary 7-8'!G79</f>
        <v>44204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36979</v>
      </c>
      <c r="C1686" s="2" t="s">
        <v>573</v>
      </c>
      <c r="D1686" s="2" t="str">
        <f t="shared" si="25"/>
        <v>Error?</v>
      </c>
    </row>
    <row r="1687" spans="1:4" x14ac:dyDescent="0.2">
      <c r="A1687" s="5">
        <v>1626</v>
      </c>
      <c r="B1687" s="138">
        <f>'Acct Summary 7-8'!H79</f>
        <v>10414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28244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257855</v>
      </c>
      <c r="C1744" s="2" t="s">
        <v>573</v>
      </c>
      <c r="D1744" s="2" t="str">
        <f t="shared" si="26"/>
        <v>Error?</v>
      </c>
    </row>
    <row r="1745" spans="1:5" x14ac:dyDescent="0.2">
      <c r="A1745" s="5">
        <v>1684</v>
      </c>
      <c r="B1745" s="138">
        <f>'Tax Sched 23'!B5</f>
        <v>61394</v>
      </c>
      <c r="C1745" s="2" t="s">
        <v>573</v>
      </c>
      <c r="D1745" s="2" t="str">
        <f t="shared" si="26"/>
        <v>Error?</v>
      </c>
    </row>
    <row r="1746" spans="1:5" x14ac:dyDescent="0.2">
      <c r="A1746" s="5">
        <v>1685</v>
      </c>
      <c r="B1746" s="138">
        <f>'Tax Sched 23'!B6</f>
        <v>55106</v>
      </c>
      <c r="C1746" s="2" t="s">
        <v>573</v>
      </c>
      <c r="D1746" s="2" t="str">
        <f t="shared" si="26"/>
        <v>Error?</v>
      </c>
    </row>
    <row r="1747" spans="1:5" x14ac:dyDescent="0.2">
      <c r="A1747" s="5">
        <v>1686</v>
      </c>
      <c r="B1747" s="138">
        <f>'Tax Sched 23'!B7</f>
        <v>24558</v>
      </c>
      <c r="C1747" s="2" t="s">
        <v>573</v>
      </c>
      <c r="D1747" s="2" t="str">
        <f t="shared" si="26"/>
        <v>Error?</v>
      </c>
    </row>
    <row r="1748" spans="1:5" x14ac:dyDescent="0.2">
      <c r="A1748" s="5">
        <v>1687</v>
      </c>
      <c r="B1748" s="138">
        <f>'Tax Sched 23'!B8</f>
        <v>1007</v>
      </c>
      <c r="C1748" s="2" t="s">
        <v>573</v>
      </c>
      <c r="D1748" s="2" t="str">
        <f t="shared" si="26"/>
        <v>Error?</v>
      </c>
    </row>
    <row r="1749" spans="1:5" x14ac:dyDescent="0.2">
      <c r="A1749" s="5">
        <v>1688</v>
      </c>
      <c r="B1749" s="138">
        <f>'Tax Sched 23'!B10</f>
        <v>6140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55609</v>
      </c>
      <c r="C1752" s="2" t="s">
        <v>573</v>
      </c>
      <c r="D1752" s="2" t="str">
        <f t="shared" si="26"/>
        <v>Error?</v>
      </c>
    </row>
    <row r="1753" spans="1:5" x14ac:dyDescent="0.2">
      <c r="A1753" s="5">
        <v>1692</v>
      </c>
      <c r="B1753" s="138">
        <f>'Tax Sched 23'!B12</f>
        <v>6139</v>
      </c>
      <c r="C1753" s="2" t="s">
        <v>573</v>
      </c>
      <c r="D1753" s="2" t="str">
        <f t="shared" si="26"/>
        <v>Error?</v>
      </c>
    </row>
    <row r="1754" spans="1:5" x14ac:dyDescent="0.2">
      <c r="A1754" s="5">
        <v>1693</v>
      </c>
      <c r="B1754" s="138">
        <f>'Tax Sched 23'!B14</f>
        <v>4912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506363</v>
      </c>
      <c r="C1759" s="2" t="s">
        <v>573</v>
      </c>
      <c r="D1759" s="2" t="str">
        <f t="shared" si="26"/>
        <v>Error?</v>
      </c>
    </row>
    <row r="1760" spans="1:5" x14ac:dyDescent="0.2">
      <c r="A1760" s="5">
        <v>1699</v>
      </c>
      <c r="B1760" s="138">
        <f>'Tax Sched 23'!D4</f>
        <v>257855</v>
      </c>
      <c r="C1760" s="2" t="s">
        <v>573</v>
      </c>
      <c r="D1760" s="2" t="str">
        <f t="shared" si="26"/>
        <v>Error?</v>
      </c>
    </row>
    <row r="1761" spans="1:5" x14ac:dyDescent="0.2">
      <c r="A1761" s="5">
        <v>1700</v>
      </c>
      <c r="B1761" s="138">
        <f>'Tax Sched 23'!D5</f>
        <v>61394</v>
      </c>
      <c r="C1761" s="2" t="s">
        <v>573</v>
      </c>
      <c r="D1761" s="2" t="str">
        <f t="shared" si="26"/>
        <v>Error?</v>
      </c>
    </row>
    <row r="1762" spans="1:5" s="8" customFormat="1" x14ac:dyDescent="0.2">
      <c r="A1762" s="5">
        <v>1701</v>
      </c>
      <c r="B1762" s="138">
        <f>'Tax Sched 23'!D6</f>
        <v>55106</v>
      </c>
      <c r="C1762" s="2" t="s">
        <v>573</v>
      </c>
      <c r="D1762" s="2" t="str">
        <f t="shared" si="26"/>
        <v>Error?</v>
      </c>
      <c r="E1762" s="9"/>
    </row>
    <row r="1763" spans="1:5" x14ac:dyDescent="0.2">
      <c r="A1763" s="5">
        <v>1702</v>
      </c>
      <c r="B1763" s="138">
        <f>'Tax Sched 23'!D7</f>
        <v>24558</v>
      </c>
      <c r="C1763" s="2" t="s">
        <v>573</v>
      </c>
      <c r="D1763" s="2" t="str">
        <f t="shared" si="26"/>
        <v>Error?</v>
      </c>
    </row>
    <row r="1764" spans="1:5" x14ac:dyDescent="0.2">
      <c r="A1764" s="5">
        <v>1703</v>
      </c>
      <c r="B1764" s="138">
        <f>'Tax Sched 23'!D8</f>
        <v>1007</v>
      </c>
      <c r="C1764" s="2" t="s">
        <v>573</v>
      </c>
      <c r="D1764" s="2" t="str">
        <f t="shared" si="26"/>
        <v>Error?</v>
      </c>
    </row>
    <row r="1765" spans="1:5" x14ac:dyDescent="0.2">
      <c r="A1765" s="5">
        <v>1704</v>
      </c>
      <c r="B1765" s="138">
        <f>'Tax Sched 23'!D10</f>
        <v>6140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55609</v>
      </c>
      <c r="C1768" s="2" t="s">
        <v>573</v>
      </c>
      <c r="D1768" s="2" t="str">
        <f t="shared" si="26"/>
        <v>Error?</v>
      </c>
    </row>
    <row r="1769" spans="1:5" x14ac:dyDescent="0.2">
      <c r="A1769" s="5">
        <v>1708</v>
      </c>
      <c r="B1769" s="138">
        <f>'Tax Sched 23'!D12</f>
        <v>6139</v>
      </c>
      <c r="C1769" s="2" t="s">
        <v>573</v>
      </c>
      <c r="D1769" s="2" t="str">
        <f t="shared" si="26"/>
        <v>Error?</v>
      </c>
    </row>
    <row r="1770" spans="1:5" x14ac:dyDescent="0.2">
      <c r="A1770" s="5">
        <v>1709</v>
      </c>
      <c r="B1770" s="138">
        <f>'Tax Sched 23'!D14</f>
        <v>4912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506363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841600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19115</v>
      </c>
      <c r="D2008" s="2" t="str">
        <f t="shared" si="30"/>
        <v>Error?</v>
      </c>
    </row>
    <row r="2009" spans="1:4" x14ac:dyDescent="0.2">
      <c r="A2009" s="5">
        <v>1948</v>
      </c>
      <c r="B2009" s="138">
        <f>'Cap Outlay Deprec 26'!C8</f>
        <v>1617981</v>
      </c>
      <c r="D2009" s="2" t="str">
        <f t="shared" si="30"/>
        <v>Error?</v>
      </c>
    </row>
    <row r="2010" spans="1:4" x14ac:dyDescent="0.2">
      <c r="A2010" s="5">
        <v>1949</v>
      </c>
      <c r="B2010" s="138">
        <f>'Cap Outlay Deprec 26'!C10</f>
        <v>143892</v>
      </c>
      <c r="D2010" s="2" t="str">
        <f t="shared" si="30"/>
        <v>Error?</v>
      </c>
    </row>
    <row r="2011" spans="1:4" x14ac:dyDescent="0.2">
      <c r="A2011" s="5">
        <v>1950</v>
      </c>
      <c r="B2011" s="138">
        <f>'Cap Outlay Deprec 26'!C12</f>
        <v>326267</v>
      </c>
      <c r="D2011" s="2" t="str">
        <f t="shared" si="30"/>
        <v>Error?</v>
      </c>
    </row>
    <row r="2012" spans="1:4" x14ac:dyDescent="0.2">
      <c r="A2012" s="5">
        <v>1951</v>
      </c>
      <c r="B2012" s="138">
        <f>'Cap Outlay Deprec 26'!C13</f>
        <v>552989</v>
      </c>
      <c r="D2012" s="2" t="str">
        <f t="shared" si="30"/>
        <v>Error?</v>
      </c>
    </row>
    <row r="2013" spans="1:4" x14ac:dyDescent="0.2">
      <c r="A2013" s="5">
        <v>1952</v>
      </c>
      <c r="B2013" s="138">
        <f>'Cap Outlay Deprec 26'!C16</f>
        <v>2660244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44376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44376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19115</v>
      </c>
      <c r="C2026" s="2" t="s">
        <v>573</v>
      </c>
      <c r="D2026" s="2" t="str">
        <f t="shared" si="30"/>
        <v>Error?</v>
      </c>
    </row>
    <row r="2027" spans="1:4" x14ac:dyDescent="0.2">
      <c r="A2027" s="5">
        <v>1966</v>
      </c>
      <c r="B2027" s="138">
        <f>'Cap Outlay Deprec 26'!F8</f>
        <v>1617981</v>
      </c>
      <c r="C2027" s="2" t="s">
        <v>573</v>
      </c>
      <c r="D2027" s="2" t="str">
        <f t="shared" si="30"/>
        <v>Error?</v>
      </c>
    </row>
    <row r="2028" spans="1:4" x14ac:dyDescent="0.2">
      <c r="A2028" s="5">
        <v>1967</v>
      </c>
      <c r="B2028" s="138">
        <f>'Cap Outlay Deprec 26'!F10</f>
        <v>143892</v>
      </c>
      <c r="C2028" s="2" t="s">
        <v>573</v>
      </c>
      <c r="D2028" s="2" t="str">
        <f t="shared" si="30"/>
        <v>Error?</v>
      </c>
    </row>
    <row r="2029" spans="1:4" x14ac:dyDescent="0.2">
      <c r="A2029" s="5">
        <v>1968</v>
      </c>
      <c r="B2029" s="138">
        <f>'Cap Outlay Deprec 26'!F12</f>
        <v>370643</v>
      </c>
      <c r="C2029" s="2" t="s">
        <v>573</v>
      </c>
      <c r="D2029" s="2" t="str">
        <f t="shared" si="30"/>
        <v>Error?</v>
      </c>
    </row>
    <row r="2030" spans="1:4" x14ac:dyDescent="0.2">
      <c r="A2030" s="5">
        <v>1969</v>
      </c>
      <c r="B2030" s="138">
        <f>'Cap Outlay Deprec 26'!F13</f>
        <v>552989</v>
      </c>
      <c r="C2030" s="2" t="s">
        <v>573</v>
      </c>
      <c r="D2030" s="2" t="str">
        <f t="shared" si="30"/>
        <v>Error?</v>
      </c>
    </row>
    <row r="2031" spans="1:4" x14ac:dyDescent="0.2">
      <c r="A2031" s="5">
        <v>1970</v>
      </c>
      <c r="B2031" s="138">
        <f>'Cap Outlay Deprec 26'!F16</f>
        <v>2704620</v>
      </c>
      <c r="C2031" s="2" t="s">
        <v>573</v>
      </c>
      <c r="D2031" s="2" t="str">
        <f t="shared" si="30"/>
        <v>Error?</v>
      </c>
    </row>
    <row r="2032" spans="1:4" x14ac:dyDescent="0.2">
      <c r="A2032" s="10">
        <v>1971</v>
      </c>
      <c r="D2032" s="2" t="str">
        <f t="shared" si="30"/>
        <v>OK</v>
      </c>
    </row>
    <row r="2033" spans="1:4" x14ac:dyDescent="0.2">
      <c r="A2033" s="5">
        <v>1972</v>
      </c>
      <c r="B2033" s="138">
        <f>'Cap Outlay Deprec 26'!H8</f>
        <v>875342</v>
      </c>
      <c r="D2033" s="2" t="str">
        <f t="shared" si="30"/>
        <v>Error?</v>
      </c>
    </row>
    <row r="2034" spans="1:4" x14ac:dyDescent="0.2">
      <c r="A2034" s="5">
        <v>1973</v>
      </c>
      <c r="B2034" s="138">
        <f>'Cap Outlay Deprec 26'!H10</f>
        <v>143892</v>
      </c>
      <c r="D2034" s="2" t="str">
        <f t="shared" si="30"/>
        <v>Error?</v>
      </c>
    </row>
    <row r="2035" spans="1:4" x14ac:dyDescent="0.2">
      <c r="A2035" s="5">
        <v>1974</v>
      </c>
      <c r="B2035" s="138">
        <f>'Cap Outlay Deprec 26'!H12</f>
        <v>326267</v>
      </c>
      <c r="D2035" s="2" t="str">
        <f t="shared" si="30"/>
        <v>Error?</v>
      </c>
    </row>
    <row r="2036" spans="1:4" x14ac:dyDescent="0.2">
      <c r="A2036" s="5">
        <v>1975</v>
      </c>
      <c r="B2036" s="138">
        <f>'Cap Outlay Deprec 26'!H13</f>
        <v>517863</v>
      </c>
      <c r="D2036" s="2" t="str">
        <f t="shared" si="30"/>
        <v>Error?</v>
      </c>
    </row>
    <row r="2037" spans="1:4" x14ac:dyDescent="0.2">
      <c r="A2037" s="5">
        <v>1976</v>
      </c>
      <c r="B2037" s="138">
        <f>'Cap Outlay Deprec 26'!H16</f>
        <v>1863364</v>
      </c>
      <c r="C2037" s="2" t="s">
        <v>573</v>
      </c>
      <c r="D2037" s="2" t="str">
        <f t="shared" si="30"/>
        <v>Error?</v>
      </c>
    </row>
    <row r="2038" spans="1:4" x14ac:dyDescent="0.2">
      <c r="A2038" s="10">
        <v>1977</v>
      </c>
      <c r="D2038" s="2" t="str">
        <f t="shared" si="30"/>
        <v>OK</v>
      </c>
    </row>
    <row r="2039" spans="1:4" x14ac:dyDescent="0.2">
      <c r="A2039" s="5">
        <v>1978</v>
      </c>
      <c r="B2039" s="138">
        <f>'Cap Outlay Deprec 26'!I8</f>
        <v>32360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4438</v>
      </c>
      <c r="D2041" s="2" t="str">
        <f t="shared" si="30"/>
        <v>Error?</v>
      </c>
    </row>
    <row r="2042" spans="1:4" x14ac:dyDescent="0.2">
      <c r="A2042" s="5">
        <v>1981</v>
      </c>
      <c r="B2042" s="138">
        <f>'Cap Outlay Deprec 26'!I13</f>
        <v>16174</v>
      </c>
      <c r="D2042" s="2" t="str">
        <f t="shared" si="30"/>
        <v>Error?</v>
      </c>
    </row>
    <row r="2043" spans="1:4" x14ac:dyDescent="0.2">
      <c r="A2043" s="5">
        <v>1982</v>
      </c>
      <c r="B2043" s="138">
        <f>'Cap Outlay Deprec 26'!I16</f>
        <v>52972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907702</v>
      </c>
      <c r="C2051" s="2" t="s">
        <v>573</v>
      </c>
      <c r="D2051" s="2" t="str">
        <f t="shared" si="31"/>
        <v>Error?</v>
      </c>
    </row>
    <row r="2052" spans="1:4" x14ac:dyDescent="0.2">
      <c r="A2052" s="5">
        <v>1991</v>
      </c>
      <c r="B2052" s="138">
        <f>'Cap Outlay Deprec 26'!K10</f>
        <v>143892</v>
      </c>
      <c r="C2052" s="2" t="s">
        <v>573</v>
      </c>
      <c r="D2052" s="2" t="str">
        <f t="shared" si="31"/>
        <v>Error?</v>
      </c>
    </row>
    <row r="2053" spans="1:4" x14ac:dyDescent="0.2">
      <c r="A2053" s="5">
        <v>1992</v>
      </c>
      <c r="B2053" s="138">
        <f>'Cap Outlay Deprec 26'!K12</f>
        <v>330705</v>
      </c>
      <c r="C2053" s="2" t="s">
        <v>573</v>
      </c>
      <c r="D2053" s="2" t="str">
        <f t="shared" si="31"/>
        <v>Error?</v>
      </c>
    </row>
    <row r="2054" spans="1:4" x14ac:dyDescent="0.2">
      <c r="A2054" s="5">
        <v>1993</v>
      </c>
      <c r="B2054" s="138">
        <f>'Cap Outlay Deprec 26'!K13</f>
        <v>534037</v>
      </c>
      <c r="C2054" s="2" t="s">
        <v>573</v>
      </c>
      <c r="D2054" s="2" t="str">
        <f t="shared" si="31"/>
        <v>Error?</v>
      </c>
    </row>
    <row r="2055" spans="1:4" x14ac:dyDescent="0.2">
      <c r="A2055" s="5">
        <v>1994</v>
      </c>
      <c r="B2055" s="138">
        <f>'Cap Outlay Deprec 26'!K16</f>
        <v>1916336</v>
      </c>
      <c r="C2055" s="2" t="s">
        <v>573</v>
      </c>
      <c r="D2055" s="2" t="str">
        <f t="shared" si="31"/>
        <v>Error?</v>
      </c>
    </row>
    <row r="2056" spans="1:4" x14ac:dyDescent="0.2">
      <c r="A2056" s="5">
        <v>1995</v>
      </c>
      <c r="B2056" s="138">
        <f>'Cap Outlay Deprec 26'!L5</f>
        <v>19115</v>
      </c>
      <c r="C2056" s="2" t="s">
        <v>573</v>
      </c>
      <c r="D2056" s="2" t="str">
        <f t="shared" si="31"/>
        <v>Error?</v>
      </c>
    </row>
    <row r="2057" spans="1:4" x14ac:dyDescent="0.2">
      <c r="A2057" s="5">
        <v>1996</v>
      </c>
      <c r="B2057" s="138">
        <f>'Cap Outlay Deprec 26'!L8</f>
        <v>710279</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39938</v>
      </c>
      <c r="C2059" s="2" t="s">
        <v>573</v>
      </c>
      <c r="D2059" s="2" t="str">
        <f t="shared" si="31"/>
        <v>Error?</v>
      </c>
    </row>
    <row r="2060" spans="1:4" x14ac:dyDescent="0.2">
      <c r="A2060" s="5">
        <v>1999</v>
      </c>
      <c r="B2060" s="138">
        <f>'Cap Outlay Deprec 26'!L13</f>
        <v>18952</v>
      </c>
      <c r="C2060" s="2" t="s">
        <v>573</v>
      </c>
      <c r="D2060" s="2" t="str">
        <f t="shared" si="31"/>
        <v>Error?</v>
      </c>
    </row>
    <row r="2061" spans="1:4" x14ac:dyDescent="0.2">
      <c r="A2061" s="5">
        <v>2000</v>
      </c>
      <c r="B2061" s="138">
        <f>'Cap Outlay Deprec 26'!L16</f>
        <v>788284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1928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1928</v>
      </c>
      <c r="C2088" s="2" t="s">
        <v>573</v>
      </c>
      <c r="D2088" s="2" t="str">
        <f t="shared" si="31"/>
        <v>Error?</v>
      </c>
    </row>
    <row r="2089" spans="1:4" x14ac:dyDescent="0.2">
      <c r="A2089" s="5">
        <v>2028</v>
      </c>
      <c r="B2089" s="138">
        <f>'Expenditures 15-22'!K92</f>
        <v>324645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62115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323424</v>
      </c>
      <c r="C2551" s="2" t="s">
        <v>573</v>
      </c>
      <c r="D2551" s="2" t="str">
        <f t="shared" si="38"/>
        <v>Error?</v>
      </c>
    </row>
    <row r="2552" spans="1:4" x14ac:dyDescent="0.2">
      <c r="A2552" s="10">
        <v>2491</v>
      </c>
      <c r="D2552" s="2" t="str">
        <f t="shared" si="38"/>
        <v>OK</v>
      </c>
    </row>
    <row r="2553" spans="1:4" x14ac:dyDescent="0.2">
      <c r="A2553" s="5">
        <v>2492</v>
      </c>
      <c r="B2553" s="138">
        <f>'Acct Summary 7-8'!C6</f>
        <v>868260</v>
      </c>
      <c r="C2553" s="2" t="s">
        <v>573</v>
      </c>
      <c r="D2553" s="2" t="str">
        <f t="shared" si="38"/>
        <v>Error?</v>
      </c>
    </row>
    <row r="2554" spans="1:4" x14ac:dyDescent="0.2">
      <c r="A2554" s="5">
        <v>2493</v>
      </c>
      <c r="B2554" s="138">
        <f>'Acct Summary 7-8'!C7</f>
        <v>133903</v>
      </c>
      <c r="C2554" s="2" t="s">
        <v>573</v>
      </c>
      <c r="D2554" s="2" t="str">
        <f t="shared" si="38"/>
        <v>Error?</v>
      </c>
    </row>
    <row r="2555" spans="1:4" x14ac:dyDescent="0.2">
      <c r="A2555" s="5">
        <v>2494</v>
      </c>
      <c r="B2555" s="138">
        <f>'Acct Summary 7-8'!C8</f>
        <v>1326596</v>
      </c>
      <c r="C2555" s="2" t="s">
        <v>573</v>
      </c>
      <c r="D2555" s="2" t="str">
        <f t="shared" si="38"/>
        <v>Error?</v>
      </c>
    </row>
    <row r="2556" spans="1:4" x14ac:dyDescent="0.2">
      <c r="A2556" s="5">
        <v>2495</v>
      </c>
      <c r="B2556" s="138">
        <f>'Acct Summary 7-8'!C12</f>
        <v>646343</v>
      </c>
      <c r="C2556" s="2" t="s">
        <v>573</v>
      </c>
      <c r="D2556" s="2" t="str">
        <f t="shared" si="38"/>
        <v>Error?</v>
      </c>
    </row>
    <row r="2557" spans="1:4" x14ac:dyDescent="0.2">
      <c r="A2557" s="5">
        <v>2496</v>
      </c>
      <c r="B2557" s="138">
        <f>'Acct Summary 7-8'!C13</f>
        <v>279221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326573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1252137</v>
      </c>
      <c r="C2561" s="2" t="s">
        <v>573</v>
      </c>
      <c r="D2561" s="2" t="str">
        <f t="shared" si="39"/>
        <v>Error?</v>
      </c>
    </row>
    <row r="2562" spans="1:4" x14ac:dyDescent="0.2">
      <c r="A2562" s="5">
        <v>2501</v>
      </c>
      <c r="B2562" s="138">
        <f>'Acct Summary 7-8'!C20</f>
        <v>74459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61727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61727</v>
      </c>
      <c r="C2568" s="2" t="s">
        <v>573</v>
      </c>
      <c r="D2568" s="2" t="str">
        <f t="shared" si="39"/>
        <v>Error?</v>
      </c>
    </row>
    <row r="2569" spans="1:4" x14ac:dyDescent="0.2">
      <c r="A2569" s="5">
        <v>2508</v>
      </c>
      <c r="B2569" s="138">
        <f>'Acct Summary 7-8'!D13</f>
        <v>68913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68913</v>
      </c>
      <c r="C2573" s="2" t="s">
        <v>573</v>
      </c>
      <c r="D2573" s="2" t="str">
        <f t="shared" si="39"/>
        <v>Error?</v>
      </c>
    </row>
    <row r="2574" spans="1:4" x14ac:dyDescent="0.2">
      <c r="A2574" s="5">
        <v>2513</v>
      </c>
      <c r="B2574" s="138">
        <f>'Acct Summary 7-8'!D20</f>
        <v>-7186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27494</v>
      </c>
      <c r="C2591" s="2" t="s">
        <v>573</v>
      </c>
      <c r="D2591" s="2" t="str">
        <f t="shared" si="39"/>
        <v>Error?</v>
      </c>
    </row>
    <row r="2592" spans="1:4" x14ac:dyDescent="0.2">
      <c r="A2592" s="10">
        <v>2531</v>
      </c>
      <c r="D2592" s="2" t="str">
        <f t="shared" si="39"/>
        <v>OK</v>
      </c>
    </row>
    <row r="2593" spans="1:4" x14ac:dyDescent="0.2">
      <c r="A2593" s="5">
        <v>2532</v>
      </c>
      <c r="B2593" s="138">
        <f>'Acct Summary 7-8'!F6</f>
        <v>39160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66654</v>
      </c>
      <c r="C2595" s="2" t="s">
        <v>573</v>
      </c>
      <c r="D2595" s="2" t="str">
        <f t="shared" si="39"/>
        <v>Error?</v>
      </c>
    </row>
    <row r="2596" spans="1:4" x14ac:dyDescent="0.2">
      <c r="A2596" s="5">
        <v>2535</v>
      </c>
      <c r="B2596" s="138">
        <f>'Acct Summary 7-8'!F13</f>
        <v>54315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54315</v>
      </c>
      <c r="C2600" s="2" t="s">
        <v>573</v>
      </c>
      <c r="D2600" s="2" t="str">
        <f t="shared" si="39"/>
        <v>Error?</v>
      </c>
    </row>
    <row r="2601" spans="1:4" x14ac:dyDescent="0.2">
      <c r="A2601" s="5">
        <v>2540</v>
      </c>
      <c r="B2601" s="138">
        <f>'Acct Summary 7-8'!F20</f>
        <v>12339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30992</v>
      </c>
      <c r="C2603" s="2" t="s">
        <v>573</v>
      </c>
      <c r="D2603" s="2" t="str">
        <f t="shared" si="39"/>
        <v>Error?</v>
      </c>
    </row>
    <row r="2604" spans="1:4" x14ac:dyDescent="0.2">
      <c r="A2604" s="5">
        <v>2543</v>
      </c>
      <c r="B2604" s="138">
        <f>'Acct Summary 7-8'!G6</f>
        <v>880</v>
      </c>
      <c r="C2604" s="2" t="s">
        <v>573</v>
      </c>
      <c r="D2604" s="2" t="str">
        <f t="shared" si="39"/>
        <v>Error?</v>
      </c>
    </row>
    <row r="2605" spans="1:4" x14ac:dyDescent="0.2">
      <c r="A2605" s="5">
        <v>2544</v>
      </c>
      <c r="B2605" s="138">
        <f>'Acct Summary 7-8'!G7</f>
        <v>3121</v>
      </c>
      <c r="C2605" s="2" t="s">
        <v>573</v>
      </c>
      <c r="D2605" s="2" t="str">
        <f t="shared" si="39"/>
        <v>Error?</v>
      </c>
    </row>
    <row r="2606" spans="1:4" x14ac:dyDescent="0.2">
      <c r="A2606" s="5">
        <v>2545</v>
      </c>
      <c r="B2606" s="138">
        <f>'Acct Summary 7-8'!G8</f>
        <v>34993</v>
      </c>
      <c r="C2606" s="2" t="s">
        <v>573</v>
      </c>
      <c r="D2606" s="2" t="str">
        <f t="shared" si="39"/>
        <v>Error?</v>
      </c>
    </row>
    <row r="2607" spans="1:4" x14ac:dyDescent="0.2">
      <c r="A2607" s="5">
        <v>2546</v>
      </c>
      <c r="B2607" s="138">
        <f>'Acct Summary 7-8'!G12</f>
        <v>18946</v>
      </c>
      <c r="C2607" s="2" t="s">
        <v>573</v>
      </c>
      <c r="D2607" s="2" t="str">
        <f t="shared" si="39"/>
        <v>Error?</v>
      </c>
    </row>
    <row r="2608" spans="1:4" x14ac:dyDescent="0.2">
      <c r="A2608" s="5">
        <v>2547</v>
      </c>
      <c r="B2608" s="138">
        <f>'Acct Summary 7-8'!G13</f>
        <v>23272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42218</v>
      </c>
      <c r="C2612" s="2" t="s">
        <v>573</v>
      </c>
      <c r="D2612" s="2" t="str">
        <f t="shared" si="39"/>
        <v>Error?</v>
      </c>
    </row>
    <row r="2613" spans="1:4" x14ac:dyDescent="0.2">
      <c r="A2613" s="5">
        <v>2552</v>
      </c>
      <c r="B2613" s="138">
        <f>'Acct Summary 7-8'!G20</f>
        <v>-7225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55256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55256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77287</v>
      </c>
      <c r="C2634" s="2" t="s">
        <v>573</v>
      </c>
      <c r="D2634" s="2" t="str">
        <f t="shared" si="40"/>
        <v>Error?</v>
      </c>
    </row>
    <row r="2635" spans="1:4" x14ac:dyDescent="0.2">
      <c r="A2635" s="5">
        <v>2574</v>
      </c>
      <c r="B2635" s="138">
        <f>'Acct Summary 7-8'!E17</f>
        <v>77287</v>
      </c>
      <c r="C2635" s="2" t="s">
        <v>573</v>
      </c>
      <c r="D2635" s="2" t="str">
        <f t="shared" si="40"/>
        <v>Error?</v>
      </c>
    </row>
    <row r="2636" spans="1:4" x14ac:dyDescent="0.2">
      <c r="A2636" s="5">
        <v>2575</v>
      </c>
      <c r="B2636" s="138">
        <f>'Acct Summary 7-8'!E20</f>
        <v>-22031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68046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68046</v>
      </c>
      <c r="C2658" s="2" t="s">
        <v>573</v>
      </c>
      <c r="D2658" s="2" t="str">
        <f t="shared" si="40"/>
        <v>Error?</v>
      </c>
    </row>
    <row r="2659" spans="1:4" x14ac:dyDescent="0.2">
      <c r="A2659" s="5">
        <v>2598</v>
      </c>
      <c r="B2659" s="138">
        <f>'Acct Summary 7-8'!H13</f>
        <v>72331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72331</v>
      </c>
      <c r="C2661" s="2" t="s">
        <v>573</v>
      </c>
      <c r="D2661" s="2" t="str">
        <f t="shared" si="40"/>
        <v>Error?</v>
      </c>
    </row>
    <row r="2662" spans="1:4" x14ac:dyDescent="0.2">
      <c r="A2662" s="5">
        <v>2601</v>
      </c>
      <c r="B2662" s="138">
        <f>'Acct Summary 7-8'!H20</f>
        <v>-4285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15000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15000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152123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23381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152123</v>
      </c>
      <c r="D2912" s="2" t="str">
        <f t="shared" si="44"/>
        <v>Error?</v>
      </c>
    </row>
    <row r="2913" spans="1:4" x14ac:dyDescent="0.2">
      <c r="A2913" s="5">
        <v>2852</v>
      </c>
      <c r="B2913" s="138">
        <f>'Assets-Liab 5-6'!I41</f>
        <v>152123</v>
      </c>
      <c r="C2913" s="2" t="s">
        <v>573</v>
      </c>
      <c r="D2913" s="2" t="str">
        <f t="shared" si="44"/>
        <v>Error?</v>
      </c>
    </row>
    <row r="2914" spans="1:4" x14ac:dyDescent="0.2">
      <c r="A2914" s="5">
        <v>2853</v>
      </c>
      <c r="B2914" s="138">
        <f>'Assets-Liab 5-6'!L33</f>
        <v>23381</v>
      </c>
      <c r="D2914" s="2" t="str">
        <f t="shared" si="44"/>
        <v>Error?</v>
      </c>
    </row>
    <row r="2915" spans="1:4" x14ac:dyDescent="0.2">
      <c r="A2915" s="10">
        <v>2854</v>
      </c>
      <c r="D2915" s="2" t="str">
        <f t="shared" si="44"/>
        <v>OK</v>
      </c>
    </row>
    <row r="2916" spans="1:4" x14ac:dyDescent="0.2">
      <c r="A2916" s="5">
        <v>2855</v>
      </c>
      <c r="B2916" s="138">
        <f>'Assets-Liab 5-6'!L34</f>
        <v>23381</v>
      </c>
      <c r="C2916" s="2" t="s">
        <v>573</v>
      </c>
      <c r="D2916" s="2" t="str">
        <f t="shared" si="44"/>
        <v>Error?</v>
      </c>
    </row>
    <row r="2917" spans="1:4" x14ac:dyDescent="0.2">
      <c r="A2917" s="5">
        <v>2856</v>
      </c>
      <c r="B2917" s="138">
        <f>'Assets-Liab 5-6'!L41</f>
        <v>23381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1928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1928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36839</v>
      </c>
      <c r="D3055" s="2" t="str">
        <f t="shared" si="46"/>
        <v>Error?</v>
      </c>
    </row>
    <row r="3056" spans="1:4" x14ac:dyDescent="0.2">
      <c r="A3056" s="5">
        <v>2995</v>
      </c>
      <c r="B3056" s="138">
        <f>'Expenditures 15-22'!D10</f>
        <v>1306</v>
      </c>
      <c r="D3056" s="2" t="str">
        <f t="shared" si="46"/>
        <v>Error?</v>
      </c>
    </row>
    <row r="3057" spans="1:4" x14ac:dyDescent="0.2">
      <c r="A3057" s="5">
        <v>2996</v>
      </c>
      <c r="B3057" s="138">
        <f>'Expenditures 15-22'!E10</f>
        <v>297</v>
      </c>
      <c r="D3057" s="2" t="str">
        <f t="shared" si="46"/>
        <v>Error?</v>
      </c>
    </row>
    <row r="3058" spans="1:4" x14ac:dyDescent="0.2">
      <c r="A3058" s="5">
        <v>2997</v>
      </c>
      <c r="B3058" s="138">
        <f>'Expenditures 15-22'!F10</f>
        <v>7535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50332</v>
      </c>
      <c r="C3062" s="2" t="s">
        <v>573</v>
      </c>
      <c r="D3062" s="2" t="str">
        <f t="shared" si="46"/>
        <v>Error?</v>
      </c>
    </row>
    <row r="3063" spans="1:4" x14ac:dyDescent="0.2">
      <c r="A3063" s="10">
        <v>3002</v>
      </c>
      <c r="D3063" s="2" t="str">
        <f t="shared" si="46"/>
        <v>OK</v>
      </c>
    </row>
    <row r="3064" spans="1:4" x14ac:dyDescent="0.2">
      <c r="A3064" s="5">
        <v>3003</v>
      </c>
      <c r="B3064" s="138">
        <f>'Expenditures 15-22'!D219</f>
        <v>5194</v>
      </c>
      <c r="D3064" s="2" t="str">
        <f t="shared" si="46"/>
        <v>Error?</v>
      </c>
    </row>
    <row r="3065" spans="1:4" x14ac:dyDescent="0.2">
      <c r="A3065" s="5">
        <v>3004</v>
      </c>
      <c r="B3065" s="138">
        <f>'Expenditures 15-22'!K219</f>
        <v>5194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7461</v>
      </c>
      <c r="C3225" s="2" t="s">
        <v>573</v>
      </c>
      <c r="D3225" s="2" t="str">
        <f t="shared" si="49"/>
        <v>Error?</v>
      </c>
    </row>
    <row r="3226" spans="1:4" x14ac:dyDescent="0.2">
      <c r="A3226" s="5">
        <v>3165</v>
      </c>
      <c r="B3226" s="138">
        <f>'Acct Summary 7-8'!I8</f>
        <v>7461</v>
      </c>
      <c r="C3226" s="2" t="s">
        <v>573</v>
      </c>
      <c r="D3226" s="2" t="str">
        <f t="shared" si="49"/>
        <v>Error?</v>
      </c>
    </row>
    <row r="3227" spans="1:4" x14ac:dyDescent="0.2">
      <c r="A3227" s="5">
        <v>3166</v>
      </c>
      <c r="B3227" s="138">
        <f>'Acct Summary 7-8'!I20</f>
        <v>7461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74459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25000</v>
      </c>
      <c r="C3238" s="2" t="s">
        <v>573</v>
      </c>
      <c r="D3238" s="2" t="str">
        <f t="shared" si="49"/>
        <v>Error?</v>
      </c>
    </row>
    <row r="3239" spans="1:4" x14ac:dyDescent="0.2">
      <c r="A3239" s="5">
        <v>3178</v>
      </c>
      <c r="B3239" s="138">
        <f>'Acct Summary 7-8'!D78</f>
        <v>17814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12339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-7225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15000</v>
      </c>
      <c r="C3277" s="2" t="s">
        <v>573</v>
      </c>
      <c r="D3277" s="2" t="str">
        <f t="shared" si="50"/>
        <v>Error?</v>
      </c>
    </row>
    <row r="3278" spans="1:4" x14ac:dyDescent="0.2">
      <c r="A3278" s="5">
        <v>3217</v>
      </c>
      <c r="B3278" s="138">
        <f>'Acct Summary 7-8'!E78</f>
        <v>-7031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37115</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15000</v>
      </c>
      <c r="C3298" s="2" t="s">
        <v>573</v>
      </c>
      <c r="D3298" s="2" t="str">
        <f t="shared" si="50"/>
        <v>Error?</v>
      </c>
    </row>
    <row r="3299" spans="1:4" x14ac:dyDescent="0.2">
      <c r="A3299" s="5">
        <v>3238</v>
      </c>
      <c r="B3299" s="138">
        <f>'Acct Summary 7-8'!H77</f>
        <v>22115</v>
      </c>
      <c r="C3299" s="2" t="s">
        <v>573</v>
      </c>
      <c r="D3299" s="2" t="str">
        <f t="shared" si="50"/>
        <v>Error?</v>
      </c>
    </row>
    <row r="3300" spans="1:4" x14ac:dyDescent="0.2">
      <c r="A3300" s="5">
        <v>3239</v>
      </c>
      <c r="B3300" s="138">
        <f>'Acct Summary 7-8'!H78</f>
        <v>17830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62115</v>
      </c>
      <c r="C3318" s="2" t="s">
        <v>573</v>
      </c>
      <c r="D3318" s="2" t="str">
        <f t="shared" si="50"/>
        <v>Error?</v>
      </c>
    </row>
    <row r="3319" spans="1:4" x14ac:dyDescent="0.2">
      <c r="A3319" s="5">
        <v>3258</v>
      </c>
      <c r="B3319" s="138">
        <f>'Acct Summary 7-8'!I77</f>
        <v>-62115</v>
      </c>
      <c r="C3319" s="2" t="s">
        <v>573</v>
      </c>
      <c r="D3319" s="2" t="str">
        <f t="shared" si="50"/>
        <v>Error?</v>
      </c>
    </row>
    <row r="3320" spans="1:4" x14ac:dyDescent="0.2">
      <c r="A3320" s="5">
        <v>3259</v>
      </c>
      <c r="B3320" s="138">
        <f>'Acct Summary 7-8'!I78</f>
        <v>-54654</v>
      </c>
      <c r="C3320" s="2" t="s">
        <v>573</v>
      </c>
      <c r="D3320" s="2" t="str">
        <f t="shared" si="50"/>
        <v>Error?</v>
      </c>
    </row>
    <row r="3321" spans="1:4" x14ac:dyDescent="0.2">
      <c r="A3321" s="5">
        <v>3260</v>
      </c>
      <c r="B3321" s="138">
        <f>'Acct Summary 7-8'!I79</f>
        <v>206777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152123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58757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2570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61841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7064</v>
      </c>
      <c r="D3387" s="2" t="str">
        <f t="shared" si="51"/>
        <v>Error?</v>
      </c>
    </row>
    <row r="3388" spans="1:4" x14ac:dyDescent="0.2">
      <c r="A3388" s="5">
        <v>3327</v>
      </c>
      <c r="B3388" s="138">
        <f>'Expenditures 15-22'!D217</f>
        <v>3305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7064</v>
      </c>
      <c r="C3390" s="2" t="s">
        <v>573</v>
      </c>
      <c r="D3390" s="2" t="str">
        <f t="shared" si="51"/>
        <v>Error?</v>
      </c>
    </row>
    <row r="3391" spans="1:4" x14ac:dyDescent="0.2">
      <c r="A3391" s="5">
        <v>3330</v>
      </c>
      <c r="B3391" s="138">
        <f>'Expenditures 15-22'!K217</f>
        <v>3305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1009</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134924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29839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15531</v>
      </c>
      <c r="D3417" s="2" t="str">
        <f t="shared" si="52"/>
        <v>Error?</v>
      </c>
    </row>
    <row r="3418" spans="1:4" x14ac:dyDescent="0.2">
      <c r="A3418" s="10">
        <v>3357</v>
      </c>
      <c r="D3418" s="2" t="str">
        <f t="shared" si="52"/>
        <v>OK</v>
      </c>
    </row>
    <row r="3419" spans="1:4" x14ac:dyDescent="0.2">
      <c r="A3419" s="5">
        <v>3358</v>
      </c>
      <c r="B3419" s="138">
        <f>'Assets-Liab 5-6'!F4</f>
        <v>80752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36979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28244</v>
      </c>
      <c r="D3425" s="2" t="str">
        <f t="shared" si="52"/>
        <v>Error?</v>
      </c>
    </row>
    <row r="3426" spans="1:4" x14ac:dyDescent="0.2">
      <c r="A3426" s="10">
        <v>3365</v>
      </c>
      <c r="D3426" s="2" t="str">
        <f t="shared" si="52"/>
        <v>OK</v>
      </c>
    </row>
    <row r="3427" spans="1:4" x14ac:dyDescent="0.2">
      <c r="A3427" s="5">
        <v>3366</v>
      </c>
      <c r="B3427" s="138">
        <f>'Assets-Liab 5-6'!I4</f>
        <v>152123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23381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27504</v>
      </c>
      <c r="C3446" s="2" t="s">
        <v>573</v>
      </c>
      <c r="D3446" s="2" t="str">
        <f t="shared" si="52"/>
        <v>Error?</v>
      </c>
    </row>
    <row r="3447" spans="1:4" x14ac:dyDescent="0.2">
      <c r="A3447" s="5">
        <v>3386</v>
      </c>
      <c r="B3447" s="138">
        <f>'Tax Sched 23'!D16</f>
        <v>27504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225561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225561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225561</v>
      </c>
      <c r="D3567" s="2" t="str">
        <f t="shared" si="54"/>
        <v>Error?</v>
      </c>
    </row>
    <row r="3568" spans="1:4" x14ac:dyDescent="0.2">
      <c r="A3568" s="5">
        <v>3507</v>
      </c>
      <c r="B3568" s="138">
        <f>'Assets-Liab 5-6'!K41</f>
        <v>225561</v>
      </c>
      <c r="C3568" s="2" t="s">
        <v>573</v>
      </c>
      <c r="D3568" s="2" t="str">
        <f t="shared" si="54"/>
        <v>Error?</v>
      </c>
    </row>
    <row r="3569" spans="1:4" x14ac:dyDescent="0.2">
      <c r="A3569" s="5">
        <v>3508</v>
      </c>
      <c r="B3569" s="138">
        <f>'Acct Summary 7-8'!K4</f>
        <v>8555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8555</v>
      </c>
      <c r="C3571" s="2" t="s">
        <v>573</v>
      </c>
      <c r="D3571" s="2" t="str">
        <f t="shared" si="54"/>
        <v>Error?</v>
      </c>
    </row>
    <row r="3572" spans="1:4" x14ac:dyDescent="0.2">
      <c r="A3572" s="5">
        <v>3511</v>
      </c>
      <c r="B3572" s="138">
        <f>'Acct Summary 7-8'!K13</f>
        <v>297952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297952</v>
      </c>
      <c r="C3575" s="2" t="s">
        <v>573</v>
      </c>
      <c r="D3575" s="2" t="str">
        <f t="shared" si="54"/>
        <v>Error?</v>
      </c>
    </row>
    <row r="3576" spans="1:4" x14ac:dyDescent="0.2">
      <c r="A3576" s="5">
        <v>3515</v>
      </c>
      <c r="B3576" s="138">
        <f>'Acct Summary 7-8'!K20</f>
        <v>-289397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-289397</v>
      </c>
      <c r="C3588" s="2" t="s">
        <v>573</v>
      </c>
      <c r="D3588" s="2" t="str">
        <f t="shared" si="55"/>
        <v>Error?</v>
      </c>
    </row>
    <row r="3589" spans="1:4" x14ac:dyDescent="0.2">
      <c r="A3589" s="5">
        <v>3528</v>
      </c>
      <c r="B3589" s="138">
        <f>'Acct Summary 7-8'!K79</f>
        <v>514958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225561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253576</v>
      </c>
      <c r="D3632" s="2" t="str">
        <f t="shared" si="55"/>
        <v>Error?</v>
      </c>
    </row>
    <row r="3633" spans="1:4" x14ac:dyDescent="0.2">
      <c r="A3633" s="5">
        <v>3572</v>
      </c>
      <c r="B3633" s="138">
        <f>'Expenditures 15-22'!E350</f>
        <v>253576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253576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44376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44376</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44376</v>
      </c>
      <c r="C3649" s="2" t="s">
        <v>573</v>
      </c>
      <c r="D3649" s="2" t="str">
        <f t="shared" si="56"/>
        <v>Error?</v>
      </c>
    </row>
    <row r="3650" spans="1:4" x14ac:dyDescent="0.2">
      <c r="A3650" s="5">
        <v>3589</v>
      </c>
      <c r="B3650" s="138">
        <f>'Expenditures 15-22'!G367</f>
        <v>44376</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44376</v>
      </c>
      <c r="C3668" s="2" t="s">
        <v>573</v>
      </c>
      <c r="D3668" s="2" t="str">
        <f t="shared" si="56"/>
        <v>Error?</v>
      </c>
    </row>
    <row r="3669" spans="1:4" x14ac:dyDescent="0.2">
      <c r="A3669" s="5">
        <v>3608</v>
      </c>
      <c r="B3669" s="138">
        <f>'Expenditures 15-22'!K349</f>
        <v>253576</v>
      </c>
      <c r="C3669" s="2" t="s">
        <v>573</v>
      </c>
      <c r="D3669" s="2" t="str">
        <f t="shared" si="56"/>
        <v>Error?</v>
      </c>
    </row>
    <row r="3670" spans="1:4" x14ac:dyDescent="0.2">
      <c r="A3670" s="5">
        <v>3609</v>
      </c>
      <c r="B3670" s="138">
        <f>'Expenditures 15-22'!K350</f>
        <v>297952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297952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297952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-289397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6139</v>
      </c>
      <c r="C3725" s="2" t="s">
        <v>573</v>
      </c>
      <c r="D3725" s="2" t="str">
        <f t="shared" si="57"/>
        <v>Error?</v>
      </c>
    </row>
    <row r="3726" spans="1:4" x14ac:dyDescent="0.2">
      <c r="A3726" s="5">
        <v>3665</v>
      </c>
      <c r="B3726" s="138">
        <f>'Tax Sched 23'!D13</f>
        <v>6139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35503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210496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1537092</v>
      </c>
      <c r="C4122" s="2" t="s">
        <v>573</v>
      </c>
      <c r="D4122" s="2" t="str">
        <f t="shared" si="63"/>
        <v>Error?</v>
      </c>
    </row>
    <row r="4123" spans="1:4" x14ac:dyDescent="0.2">
      <c r="A4123" s="5">
        <v>4062</v>
      </c>
      <c r="B4123" s="138">
        <f>'Acct Summary 7-8'!D10</f>
        <v>61727</v>
      </c>
      <c r="C4123" s="2" t="s">
        <v>573</v>
      </c>
      <c r="D4123" s="2" t="str">
        <f t="shared" si="63"/>
        <v>Error?</v>
      </c>
    </row>
    <row r="4124" spans="1:4" x14ac:dyDescent="0.2">
      <c r="A4124" s="5">
        <v>4063</v>
      </c>
      <c r="B4124" s="138">
        <f>'Acct Summary 7-8'!E10</f>
        <v>55256</v>
      </c>
      <c r="C4124" s="2" t="s">
        <v>573</v>
      </c>
      <c r="D4124" s="2" t="str">
        <f t="shared" si="63"/>
        <v>Error?</v>
      </c>
    </row>
    <row r="4125" spans="1:4" x14ac:dyDescent="0.2">
      <c r="A4125" s="5">
        <v>4064</v>
      </c>
      <c r="B4125" s="138">
        <f>'Acct Summary 7-8'!F10</f>
        <v>66654</v>
      </c>
      <c r="C4125" s="2" t="s">
        <v>573</v>
      </c>
      <c r="D4125" s="2" t="str">
        <f t="shared" si="63"/>
        <v>Error?</v>
      </c>
    </row>
    <row r="4126" spans="1:4" x14ac:dyDescent="0.2">
      <c r="A4126" s="5">
        <v>4065</v>
      </c>
      <c r="B4126" s="138">
        <f>'Acct Summary 7-8'!G10</f>
        <v>34993</v>
      </c>
      <c r="C4126" s="2" t="s">
        <v>573</v>
      </c>
      <c r="D4126" s="2" t="str">
        <f t="shared" si="63"/>
        <v>Error?</v>
      </c>
    </row>
    <row r="4127" spans="1:4" x14ac:dyDescent="0.2">
      <c r="A4127" s="5">
        <v>4066</v>
      </c>
      <c r="B4127" s="138">
        <f>'Acct Summary 7-8'!H10</f>
        <v>68046</v>
      </c>
      <c r="C4127" s="2" t="s">
        <v>573</v>
      </c>
      <c r="D4127" s="2" t="str">
        <f t="shared" si="63"/>
        <v>Error?</v>
      </c>
    </row>
    <row r="4128" spans="1:4" x14ac:dyDescent="0.2">
      <c r="A4128" s="5">
        <v>4067</v>
      </c>
      <c r="B4128" s="138">
        <f>'Acct Summary 7-8'!I10</f>
        <v>7461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8555</v>
      </c>
      <c r="C4130" s="2" t="s">
        <v>573</v>
      </c>
      <c r="D4130" s="2" t="str">
        <f t="shared" si="63"/>
        <v>Error?</v>
      </c>
    </row>
    <row r="4131" spans="1:4" x14ac:dyDescent="0.2">
      <c r="A4131" s="5">
        <v>4070</v>
      </c>
      <c r="B4131" s="138">
        <f>'Acct Summary 7-8'!C18</f>
        <v>210496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1462633</v>
      </c>
      <c r="C4136" s="2" t="s">
        <v>573</v>
      </c>
      <c r="D4136" s="2" t="str">
        <f t="shared" si="63"/>
        <v>Error?</v>
      </c>
    </row>
    <row r="4137" spans="1:4" x14ac:dyDescent="0.2">
      <c r="A4137" s="5">
        <v>4076</v>
      </c>
      <c r="B4137" s="138">
        <f>'Acct Summary 7-8'!D19</f>
        <v>68913</v>
      </c>
      <c r="C4137" s="2" t="s">
        <v>573</v>
      </c>
      <c r="D4137" s="2" t="str">
        <f t="shared" si="63"/>
        <v>Error?</v>
      </c>
    </row>
    <row r="4138" spans="1:4" x14ac:dyDescent="0.2">
      <c r="A4138" s="5">
        <v>4077</v>
      </c>
      <c r="B4138" s="138">
        <f>'Acct Summary 7-8'!E19</f>
        <v>77287</v>
      </c>
      <c r="C4138" s="2" t="s">
        <v>573</v>
      </c>
      <c r="D4138" s="2" t="str">
        <f t="shared" si="63"/>
        <v>Error?</v>
      </c>
    </row>
    <row r="4139" spans="1:4" x14ac:dyDescent="0.2">
      <c r="A4139" s="5">
        <v>4078</v>
      </c>
      <c r="B4139" s="138">
        <f>'Acct Summary 7-8'!F19</f>
        <v>54315</v>
      </c>
      <c r="C4139" s="2" t="s">
        <v>573</v>
      </c>
      <c r="D4139" s="2" t="str">
        <f t="shared" si="63"/>
        <v>Error?</v>
      </c>
    </row>
    <row r="4140" spans="1:4" x14ac:dyDescent="0.2">
      <c r="A4140" s="5">
        <v>4079</v>
      </c>
      <c r="B4140" s="138">
        <f>'Acct Summary 7-8'!G19</f>
        <v>42218</v>
      </c>
      <c r="C4140" s="2" t="s">
        <v>573</v>
      </c>
      <c r="D4140" s="2" t="str">
        <f t="shared" si="63"/>
        <v>Error?</v>
      </c>
    </row>
    <row r="4141" spans="1:4" x14ac:dyDescent="0.2">
      <c r="A4141" s="5">
        <v>4080</v>
      </c>
      <c r="B4141" s="138">
        <f>'Acct Summary 7-8'!H19</f>
        <v>72331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297952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785100</v>
      </c>
      <c r="C4171" s="2" t="s">
        <v>573</v>
      </c>
      <c r="D4171" s="2" t="str">
        <f t="shared" si="64"/>
        <v>Error?</v>
      </c>
    </row>
    <row r="4172" spans="1:4" x14ac:dyDescent="0.2">
      <c r="A4172" s="5">
        <v>4111</v>
      </c>
      <c r="B4172" s="138">
        <f>'Short-Term Long-Term Debt 24'!J49</f>
        <v>769569</v>
      </c>
      <c r="C4172" s="2" t="s">
        <v>573</v>
      </c>
      <c r="D4172" s="2" t="str">
        <f t="shared" si="64"/>
        <v>Error?</v>
      </c>
    </row>
    <row r="4173" spans="1:4" x14ac:dyDescent="0.2">
      <c r="A4173" s="5">
        <v>4112</v>
      </c>
      <c r="B4173" s="138">
        <f>'Short-Term Long-Term Debt 24'!H49</f>
        <v>56500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2088.6</v>
      </c>
      <c r="C4265" s="2" t="s">
        <v>573</v>
      </c>
      <c r="D4265" s="2" t="str">
        <f t="shared" si="65"/>
        <v>Error?</v>
      </c>
      <c r="E4265" s="128"/>
    </row>
    <row r="4266" spans="1:5" x14ac:dyDescent="0.2">
      <c r="A4266" s="12">
        <v>4205</v>
      </c>
      <c r="B4266" s="138">
        <f>('FP Info 3'!F10)*100000</f>
        <v>497.3</v>
      </c>
      <c r="C4266" s="2" t="s">
        <v>573</v>
      </c>
      <c r="D4266" s="2" t="str">
        <f t="shared" si="65"/>
        <v>Error?</v>
      </c>
      <c r="E4266" s="128"/>
    </row>
    <row r="4267" spans="1:5" x14ac:dyDescent="0.2">
      <c r="A4267" s="12">
        <v>4206</v>
      </c>
      <c r="B4267" s="138">
        <f>('FP Info 3'!H10)*100000</f>
        <v>199</v>
      </c>
      <c r="C4267" s="2" t="s">
        <v>573</v>
      </c>
      <c r="D4267" s="2" t="str">
        <f t="shared" si="65"/>
        <v>Error?</v>
      </c>
      <c r="E4267" s="128"/>
    </row>
    <row r="4268" spans="1:5" x14ac:dyDescent="0.2">
      <c r="A4268" s="12">
        <v>4207</v>
      </c>
      <c r="B4268" s="138">
        <f>('FP Info 3'!J10)*100000</f>
        <v>2785</v>
      </c>
      <c r="C4268" s="2" t="s">
        <v>573</v>
      </c>
      <c r="D4268" s="2" t="str">
        <f t="shared" si="65"/>
        <v>Error?</v>
      </c>
    </row>
    <row r="4269" spans="1:5" x14ac:dyDescent="0.2">
      <c r="A4269" s="12">
        <v>4208</v>
      </c>
      <c r="B4269" s="138">
        <f>'FP Info 3'!J16</f>
        <v>397150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3146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1721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2866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14258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12931987</v>
      </c>
      <c r="D4995" s="2" t="str">
        <f t="shared" si="77"/>
        <v>Error?</v>
      </c>
    </row>
    <row r="4996" spans="1:4" x14ac:dyDescent="0.2">
      <c r="A4996" s="12">
        <v>4935</v>
      </c>
      <c r="B4996" s="138">
        <f>'FP Info 3'!H31</f>
        <v>1784614.2060000002</v>
      </c>
      <c r="D4996" s="2" t="str">
        <f t="shared" si="77"/>
        <v>Error?</v>
      </c>
    </row>
    <row r="4997" spans="1:4" x14ac:dyDescent="0.2">
      <c r="A4997" s="12">
        <v>4936</v>
      </c>
      <c r="B4997" s="138">
        <f>'FP Info 3'!H37</f>
        <v>785100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6139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257855</v>
      </c>
      <c r="D5061" s="2" t="str">
        <f t="shared" si="78"/>
        <v>Error?</v>
      </c>
    </row>
    <row r="5062" spans="1:4" x14ac:dyDescent="0.2">
      <c r="A5062" s="10">
        <v>5001</v>
      </c>
      <c r="D5062" s="2" t="str">
        <f t="shared" si="78"/>
        <v>OK</v>
      </c>
    </row>
    <row r="5063" spans="1:4" x14ac:dyDescent="0.2">
      <c r="A5063" s="5">
        <v>5002</v>
      </c>
      <c r="B5063" s="138">
        <f>'Revenues 9-14'!C7</f>
        <v>4912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268906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20102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20102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1123</v>
      </c>
      <c r="C5090" s="2" t="s">
        <v>573</v>
      </c>
      <c r="D5090" s="2" t="str">
        <f t="shared" si="78"/>
        <v>Error?</v>
      </c>
    </row>
    <row r="5091" spans="1:4" x14ac:dyDescent="0.2">
      <c r="A5091" s="5">
        <v>5030</v>
      </c>
      <c r="B5091" s="138">
        <f>'Revenues 9-14'!C70</f>
        <v>709</v>
      </c>
      <c r="D5091" s="2" t="str">
        <f t="shared" si="78"/>
        <v>Error?</v>
      </c>
    </row>
    <row r="5092" spans="1:4" x14ac:dyDescent="0.2">
      <c r="A5092" s="5">
        <v>5031</v>
      </c>
      <c r="B5092" s="138">
        <f>'Revenues 9-14'!C71</f>
        <v>22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1194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18149</v>
      </c>
      <c r="C5096" s="2" t="s">
        <v>573</v>
      </c>
      <c r="D5096" s="2" t="str">
        <f t="shared" si="78"/>
        <v>Error?</v>
      </c>
    </row>
    <row r="5097" spans="1:4" x14ac:dyDescent="0.2">
      <c r="A5097" s="5">
        <v>5036</v>
      </c>
      <c r="B5097" s="138">
        <f>'Revenues 9-14'!C77</f>
        <v>3301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3301</v>
      </c>
      <c r="C5102" s="2" t="s">
        <v>573</v>
      </c>
      <c r="D5102" s="2" t="str">
        <f t="shared" si="78"/>
        <v>Error?</v>
      </c>
    </row>
    <row r="5103" spans="1:4" x14ac:dyDescent="0.2">
      <c r="A5103" s="5">
        <v>5042</v>
      </c>
      <c r="B5103" s="138">
        <f>'Revenues 9-14'!C84</f>
        <v>8404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8404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2700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739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3439</v>
      </c>
      <c r="C5120" s="2" t="s">
        <v>573</v>
      </c>
      <c r="D5120" s="2" t="str">
        <f t="shared" si="79"/>
        <v>Error?</v>
      </c>
    </row>
    <row r="5121" spans="1:4" x14ac:dyDescent="0.2">
      <c r="A5121" s="5">
        <v>5060</v>
      </c>
      <c r="B5121" s="138">
        <f>'Revenues 9-14'!C109</f>
        <v>323424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1009</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1009</v>
      </c>
      <c r="C5125" s="2" t="s">
        <v>573</v>
      </c>
      <c r="D5125" s="2" t="str">
        <f t="shared" si="79"/>
        <v>Error?</v>
      </c>
    </row>
    <row r="5126" spans="1:4" x14ac:dyDescent="0.2">
      <c r="A5126" s="5">
        <v>5065</v>
      </c>
      <c r="B5126" s="138">
        <f>'Revenues 9-14'!C117</f>
        <v>807590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807590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800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59120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60670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868260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37970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14658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52628</v>
      </c>
      <c r="C5246" s="2" t="s">
        <v>573</v>
      </c>
      <c r="D5246" s="2" t="str">
        <f t="shared" si="80"/>
        <v>Error?</v>
      </c>
    </row>
    <row r="5247" spans="1:4" x14ac:dyDescent="0.2">
      <c r="A5247" s="5">
        <v>5186</v>
      </c>
      <c r="B5247" s="138">
        <f>'Revenues 9-14'!C200</f>
        <v>58182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1721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58182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133903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133903</v>
      </c>
      <c r="C5326" s="2" t="s">
        <v>573</v>
      </c>
      <c r="D5326" s="2" t="str">
        <f t="shared" si="82"/>
        <v>Error?</v>
      </c>
    </row>
    <row r="5327" spans="1:5" x14ac:dyDescent="0.2">
      <c r="A5327" s="5">
        <v>5266</v>
      </c>
      <c r="B5327" s="138">
        <f>'Revenues 9-14'!C268</f>
        <v>1326596</v>
      </c>
      <c r="C5327" s="2" t="s">
        <v>573</v>
      </c>
      <c r="D5327" s="2" t="str">
        <f t="shared" si="82"/>
        <v>Error?</v>
      </c>
    </row>
    <row r="5328" spans="1:5" x14ac:dyDescent="0.2">
      <c r="A5328" s="5">
        <v>5267</v>
      </c>
      <c r="B5328" s="138">
        <f>'Revenues 9-14'!D5</f>
        <v>61394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61394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61727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61727</v>
      </c>
      <c r="C5508" s="2" t="s">
        <v>573</v>
      </c>
      <c r="D5508" s="2" t="str">
        <f t="shared" si="85"/>
        <v>Error?</v>
      </c>
    </row>
    <row r="5509" spans="1:4" x14ac:dyDescent="0.2">
      <c r="A5509" s="5">
        <v>5448</v>
      </c>
      <c r="B5509" s="138">
        <f>'Revenues 9-14'!E5</f>
        <v>55106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55106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150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55256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55256</v>
      </c>
      <c r="C5552" s="2" t="s">
        <v>573</v>
      </c>
      <c r="D5552" s="2" t="str">
        <f t="shared" si="85"/>
        <v>Error?</v>
      </c>
    </row>
    <row r="5553" spans="1:4" x14ac:dyDescent="0.2">
      <c r="A5553" s="5">
        <v>5492</v>
      </c>
      <c r="B5553" s="138">
        <f>'Revenues 9-14'!F5</f>
        <v>24558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24558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2195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2195</v>
      </c>
      <c r="C5579" s="2" t="s">
        <v>573</v>
      </c>
      <c r="D5579" s="2" t="str">
        <f t="shared" si="86"/>
        <v>Error?</v>
      </c>
    </row>
    <row r="5580" spans="1:4" x14ac:dyDescent="0.2">
      <c r="A5580" s="5">
        <v>5519</v>
      </c>
      <c r="B5580" s="138">
        <f>'Revenues 9-14'!F65</f>
        <v>669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669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72</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72</v>
      </c>
      <c r="C5587" s="2" t="s">
        <v>573</v>
      </c>
      <c r="D5587" s="2" t="str">
        <f t="shared" si="86"/>
        <v>Error?</v>
      </c>
    </row>
    <row r="5588" spans="1:4" x14ac:dyDescent="0.2">
      <c r="A5588" s="5">
        <v>5527</v>
      </c>
      <c r="B5588" s="138">
        <f>'Revenues 9-14'!F109</f>
        <v>27494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39160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39160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39160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39160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66654</v>
      </c>
      <c r="C5720" s="2" t="s">
        <v>573</v>
      </c>
      <c r="D5720" s="2" t="str">
        <f t="shared" si="88"/>
        <v>Error?</v>
      </c>
    </row>
    <row r="5721" spans="1:4" x14ac:dyDescent="0.2">
      <c r="A5721" s="5">
        <v>5660</v>
      </c>
      <c r="B5721" s="138">
        <f>'Revenues 9-14'!G5</f>
        <v>1007</v>
      </c>
      <c r="D5721" s="2" t="str">
        <f t="shared" si="88"/>
        <v>Error?</v>
      </c>
    </row>
    <row r="5722" spans="1:4" x14ac:dyDescent="0.2">
      <c r="A5722" s="5">
        <v>5661</v>
      </c>
      <c r="B5722" s="138">
        <f>'Revenues 9-14'!G7</f>
        <v>0</v>
      </c>
      <c r="D5722" s="2" t="str">
        <f t="shared" si="88"/>
        <v>Error?</v>
      </c>
    </row>
    <row r="5723" spans="1:4" x14ac:dyDescent="0.2">
      <c r="A5723" s="5">
        <v>5662</v>
      </c>
      <c r="B5723" s="138">
        <f>'Revenues 9-14'!G8</f>
        <v>27504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28511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v>
      </c>
      <c r="C5730" s="2" t="s">
        <v>573</v>
      </c>
      <c r="D5730" s="2" t="str">
        <f t="shared" si="88"/>
        <v>Error?</v>
      </c>
    </row>
    <row r="5731" spans="1:4" x14ac:dyDescent="0.2">
      <c r="A5731" s="5">
        <v>5670</v>
      </c>
      <c r="B5731" s="138">
        <f>'Revenues 9-14'!G65</f>
        <v>481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481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880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880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880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3121</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3121</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3121</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3121</v>
      </c>
      <c r="C5869" s="2" t="s">
        <v>573</v>
      </c>
      <c r="D5869" s="2" t="str">
        <f t="shared" si="90"/>
        <v>Error?</v>
      </c>
    </row>
    <row r="5870" spans="1:4" x14ac:dyDescent="0.2">
      <c r="A5870" s="5">
        <v>5809</v>
      </c>
      <c r="B5870" s="138">
        <f>'Revenues 9-14'!G268</f>
        <v>34993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181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67865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68046</v>
      </c>
      <c r="C5915" s="2" t="s">
        <v>573</v>
      </c>
      <c r="D5915" s="2" t="str">
        <f t="shared" si="91"/>
        <v>Error?</v>
      </c>
    </row>
    <row r="5916" spans="1:4" x14ac:dyDescent="0.2">
      <c r="A5916" s="5">
        <v>5855</v>
      </c>
      <c r="B5916" s="138">
        <f>'Revenues 9-14'!I5</f>
        <v>6140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6140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1321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1321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7461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6139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6139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2416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2416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8555</v>
      </c>
      <c r="C6023" s="2" t="s">
        <v>573</v>
      </c>
      <c r="D6023" s="2" t="str">
        <f t="shared" si="93"/>
        <v>Error?</v>
      </c>
    </row>
    <row r="6024" spans="1:5" x14ac:dyDescent="0.2">
      <c r="A6024" s="5">
        <v>5963</v>
      </c>
      <c r="B6024" s="138">
        <f>'Revenues 9-14'!G109</f>
        <v>30992</v>
      </c>
      <c r="C6024" s="2" t="s">
        <v>573</v>
      </c>
      <c r="D6024" s="2" t="str">
        <f t="shared" si="93"/>
        <v>Error?</v>
      </c>
    </row>
    <row r="6025" spans="1:5" x14ac:dyDescent="0.2">
      <c r="A6025" s="5">
        <v>5964</v>
      </c>
      <c r="B6025" s="138">
        <f>'Revenues 9-14'!H109</f>
        <v>68046</v>
      </c>
      <c r="C6025" s="2" t="s">
        <v>573</v>
      </c>
      <c r="D6025" s="2" t="str">
        <f t="shared" si="93"/>
        <v>Error?</v>
      </c>
    </row>
    <row r="6026" spans="1:5" x14ac:dyDescent="0.2">
      <c r="A6026" s="5">
        <v>5965</v>
      </c>
      <c r="B6026" s="138">
        <f>'Revenues 9-14'!I109</f>
        <v>7461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8555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16224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4926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164.2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68596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68596</v>
      </c>
      <c r="D6215" s="2" t="str">
        <f t="shared" si="96"/>
        <v>Error?</v>
      </c>
      <c r="E6215" s="2" t="s">
        <v>190</v>
      </c>
    </row>
    <row r="6216" spans="1:5" x14ac:dyDescent="0.2">
      <c r="A6216">
        <v>6155</v>
      </c>
      <c r="B6216" s="138">
        <f>'Assets-Liab 5-6'!J41</f>
        <v>68596</v>
      </c>
      <c r="D6216" s="2" t="str">
        <f t="shared" si="96"/>
        <v>Error?</v>
      </c>
      <c r="E6216" s="2" t="s">
        <v>190</v>
      </c>
    </row>
    <row r="6217" spans="1:5" x14ac:dyDescent="0.2">
      <c r="A6217">
        <v>6156</v>
      </c>
      <c r="B6217" s="138">
        <f>'Assets-Liab 5-6'!J4</f>
        <v>68596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56936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56936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56936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48807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48807</v>
      </c>
      <c r="D6229" s="2" t="str">
        <f t="shared" si="96"/>
        <v>Error?</v>
      </c>
      <c r="E6229" s="2" t="s">
        <v>190</v>
      </c>
    </row>
    <row r="6230" spans="1:5" x14ac:dyDescent="0.2">
      <c r="A6230">
        <v>6169</v>
      </c>
      <c r="B6230" s="138">
        <f>'Acct Summary 7-8'!J20</f>
        <v>8129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8129</v>
      </c>
      <c r="D6263" s="2" t="str">
        <f t="shared" si="96"/>
        <v>Error?</v>
      </c>
      <c r="E6263" s="2" t="s">
        <v>190</v>
      </c>
    </row>
    <row r="6264" spans="1:5" x14ac:dyDescent="0.2">
      <c r="A6264">
        <v>6203</v>
      </c>
      <c r="B6264" s="138">
        <f>'Acct Summary 7-8'!J79</f>
        <v>60467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68596</v>
      </c>
      <c r="D6266" s="2" t="str">
        <f t="shared" si="96"/>
        <v>Error?</v>
      </c>
      <c r="E6266" s="2" t="s">
        <v>190</v>
      </c>
    </row>
    <row r="6267" spans="1:5" x14ac:dyDescent="0.2">
      <c r="A6267">
        <v>6206</v>
      </c>
      <c r="B6267" s="138">
        <f>'Acct Summary 7-8'!C82</f>
        <v>74459</v>
      </c>
      <c r="D6267" s="2" t="str">
        <f t="shared" si="96"/>
        <v>Error?</v>
      </c>
      <c r="E6267" s="2" t="s">
        <v>190</v>
      </c>
    </row>
    <row r="6268" spans="1:5" x14ac:dyDescent="0.2">
      <c r="A6268">
        <v>6207</v>
      </c>
      <c r="B6268" s="138">
        <f>'Acct Summary 7-8'!D82</f>
        <v>17814</v>
      </c>
      <c r="D6268" s="2" t="str">
        <f t="shared" si="96"/>
        <v>Error?</v>
      </c>
      <c r="E6268" s="2" t="s">
        <v>190</v>
      </c>
    </row>
    <row r="6269" spans="1:5" x14ac:dyDescent="0.2">
      <c r="A6269">
        <v>6208</v>
      </c>
      <c r="B6269" s="138">
        <f>'Acct Summary 7-8'!E82</f>
        <v>-7031</v>
      </c>
      <c r="D6269" s="2" t="str">
        <f t="shared" si="96"/>
        <v>Error?</v>
      </c>
      <c r="E6269" s="2" t="s">
        <v>190</v>
      </c>
    </row>
    <row r="6270" spans="1:5" x14ac:dyDescent="0.2">
      <c r="A6270">
        <v>6209</v>
      </c>
      <c r="B6270" s="138">
        <f>'Acct Summary 7-8'!F82</f>
        <v>12339</v>
      </c>
      <c r="D6270" s="2" t="str">
        <f t="shared" si="96"/>
        <v>Error?</v>
      </c>
      <c r="E6270" s="2" t="s">
        <v>190</v>
      </c>
    </row>
    <row r="6271" spans="1:5" x14ac:dyDescent="0.2">
      <c r="A6271">
        <v>6210</v>
      </c>
      <c r="B6271" s="138">
        <f>'Acct Summary 7-8'!G82</f>
        <v>-7225</v>
      </c>
      <c r="D6271" s="2" t="str">
        <f t="shared" ref="D6271:D6334" si="97">IF(ISBLANK(B6271),"OK",IF(A6271-B6271=0,"OK","Error?"))</f>
        <v>Error?</v>
      </c>
      <c r="E6271" s="2" t="s">
        <v>190</v>
      </c>
    </row>
    <row r="6272" spans="1:5" x14ac:dyDescent="0.2">
      <c r="A6272">
        <v>6211</v>
      </c>
      <c r="B6272" s="138">
        <f>'Acct Summary 7-8'!H82</f>
        <v>17830</v>
      </c>
      <c r="D6272" s="2" t="str">
        <f t="shared" si="97"/>
        <v>Error?</v>
      </c>
      <c r="E6272" s="2" t="s">
        <v>190</v>
      </c>
    </row>
    <row r="6273" spans="1:5" x14ac:dyDescent="0.2">
      <c r="A6273">
        <v>6212</v>
      </c>
      <c r="B6273" s="138">
        <f>'Acct Summary 7-8'!I82</f>
        <v>-54654</v>
      </c>
      <c r="D6273" s="2" t="str">
        <f t="shared" si="97"/>
        <v>Error?</v>
      </c>
      <c r="E6273" s="2" t="s">
        <v>190</v>
      </c>
    </row>
    <row r="6274" spans="1:5" x14ac:dyDescent="0.2">
      <c r="A6274">
        <v>6213</v>
      </c>
      <c r="B6274" s="138">
        <f>'Acct Summary 7-8'!J82</f>
        <v>8129</v>
      </c>
      <c r="D6274" s="2" t="str">
        <f t="shared" si="97"/>
        <v>Error?</v>
      </c>
      <c r="E6274" s="2" t="s">
        <v>190</v>
      </c>
    </row>
    <row r="6275" spans="1:5" x14ac:dyDescent="0.2">
      <c r="A6275">
        <v>6214</v>
      </c>
      <c r="B6275" s="138">
        <f>'Acct Summary 7-8'!K82</f>
        <v>-289397</v>
      </c>
      <c r="D6275" s="2" t="str">
        <f t="shared" si="97"/>
        <v>Error?</v>
      </c>
      <c r="E6275" s="2" t="s">
        <v>190</v>
      </c>
    </row>
    <row r="6276" spans="1:5" x14ac:dyDescent="0.2">
      <c r="A6276">
        <v>6215</v>
      </c>
      <c r="B6276" s="138">
        <f>'Acct Summary 7-8'!C83</f>
        <v>0.55383734249713634</v>
      </c>
      <c r="D6276" s="2" t="str">
        <f t="shared" si="97"/>
        <v>Error?</v>
      </c>
      <c r="E6276" s="2" t="s">
        <v>190</v>
      </c>
    </row>
    <row r="6277" spans="1:5" x14ac:dyDescent="0.2">
      <c r="A6277">
        <v>6216</v>
      </c>
      <c r="B6277" s="138">
        <f>'Acct Summary 7-8'!D83</f>
        <v>0.59700392104293043</v>
      </c>
      <c r="D6277" s="2" t="str">
        <f t="shared" si="97"/>
        <v>Error?</v>
      </c>
      <c r="E6277" s="2" t="s">
        <v>190</v>
      </c>
    </row>
    <row r="6278" spans="1:5" x14ac:dyDescent="0.2">
      <c r="A6278">
        <v>6217</v>
      </c>
      <c r="B6278" s="138">
        <f>'Acct Summary 7-8'!E83</f>
        <v>-0.45270748824930784</v>
      </c>
      <c r="D6278" s="2" t="str">
        <f t="shared" si="97"/>
        <v>Error?</v>
      </c>
      <c r="E6278" s="2" t="s">
        <v>190</v>
      </c>
    </row>
    <row r="6279" spans="1:5" x14ac:dyDescent="0.2">
      <c r="A6279">
        <v>6218</v>
      </c>
      <c r="B6279" s="138">
        <f>'Acct Summary 7-8'!F83</f>
        <v>0.1528125232209645</v>
      </c>
      <c r="D6279" s="2" t="str">
        <f t="shared" si="97"/>
        <v>Error?</v>
      </c>
      <c r="E6279" s="2" t="s">
        <v>190</v>
      </c>
    </row>
    <row r="6280" spans="1:5" x14ac:dyDescent="0.2">
      <c r="A6280">
        <v>6219</v>
      </c>
      <c r="B6280" s="138">
        <f>'Acct Summary 7-8'!G83</f>
        <v>-0.19538116228129479</v>
      </c>
      <c r="D6280" s="2" t="str">
        <f t="shared" si="97"/>
        <v>Error?</v>
      </c>
      <c r="E6280" s="2" t="s">
        <v>190</v>
      </c>
    </row>
    <row r="6281" spans="1:5" x14ac:dyDescent="0.2">
      <c r="A6281">
        <v>6220</v>
      </c>
      <c r="B6281" s="138">
        <f>'Acct Summary 7-8'!H83</f>
        <v>0.63128452060614648</v>
      </c>
      <c r="D6281" s="2" t="str">
        <f t="shared" si="97"/>
        <v>Error?</v>
      </c>
      <c r="E6281" s="2" t="s">
        <v>190</v>
      </c>
    </row>
    <row r="6282" spans="1:5" x14ac:dyDescent="0.2">
      <c r="A6282">
        <v>6221</v>
      </c>
      <c r="B6282" s="138">
        <f>'Acct Summary 7-8'!I83</f>
        <v>-0.35927506031303619</v>
      </c>
      <c r="D6282" s="2" t="str">
        <f t="shared" si="97"/>
        <v>Error?</v>
      </c>
      <c r="E6282" s="2" t="s">
        <v>190</v>
      </c>
    </row>
    <row r="6283" spans="1:5" x14ac:dyDescent="0.2">
      <c r="A6283">
        <v>6222</v>
      </c>
      <c r="B6283" s="138">
        <f>'Acct Summary 7-8'!J83</f>
        <v>0.11850545221295702</v>
      </c>
      <c r="D6283" s="2" t="str">
        <f t="shared" si="97"/>
        <v>Error?</v>
      </c>
      <c r="E6283" s="2" t="s">
        <v>190</v>
      </c>
    </row>
    <row r="6284" spans="1:5" x14ac:dyDescent="0.2">
      <c r="A6284">
        <v>6223</v>
      </c>
      <c r="B6284" s="138">
        <f>'Acct Summary 7-8'!K83</f>
        <v>-1.2830099174946024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55609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55609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661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661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666</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666</v>
      </c>
      <c r="D6351" s="2" t="str">
        <f t="shared" si="98"/>
        <v>Error?</v>
      </c>
      <c r="E6351" s="2" t="s">
        <v>190</v>
      </c>
    </row>
    <row r="6352" spans="1:5" x14ac:dyDescent="0.2">
      <c r="A6352">
        <v>6291</v>
      </c>
      <c r="B6352" s="138">
        <f>'Revenues 9-14'!J109</f>
        <v>56936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1102</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24807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1102</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2569</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49094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4355</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6924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11187</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11187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11187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324645</v>
      </c>
      <c r="D6981" s="2" t="str">
        <f t="shared" si="108"/>
        <v>Error?</v>
      </c>
    </row>
    <row r="6982" spans="1:4" x14ac:dyDescent="0.2">
      <c r="A6982">
        <v>6921</v>
      </c>
      <c r="B6982" s="138">
        <f>'Expenditures 15-22'!K85</f>
        <v>324645</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324645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18111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48807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56936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2938</v>
      </c>
      <c r="D7073" s="2" t="str">
        <f t="shared" si="109"/>
        <v>Error?</v>
      </c>
    </row>
    <row r="7074" spans="1:4" x14ac:dyDescent="0.2">
      <c r="A7074">
        <v>7013</v>
      </c>
      <c r="B7074" s="138">
        <f>'Expenditures 15-22'!K216</f>
        <v>2938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706</v>
      </c>
      <c r="D7093" s="2" t="str">
        <f t="shared" si="109"/>
        <v>Error?</v>
      </c>
    </row>
    <row r="7094" spans="1:4" x14ac:dyDescent="0.2">
      <c r="A7094">
        <v>7033</v>
      </c>
      <c r="B7094" s="138">
        <f>'Expenditures 15-22'!K254</f>
        <v>706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2800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2800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2800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27000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27000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14453</v>
      </c>
      <c r="D7172" s="2" t="str">
        <f t="shared" si="111"/>
        <v>Error?</v>
      </c>
    </row>
    <row r="7173" spans="1:4" x14ac:dyDescent="0.2">
      <c r="A7173">
        <v>7112</v>
      </c>
      <c r="B7173" s="138">
        <f>'Expenditures 15-22'!D325</f>
        <v>432</v>
      </c>
      <c r="D7173" s="2" t="str">
        <f t="shared" si="111"/>
        <v>Error?</v>
      </c>
    </row>
    <row r="7174" spans="1:4" x14ac:dyDescent="0.2">
      <c r="A7174">
        <v>7113</v>
      </c>
      <c r="B7174" s="138">
        <f>'Expenditures 15-22'!E325</f>
        <v>6714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21599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125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125</v>
      </c>
      <c r="D7198" s="2" t="str">
        <f t="shared" si="111"/>
        <v>Error?</v>
      </c>
    </row>
    <row r="7199" spans="1:4" x14ac:dyDescent="0.2">
      <c r="A7199">
        <v>7138</v>
      </c>
      <c r="B7199" s="138">
        <f>'Expenditures 15-22'!C330</f>
        <v>14453</v>
      </c>
      <c r="D7199" s="2" t="str">
        <f t="shared" si="111"/>
        <v>Error?</v>
      </c>
    </row>
    <row r="7200" spans="1:4" x14ac:dyDescent="0.2">
      <c r="A7200">
        <v>7139</v>
      </c>
      <c r="B7200" s="138">
        <f>'Expenditures 15-22'!D330</f>
        <v>432</v>
      </c>
      <c r="D7200" s="2" t="str">
        <f t="shared" si="111"/>
        <v>Error?</v>
      </c>
    </row>
    <row r="7201" spans="1:4" x14ac:dyDescent="0.2">
      <c r="A7201">
        <v>7140</v>
      </c>
      <c r="B7201" s="138">
        <f>'Expenditures 15-22'!E330</f>
        <v>33922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48807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14453</v>
      </c>
      <c r="D7216" s="2" t="str">
        <f t="shared" si="111"/>
        <v>Error?</v>
      </c>
    </row>
    <row r="7217" spans="1:4" x14ac:dyDescent="0.2">
      <c r="A7217">
        <v>7156</v>
      </c>
      <c r="B7217" s="138">
        <f>'Expenditures 15-22'!D342</f>
        <v>432</v>
      </c>
      <c r="D7217" s="2" t="str">
        <f t="shared" si="111"/>
        <v>Error?</v>
      </c>
    </row>
    <row r="7218" spans="1:4" x14ac:dyDescent="0.2">
      <c r="A7218">
        <v>7157</v>
      </c>
      <c r="B7218" s="138">
        <f>'Expenditures 15-22'!E342</f>
        <v>33922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48807</v>
      </c>
      <c r="D7224" s="2" t="str">
        <f t="shared" si="111"/>
        <v>Error?</v>
      </c>
    </row>
    <row r="7225" spans="1:4" x14ac:dyDescent="0.2">
      <c r="A7225">
        <v>7164</v>
      </c>
      <c r="B7225" s="138">
        <f>'Expenditures 15-22'!K343</f>
        <v>8129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274</v>
      </c>
      <c r="D7246" s="2" t="str">
        <f t="shared" si="112"/>
        <v>Error?</v>
      </c>
    </row>
    <row r="7247" spans="1:4" x14ac:dyDescent="0.2">
      <c r="A7247">
        <f t="shared" si="113"/>
        <v>7186</v>
      </c>
      <c r="B7247" s="138">
        <f>'Expenditures 15-22'!E7</f>
        <v>1378</v>
      </c>
      <c r="D7247" s="2" t="str">
        <f t="shared" si="112"/>
        <v>Error?</v>
      </c>
    </row>
    <row r="7248" spans="1:4" x14ac:dyDescent="0.2">
      <c r="A7248">
        <f t="shared" si="113"/>
        <v>7187</v>
      </c>
      <c r="B7248" s="138">
        <f>'Expenditures 15-22'!F7</f>
        <v>20066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20911</v>
      </c>
      <c r="D7624" s="2" t="str">
        <f t="shared" si="124"/>
        <v>Error?</v>
      </c>
      <c r="E7624" s="2" t="s">
        <v>19</v>
      </c>
    </row>
    <row r="7625" spans="1:5" x14ac:dyDescent="0.2">
      <c r="A7625">
        <f t="shared" si="123"/>
        <v>7564</v>
      </c>
      <c r="B7625" s="138">
        <f>'Cap Outlay Deprec 26'!I17</f>
        <v>2091.1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55063.1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67865</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25000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37115</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9000</v>
      </c>
      <c r="D7797" s="2" t="str">
        <f t="shared" si="127"/>
        <v>Error?</v>
      </c>
      <c r="E7797" s="4" t="s">
        <v>1903</v>
      </c>
    </row>
    <row r="7798" spans="1:5" x14ac:dyDescent="0.2">
      <c r="A7798">
        <v>7737</v>
      </c>
      <c r="B7798" s="138">
        <f>'Contracts Paid in CY 29'!F142</f>
        <v>9000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Allendale CCSD 17</v>
      </c>
      <c r="B7" s="2387"/>
      <c r="C7" s="2387"/>
      <c r="D7" s="2424"/>
      <c r="E7" s="2425">
        <f>COVER!A13</f>
        <v>20093017024</v>
      </c>
      <c r="F7" s="2426"/>
      <c r="G7" s="2393" t="str">
        <f>COVER!T23</f>
        <v>065-011645</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TERRY L. HARPER, CPA</v>
      </c>
      <c r="H9" s="2400"/>
      <c r="I9" s="2400"/>
      <c r="J9" s="2400"/>
      <c r="K9" s="2400"/>
      <c r="L9" s="2401"/>
    </row>
    <row r="10" spans="1:29" ht="13.5" customHeight="1" x14ac:dyDescent="0.2">
      <c r="A10" s="2383" t="str">
        <f>COVER!A38</f>
        <v>BOB BOWSER</v>
      </c>
      <c r="B10" s="2384"/>
      <c r="C10" s="2384"/>
      <c r="D10" s="2384"/>
      <c r="E10" s="2384"/>
      <c r="F10" s="2385"/>
      <c r="G10" s="2399" t="str">
        <f>COVER!T17</f>
        <v>9 N. FIFTH ST.</v>
      </c>
      <c r="H10" s="2412"/>
      <c r="I10" s="2412"/>
      <c r="J10" s="2412"/>
      <c r="K10" s="2412"/>
      <c r="L10" s="2413"/>
    </row>
    <row r="11" spans="1:29" ht="13.5" customHeight="1" x14ac:dyDescent="0.2">
      <c r="A11" s="1184" t="s">
        <v>1519</v>
      </c>
      <c r="B11" s="1185"/>
      <c r="C11" s="1186"/>
      <c r="D11" s="1191"/>
      <c r="E11" s="1186"/>
      <c r="F11" s="1190"/>
      <c r="G11" s="2399" t="str">
        <f>COVER!T19</f>
        <v>ALBION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HARPERCPA@FRONTIER.COM</v>
      </c>
      <c r="J13" s="2421"/>
      <c r="K13" s="2421"/>
      <c r="L13" s="2422"/>
    </row>
    <row r="14" spans="1:29" ht="13.5" customHeight="1" x14ac:dyDescent="0.2">
      <c r="A14" s="2399" t="str">
        <f>COVER!A19</f>
        <v>P.O. BOX 130</v>
      </c>
      <c r="B14" s="2412"/>
      <c r="C14" s="2412"/>
      <c r="D14" s="2412"/>
      <c r="E14" s="2412"/>
      <c r="F14" s="2413"/>
      <c r="G14" s="1195" t="s">
        <v>1185</v>
      </c>
      <c r="H14" s="1193"/>
      <c r="I14" s="1193"/>
      <c r="J14" s="1193"/>
      <c r="K14" s="1193"/>
      <c r="L14" s="1194"/>
    </row>
    <row r="15" spans="1:29" ht="13.5" customHeight="1" x14ac:dyDescent="0.2">
      <c r="A15" s="2399" t="str">
        <f>COVER!A21</f>
        <v>ALLENDALE</v>
      </c>
      <c r="B15" s="2412"/>
      <c r="C15" s="2412"/>
      <c r="D15" s="2412"/>
      <c r="E15" s="2412"/>
      <c r="F15" s="2413"/>
      <c r="G15" s="2409" t="str">
        <f>COVER!T15</f>
        <v>TERRY L. HARPER</v>
      </c>
      <c r="H15" s="2410"/>
      <c r="I15" s="2410"/>
      <c r="J15" s="2410"/>
      <c r="K15" s="2410"/>
      <c r="L15" s="2411"/>
    </row>
    <row r="16" spans="1:29" ht="12.2" customHeight="1" x14ac:dyDescent="0.2">
      <c r="A16" s="2389">
        <f>COVER!A25</f>
        <v>62410</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618-445-3433</v>
      </c>
      <c r="H18" s="2387"/>
      <c r="I18" s="2387"/>
      <c r="J18" s="2387"/>
      <c r="K18" s="2386" t="str">
        <f>COVER!X21</f>
        <v>618-445-3969</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Allendale CCSD 17</v>
      </c>
      <c r="B1" s="2423"/>
      <c r="C1" s="2423"/>
      <c r="D1" s="2423"/>
    </row>
    <row r="2" spans="1:11" s="1212" customFormat="1" ht="12.75" x14ac:dyDescent="0.2">
      <c r="A2" s="2428">
        <f>'Single Audit Cover'!E7</f>
        <v>20093017024</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Allendale CCSD 17</v>
      </c>
      <c r="B1" s="2431"/>
      <c r="C1" s="2431"/>
      <c r="D1" s="2431"/>
      <c r="E1" s="2431"/>
    </row>
    <row r="2" spans="1:5" x14ac:dyDescent="0.2">
      <c r="A2" s="2432">
        <f>'Single Audit Cover'!E7</f>
        <v>20093017024</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137024</v>
      </c>
    </row>
    <row r="11" spans="1:5" ht="18" customHeight="1" x14ac:dyDescent="0.2">
      <c r="A11" s="1258" t="s">
        <v>1240</v>
      </c>
      <c r="B11" s="1259"/>
      <c r="C11" s="1259"/>
    </row>
    <row r="12" spans="1:5" x14ac:dyDescent="0.2">
      <c r="A12" s="1258" t="s">
        <v>1239</v>
      </c>
      <c r="B12" s="1259" t="s">
        <v>1238</v>
      </c>
      <c r="C12" s="1259"/>
      <c r="D12" s="1261">
        <f>SUM('Revenues 9-14'!C112:D112,'Revenues 9-14'!F112:G112)</f>
        <v>1009</v>
      </c>
    </row>
    <row r="13" spans="1:5" x14ac:dyDescent="0.2">
      <c r="A13" s="1258" t="s">
        <v>1237</v>
      </c>
      <c r="B13" s="1259"/>
      <c r="C13" s="1259"/>
    </row>
    <row r="14" spans="1:5" x14ac:dyDescent="0.2">
      <c r="A14" s="1258" t="s">
        <v>1727</v>
      </c>
      <c r="B14" s="1259"/>
      <c r="C14" s="1259"/>
      <c r="D14" s="1261">
        <f>'ICR Computation 30'!E11</f>
        <v>4926</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-3146</v>
      </c>
    </row>
    <row r="19" spans="1:4" ht="13.5" thickBot="1" x14ac:dyDescent="0.25">
      <c r="A19" s="1262" t="s">
        <v>1235</v>
      </c>
      <c r="D19" s="1263">
        <f>SUM(D10:D17)</f>
        <v>139813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139813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139813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Allendale CCSD 17</v>
      </c>
      <c r="C1" s="2435"/>
      <c r="D1" s="2435"/>
      <c r="E1" s="2435"/>
      <c r="F1" s="2435"/>
      <c r="G1" s="2435"/>
      <c r="H1" s="2435"/>
      <c r="I1" s="2435"/>
      <c r="J1" s="2435"/>
      <c r="K1" s="2435"/>
      <c r="L1" s="2435"/>
      <c r="M1" s="2435"/>
    </row>
    <row r="2" spans="2:14" ht="15" x14ac:dyDescent="0.2">
      <c r="B2" s="2436">
        <f>'Single Audit Cover'!E7</f>
        <v>20093017024</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Allendale CCSD 17</v>
      </c>
      <c r="B1" s="2440"/>
      <c r="C1" s="2440"/>
      <c r="D1" s="2440"/>
      <c r="E1" s="2440"/>
      <c r="F1" s="2440"/>
    </row>
    <row r="2" spans="1:7" ht="13.5" customHeight="1" x14ac:dyDescent="0.2">
      <c r="A2" s="2436">
        <f>'Single Audit Cover'!E7</f>
        <v>20093017024</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Allendale CCSD 17</v>
      </c>
      <c r="C1" s="2456"/>
      <c r="D1" s="2456"/>
      <c r="E1" s="2456"/>
      <c r="F1" s="2456"/>
      <c r="G1" s="2456"/>
      <c r="H1" s="2456"/>
      <c r="I1" s="2456"/>
      <c r="J1" s="1406"/>
    </row>
    <row r="2" spans="2:10" s="317" customFormat="1" ht="12.75" customHeight="1" x14ac:dyDescent="0.2">
      <c r="B2" s="2457">
        <f>'Single Audit Cover'!E7</f>
        <v>20093017024</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Allendale CCSD 17</v>
      </c>
      <c r="C1" s="2455"/>
      <c r="D1" s="2455"/>
      <c r="E1" s="2455"/>
      <c r="F1" s="2455"/>
      <c r="G1" s="2455"/>
      <c r="H1" s="2455"/>
      <c r="I1" s="2455"/>
      <c r="J1" s="2455"/>
      <c r="K1" s="2455"/>
      <c r="L1" s="1371"/>
      <c r="M1" s="1371"/>
    </row>
    <row r="2" spans="1:13" ht="12" customHeight="1" x14ac:dyDescent="0.2">
      <c r="B2" s="2457">
        <f>'Single Audit Cover'!E7</f>
        <v>20093017024</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Allendale CCSD 17</v>
      </c>
      <c r="C1" s="2482"/>
      <c r="D1" s="2482"/>
      <c r="E1" s="2482"/>
      <c r="F1" s="2482"/>
      <c r="G1" s="2482"/>
      <c r="H1" s="2482"/>
      <c r="I1" s="2482"/>
      <c r="J1" s="2482"/>
      <c r="K1" s="2482"/>
      <c r="L1" s="1449"/>
    </row>
    <row r="2" spans="1:12" ht="12.75" customHeight="1" x14ac:dyDescent="0.2">
      <c r="B2" s="2483">
        <f>'Single Audit Cover'!E7</f>
        <v>20093017024</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Allendale CCSD 17</v>
      </c>
      <c r="C1" s="2455"/>
      <c r="D1" s="2455"/>
      <c r="E1" s="1469"/>
    </row>
    <row r="2" spans="2:5" s="1279" customFormat="1" ht="12.75" customHeight="1" x14ac:dyDescent="0.2">
      <c r="B2" s="2457">
        <f>'Single Audit Cover'!E7</f>
        <v>20093017024</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purl.org/dc/elements/1.1/"/>
    <ds:schemaRef ds:uri="http://purl.org/dc/terms/"/>
    <ds:schemaRef ds:uri="6ce3111e-7420-4802-b50a-75d4e9a0b980"/>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2019-12-12T15:43:34Z</cp:lastPrinted>
  <dcterms:created xsi:type="dcterms:W3CDTF">2003-10-29T19:06:34Z</dcterms:created>
  <dcterms:modified xsi:type="dcterms:W3CDTF">2020-01-06T20:09:14Z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