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BB1840B-0270-4A60-B0E0-E189EB7AE6AF}"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5" i="127"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2" i="127"/>
  <c r="B63" i="127"/>
  <c r="D26" i="108"/>
  <c r="E26" i="108"/>
  <c r="F26" i="108"/>
  <c r="G26" i="108"/>
  <c r="D27" i="108"/>
  <c r="E27" i="108"/>
  <c r="G27" i="108"/>
  <c r="E28" i="108"/>
  <c r="F28" i="108"/>
  <c r="F31" i="108"/>
  <c r="F36" i="108"/>
  <c r="F37" i="108"/>
  <c r="G28" i="108"/>
  <c r="E29" i="108"/>
  <c r="E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I24" i="12" l="1"/>
  <c r="B1308" i="106"/>
  <c r="D1308" i="106" s="1"/>
  <c r="E174" i="29"/>
  <c r="B1309" i="106" s="1"/>
  <c r="D1309" i="106" s="1"/>
  <c r="L367" i="29"/>
  <c r="B7235" i="106"/>
  <c r="D7235" i="106" s="1"/>
  <c r="D6103" i="106"/>
  <c r="B3647" i="106"/>
  <c r="D3647" i="106" s="1"/>
  <c r="K76" i="4"/>
  <c r="B3586" i="106" s="1"/>
  <c r="D3586" i="106" s="1"/>
  <c r="L13" i="11"/>
  <c r="B2060" i="106" s="1"/>
  <c r="D2060" i="106" s="1"/>
  <c r="F19" i="7"/>
  <c r="B1807" i="106" s="1"/>
  <c r="D1807" i="106" s="1"/>
  <c r="L342" i="29"/>
  <c r="K184" i="29"/>
  <c r="F13" i="4" s="1"/>
  <c r="B2596" i="106" s="1"/>
  <c r="D2596" i="106" s="1"/>
  <c r="G29" i="108"/>
  <c r="G39" i="108"/>
  <c r="C14" i="4"/>
  <c r="B2558" i="106" s="1"/>
  <c r="D2558" i="106" s="1"/>
  <c r="G30" i="108"/>
  <c r="B2724" i="106"/>
  <c r="D2724" i="106" s="1"/>
  <c r="F34" i="34"/>
  <c r="B281" i="106"/>
  <c r="D281" i="106" s="1"/>
  <c r="H33" i="118"/>
  <c r="D11" i="37"/>
  <c r="D31" i="36"/>
  <c r="B4268" i="106"/>
  <c r="D4268" i="106" s="1"/>
  <c r="D9" i="7"/>
  <c r="B1767" i="106" s="1"/>
  <c r="D1767" i="106" s="1"/>
  <c r="K28" i="118"/>
  <c r="O27" i="118" s="1"/>
  <c r="O29" i="118" s="1"/>
  <c r="D17" i="7"/>
  <c r="B4104" i="106" s="1"/>
  <c r="D4104" i="106" s="1"/>
  <c r="G15" i="145"/>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996" i="106" l="1"/>
  <c r="D1996" i="106" s="1"/>
  <c r="I26" i="12"/>
  <c r="B7741" i="106" s="1"/>
  <c r="D7741" i="106" s="1"/>
  <c r="L16" i="11"/>
  <c r="B2061" i="106" s="1"/>
  <c r="D2061" i="106" s="1"/>
  <c r="K342" i="29"/>
  <c r="F13" i="34" s="1"/>
  <c r="B1381" i="106"/>
  <c r="D1381" i="106" s="1"/>
  <c r="C114" i="29"/>
  <c r="B757" i="106" s="1"/>
  <c r="D757" i="106" s="1"/>
  <c r="G170" i="5"/>
  <c r="F174" i="34"/>
  <c r="B5527" i="106"/>
  <c r="D5527" i="106" s="1"/>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B6223" i="106"/>
  <c r="D6223"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<sst xmlns="http://schemas.openxmlformats.org/spreadsheetml/2006/main" count="5137" uniqueCount="2134">
  <si>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</si>
  <si>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</si>
  <si>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</si>
  <si>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</si>
  <si>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</si>
  <si>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</si>
  <si>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</si>
  <si>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</si>
  <si>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</si>
  <si>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</si>
  <si>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</si>
  <si>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</si>
  <si>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</si>
  <si>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</si>
  <si>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</si>
  <si>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</si>
  <si>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</si>
  <si>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</si>
  <si>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</si>
  <si>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</si>
  <si>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</si>
  <si>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</si>
  <si>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</si>
  <si>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</si>
  <si>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</si>
  <si>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</si>
  <si>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</si>
  <si>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</si>
  <si>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</si>
  <si>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</si>
  <si>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</si>
  <si>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</si>
  <si>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</si>
  <si>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</si>
  <si>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</si>
  <si>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</si>
  <si>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</si>
  <si>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</si>
  <si>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</si>
  <si>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</si>
  <si>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</si>
  <si>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</si>
  <si>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</si>
  <si>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</si>
  <si>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</si>
  <si>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</si>
  <si>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</si>
  <si>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</si>
  <si>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</si>
  <si>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</si>
  <si>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</si>
  <si>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</si>
  <si>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</si>
  <si>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</si>
  <si>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</si>
  <si>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</si>
  <si>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</si>
  <si>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</si>
  <si>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</si>
  <si>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</si>
  <si>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</si>
  <si>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</si>
  <si>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</si>
  <si>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</si>
  <si>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</si>
  <si>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</si>
  <si>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</si>
  <si>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</si>
  <si>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</si>
  <si>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</si>
  <si>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</si>
  <si>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</si>
  <si>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</si>
  <si>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</si>
  <si>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</si>
  <si>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</si>
  <si>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</si>
  <si>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</si>
  <si>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</si>
  <si>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</si>
  <si>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</si>
  <si>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</si>
  <si>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</si>
  <si>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</si>
  <si>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</si>
  <si>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</si>
  <si>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</si>
  <si>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</si>
  <si>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</si>
  <si>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</si>
  <si>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</si>
  <si>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</si>
  <si>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</si>
  <si>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</si>
  <si>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</si>
  <si>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</si>
  <si>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</si>
  <si>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</si>
  <si>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</si>
  <si>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</si>
  <si>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</si>
  <si>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</si>
  <si>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</si>
  <si>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</si>
  <si>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</si>
  <si>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</si>
  <si>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</si>
  <si>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</si>
  <si>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</si>
  <si>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</si>
  <si>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</si>
  <si>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</si>
  <si>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</si>
  <si>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</si>
  <si>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</si>
  <si>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</si>
  <si>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</si>
  <si>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</si>
  <si>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</si>
  <si>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</si>
  <si>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</si>
  <si>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</si>
  <si>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</si>
  <si>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</si>
  <si>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</si>
  <si>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</si>
  <si>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</si>
  <si>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</si>
  <si>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</si>
  <si>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</si>
  <si>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</si>
  <si>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</si>
  <si>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</si>
  <si>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</si>
  <si>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</si>
  <si>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</si>
  <si>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</si>
  <si>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</si>
  <si>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</si>
  <si>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</si>
  <si>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</si>
  <si>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</si>
  <si>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</si>
  <si>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</si>
  <si>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</si>
  <si>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</si>
  <si>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</si>
  <si>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</si>
  <si>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</si>
  <si>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</si>
  <si>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</si>
  <si>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</si>
  <si>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</si>
  <si>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</si>
  <si>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</si>
  <si>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</si>
  <si>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</si>
  <si>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</si>
  <si>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</si>
  <si>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</si>
  <si>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</si>
  <si>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</si>
  <si>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</si>
  <si>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</si>
  <si>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</si>
  <si>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</si>
  <si>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</si>
  <si>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</si>
  <si>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</si>
  <si>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</si>
  <si>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</si>
  <si>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</si>
  <si>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</si>
  <si>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</si>
  <si>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</si>
  <si>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</si>
  <si>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</si>
  <si>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</si>
  <si>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</si>
  <si>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</si>
  <si>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</si>
  <si>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</si>
  <si>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</si>
  <si>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</si>
  <si>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</si>
  <si>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</si>
  <si>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</si>
  <si>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</si>
  <si>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</si>
  <si>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</si>
  <si>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</si>
  <si>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</si>
  <si>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</si>
  <si>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</si>
  <si>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</si>
  <si>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</si>
  <si>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</si>
  <si>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</si>
  <si>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</si>
  <si>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</si>
  <si>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</si>
  <si>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</si>
  <si>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</si>
  <si>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</si>
  <si>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</si>
  <si>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</si>
  <si>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</si>
  <si>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</si>
  <si>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</si>
  <si>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</si>
  <si>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</si>
  <si>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</si>
  <si>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</si>
  <si>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</si>
  <si>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</si>
  <si>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</si>
  <si>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</si>
  <si>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</si>
  <si>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</si>
  <si>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</si>
  <si>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</si>
  <si>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</si>
  <si>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</si>
  <si>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</si>
  <si>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</si>
  <si>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</si>
  <si>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</si>
  <si>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</si>
  <si>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</si>
  <si>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</si>
  <si>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</si>
  <si>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</si>
  <si>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</si>
  <si>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</si>
  <si>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</si>
  <si>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</si>
  <si>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</si>
  <si>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</si>
  <si>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</si>
  <si>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</si>
  <si>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</si>
  <si>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</si>
  <si>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</si>
  <si>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</si>
  <si>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</si>
  <si>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</si>
  <si>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</si>
  <si>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</si>
  <si>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</si>
  <si>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</si>
  <si>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</si>
  <si>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</si>
  <si>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</si>
  <si>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</si>
  <si>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</si>
  <si>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</si>
  <si>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</si>
  <si>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</si>
  <si>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</si>
  <si>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</si>
  <si>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</si>
  <si>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</si>
  <si>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</si>
  <si>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</si>
  <si>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</si>
  <si>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</si>
  <si>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</si>
  <si>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</si>
  <si>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</si>
  <si>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</si>
  <si>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</si>
  <si>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</si>
  <si>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</si>
  <si>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</si>
  <si>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</si>
  <si>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</si>
  <si>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</si>
  <si>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</si>
  <si>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</si>
  <si>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</si>
  <si>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</si>
  <si>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</si>
  <si>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</si>
  <si>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</si>
  <si>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</si>
  <si>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</si>
  <si>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</si>
  <si>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</si>
  <si>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</si>
  <si>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</si>
  <si>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</si>
  <si>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</si>
  <si>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</si>
  <si>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</si>
  <si>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</si>
  <si>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</si>
  <si>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</si>
  <si>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</si>
  <si>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</si>
  <si>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</si>
  <si>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</si>
  <si>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</si>
  <si>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</si>
  <si>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</si>
  <si>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</si>
  <si>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</si>
  <si>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</si>
  <si>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</si>
  <si>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</si>
  <si>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</si>
  <si>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</si>
  <si>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</si>
  <si>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</si>
  <si>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</si>
  <si>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</si>
  <si>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</si>
  <si>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</si>
  <si>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</si>
  <si>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</si>
  <si>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</si>
  <si>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</si>
  <si>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</si>
  <si>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</si>
  <si>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</si>
  <si>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</si>
  <si>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</si>
  <si>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</si>
  <si>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</si>
  <si>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</si>
  <si>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</si>
  <si>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</si>
  <si>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</si>
  <si>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</si>
  <si>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</si>
  <si>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</si>
  <si>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</si>
  <si>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</si>
  <si>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</si>
  <si>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</si>
  <si>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</si>
  <si>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</si>
  <si>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</si>
  <si>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</si>
  <si>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</si>
  <si>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</si>
  <si>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</si>
  <si>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</si>
  <si>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</si>
  <si>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</si>
  <si>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</si>
  <si>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</si>
  <si>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</si>
  <si>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</si>
  <si>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</si>
  <si>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</si>
  <si>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</si>
  <si>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</si>
  <si>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</si>
  <si>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</si>
  <si>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</si>
  <si>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</si>
  <si>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</si>
  <si>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</si>
  <si>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</si>
  <si>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</si>
  <si>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</si>
  <si>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</si>
  <si>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</si>
  <si>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</si>
  <si>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</si>
  <si>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</si>
  <si>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</si>
  <si>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</si>
  <si>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</si>
  <si>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</si>
  <si>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</si>
  <si>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</si>
  <si>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</si>
  <si>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</si>
  <si>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</si>
  <si>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</si>
  <si>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</si>
  <si>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</si>
  <si>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</si>
  <si>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</si>
  <si>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</si>
  <si>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</si>
  <si>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</si>
  <si>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</si>
  <si>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</si>
  <si>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</si>
  <si>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</si>
  <si>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</si>
  <si>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</si>
  <si>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</si>
  <si>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</si>
  <si>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</si>
  <si>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</si>
  <si>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</si>
  <si>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</si>
  <si>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</si>
  <si>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</si>
  <si>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</si>
  <si>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</si>
  <si>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</si>
  <si>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</si>
  <si>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</si>
  <si>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</si>
  <si>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</si>
  <si>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</si>
  <si>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</si>
  <si>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</si>
  <si>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</si>
  <si>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</si>
  <si>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</si>
  <si>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</si>
  <si>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</si>
  <si>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</si>
  <si>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</si>
  <si>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</si>
  <si>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</si>
  <si>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</si>
  <si>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</si>
  <si>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</si>
  <si>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</si>
  <si>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</si>
  <si>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</si>
  <si>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</si>
  <si>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</si>
  <si>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</si>
  <si>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</si>
  <si>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</si>
  <si>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</si>
  <si>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</si>
  <si>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</si>
  <si>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</si>
  <si>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</si>
  <si>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</si>
  <si>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</si>
  <si>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</si>
  <si>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</si>
  <si>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</si>
  <si>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</si>
  <si>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</si>
  <si>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</si>
  <si>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</si>
  <si>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</si>
  <si>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</si>
  <si>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</si>
  <si>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</si>
  <si>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</si>
  <si>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</si>
  <si>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</si>
  <si>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</si>
  <si>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</si>
  <si>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</si>
  <si>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</si>
  <si>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</si>
  <si>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</si>
  <si>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</si>
  <si>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</si>
  <si>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</si>
  <si>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</si>
  <si>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</si>
  <si>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</si>
  <si>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</si>
  <si>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</si>
  <si>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</si>
  <si>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</si>
  <si>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</si>
  <si>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</si>
  <si>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</si>
  <si>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</si>
  <si>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</si>
  <si>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</si>
  <si>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</si>
  <si>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</si>
  <si>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</si>
  <si>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</si>
  <si>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</si>
  <si>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</si>
  <si>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</si>
  <si>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</si>
  <si>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</si>
  <si>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</si>
  <si>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</si>
  <si>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</si>
  <si>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</si>
  <si>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</si>
  <si>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</si>
  <si>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</si>
  <si>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</si>
  <si>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</si>
  <si>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</si>
  <si>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</si>
  <si>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</si>
  <si>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</si>
  <si>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</si>
  <si>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</si>
  <si>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</si>
  <si>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</si>
  <si>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</si>
  <si>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</si>
  <si>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</si>
  <si>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</si>
  <si>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</si>
  <si>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</si>
  <si>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</si>
  <si>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</si>
  <si>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</si>
  <si>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</si>
  <si>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</si>
  <si>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</si>
  <si>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</si>
  <si>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</si>
  <si>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</si>
  <si>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</si>
  <si>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</si>
  <si>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</si>
  <si>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</si>
  <si>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</si>
  <si>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</si>
  <si>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</si>
  <si>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</si>
  <si>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</si>
  <si>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</si>
  <si>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</si>
  <si>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</si>
  <si>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</si>
  <si>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</si>
  <si>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</si>
  <si>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</si>
  <si>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</si>
  <si>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</si>
  <si>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</si>
  <si>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</si>
  <si>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</si>
  <si>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</si>
  <si>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</si>
  <si>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</si>
  <si>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</si>
  <si>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</si>
  <si>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</si>
  <si>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</si>
  <si>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</si>
  <si>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</si>
  <si>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</si>
  <si>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</si>
  <si>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</si>
  <si>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</si>
  <si>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</si>
  <si>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</si>
  <si>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</si>
  <si>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</si>
  <si>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</si>
  <si>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</si>
  <si>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</si>
  <si>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</si>
  <si>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</si>
  <si>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</si>
  <si>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</si>
  <si>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</si>
  <si>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</si>
  <si>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</si>
  <si>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</si>
  <si>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</si>
  <si>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</si>
  <si>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</si>
  <si>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</si>
  <si>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</si>
  <si>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</si>
  <si>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</si>
  <si>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</si>
  <si>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</si>
  <si>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</si>
  <si>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</si>
  <si>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</si>
  <si>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</si>
  <si>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</si>
  <si>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</si>
  <si>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</si>
  <si>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</si>
  <si>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</si>
  <si>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</si>
  <si>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</si>
  <si>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</si>
  <si>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</si>
  <si>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</si>
  <si>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</si>
  <si>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</si>
  <si>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</si>
  <si>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</si>
  <si>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</si>
  <si>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</si>
  <si>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</si>
  <si>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</si>
  <si>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</si>
  <si>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</si>
  <si>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</si>
  <si>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</si>
  <si>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</si>
  <si>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</si>
  <si>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</si>
  <si>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</si>
  <si>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</si>
  <si>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</si>
  <si>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</si>
  <si>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</si>
  <si>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</si>
  <si>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</si>
  <si>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</si>
  <si>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</si>
  <si>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</si>
  <si>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</si>
  <si>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</si>
  <si>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</si>
  <si>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</si>
  <si>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</si>
  <si>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</si>
  <si>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</si>
  <si>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</si>
  <si>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</si>
  <si>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</si>
  <si>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</si>
  <si>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</si>
  <si>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</si>
  <si>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</si>
  <si>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</si>
  <si>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</si>
  <si>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</si>
  <si>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</si>
  <si>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</si>
  <si>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</si>
  <si>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</si>
  <si>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</si>
  <si>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</si>
  <si>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</si>
  <si>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</si>
  <si>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</si>
  <si>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</si>
  <si>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</si>
  <si>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</si>
  <si>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</si>
  <si>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</si>
  <si>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</si>
  <si>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</si>
  <si>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</si>
  <si>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</si>
  <si>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</si>
  <si>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</si>
  <si>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</si>
  <si>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</si>
  <si>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</si>
  <si>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</si>
  <si>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</si>
  <si>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</si>
  <si>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</si>
  <si>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</si>
  <si>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</si>
  <si>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</si>
  <si>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</si>
  <si>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</si>
  <si>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</si>
  <si>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</si>
  <si>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</si>
  <si>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</si>
  <si>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</si>
  <si>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</si>
  <si>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</si>
  <si>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</si>
  <si>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</si>
  <si>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</si>
  <si>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</si>
  <si>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</si>
  <si>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</si>
  <si>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</si>
  <si>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</si>
  <si>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</si>
  <si>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</si>
  <si>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</si>
  <si>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</si>
  <si>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</si>
  <si>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</si>
  <si>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</si>
  <si>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</si>
  <si>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</si>
  <si>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</si>
  <si>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</si>
  <si>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</si>
  <si>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</si>
  <si>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</si>
  <si>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</si>
  <si>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</si>
  <si>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</si>
  <si>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</si>
  <si>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</si>
  <si>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</si>
  <si>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</si>
  <si>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</si>
  <si>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</si>
  <si>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</si>
  <si>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</si>
  <si>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</si>
  <si>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</si>
  <si>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</si>
  <si>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</si>
  <si>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</si>
  <si>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</si>
  <si>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</si>
  <si>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</si>
  <si>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</si>
  <si>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</si>
  <si>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</si>
  <si>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</si>
  <si>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</si>
  <si>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</si>
  <si>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</si>
  <si>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</si>
  <si>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</si>
  <si>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</si>
  <si>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</si>
  <si>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</si>
  <si>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</si>
  <si>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</si>
  <si>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</si>
  <si>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</si>
  <si>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</si>
  <si>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</si>
  <si>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</si>
  <si>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</si>
  <si>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</si>
  <si>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</si>
  <si>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</si>
  <si>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</si>
  <si>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</si>
  <si>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</si>
  <si>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</si>
  <si>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</si>
  <si>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</si>
  <si>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</si>
  <si>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</si>
  <si>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</si>
  <si>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</si>
  <si>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</si>
  <si>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</si>
  <si>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</si>
  <si>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</si>
  <si>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</si>
  <si>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</si>
  <si>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</si>
  <si>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</si>
  <si>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</si>
  <si>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</si>
  <si>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</si>
  <si>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</si>
  <si>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</si>
  <si>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</si>
  <si>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</si>
  <si>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</si>
  <si>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</si>
  <si>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</si>
  <si>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</si>
  <si>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</si>
  <si>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</si>
  <si>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</si>
  <si>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</si>
  <si>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</si>
  <si>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</si>
  <si>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</si>
  <si>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</si>
  <si>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</si>
  <si>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</si>
  <si>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</si>
  <si>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</si>
  <si>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</si>
  <si>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</si>
  <si>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</si>
  <si>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</si>
  <si>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</si>
  <si>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</si>
  <si>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</si>
  <si>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</si>
  <si>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</si>
  <si>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</si>
  <si>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</si>
  <si>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</si>
  <si>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</si>
  <si>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</si>
  <si>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</si>
  <si>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</si>
  <si>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</si>
  <si>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</si>
  <si>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</si>
  <si>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</si>
  <si>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</si>
  <si>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</si>
  <si>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</si>
  <si>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</si>
  <si>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</si>
  <si>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</si>
  <si>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</si>
  <si>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</si>
  <si>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</si>
  <si>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</si>
  <si>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</si>
  <si>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</si>
  <si>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</si>
  <si>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</si>
  <si>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</si>
  <si>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</si>
  <si>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</si>
  <si>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</si>
  <si>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</si>
  <si>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</si>
  <si>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</si>
  <si>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</si>
  <si>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</si>
  <si>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</si>
  <si>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</si>
  <si>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</si>
  <si>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</si>
  <si>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</si>
  <si>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</si>
  <si>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</si>
  <si>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</si>
  <si>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</si>
  <si>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</si>
  <si>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</si>
  <si>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</si>
  <si>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</si>
  <si>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</si>
  <si>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</si>
  <si>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</si>
  <si>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</si>
  <si>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</si>
  <si>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</si>
  <si>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</si>
  <si>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</si>
  <si>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</si>
  <si>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</si>
  <si>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</si>
  <si>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</si>
  <si>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</si>
  <si>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</si>
  <si>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</si>
  <si>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</si>
  <si>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</si>
  <si>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</si>
  <si>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</si>
  <si>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</si>
  <si>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</si>
  <si>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</si>
  <si>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</si>
  <si>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</si>
  <si>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</si>
  <si>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</si>
  <si>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</si>
  <si>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</si>
  <si>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</si>
  <si>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</si>
  <si>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</si>
  <si>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</si>
  <si>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</si>
  <si>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</si>
  <si>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</si>
  <si>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</si>
  <si>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</si>
  <si>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</si>
  <si>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</si>
  <si>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</si>
  <si>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</si>
  <si>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</si>
  <si>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</si>
  <si>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</si>
  <si>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</si>
  <si>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</si>
  <si>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</si>
  <si>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</si>
  <si>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</si>
  <si>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</si>
  <si>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</si>
  <si>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</si>
  <si>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</si>
  <si>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</si>
  <si>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</si>
  <si>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</si>
  <si>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</si>
  <si>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</si>
  <si>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</si>
  <si>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</si>
  <si>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</si>
  <si>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</si>
  <si>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</si>
  <si>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</si>
  <si>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</si>
  <si>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</si>
  <si>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</si>
  <si>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</si>
  <si>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</si>
  <si>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</si>
  <si>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</si>
  <si>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</si>
  <si>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</si>
  <si>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</si>
  <si>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</si>
  <si>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</si>
  <si>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</si>
  <si>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</si>
  <si>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</si>
  <si>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</si>
  <si>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</si>
  <si>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</si>
  <si>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</si>
  <si>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</si>
  <si>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</si>
  <si>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</si>
  <si>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</si>
  <si>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</si>
  <si>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</si>
  <si>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</si>
  <si>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</si>
  <si>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</si>
  <si>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</si>
  <si>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</si>
  <si>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</si>
  <si>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</si>
  <si>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</si>
  <si>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</si>
  <si>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</si>
  <si>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</si>
  <si>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</si>
  <si>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</si>
  <si>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</si>
  <si>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</si>
  <si>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</si>
  <si>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</si>
  <si>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</si>
  <si>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</si>
  <si>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</si>
  <si>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</si>
  <si>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</si>
  <si>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</si>
  <si>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</si>
  <si>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</si>
  <si>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</si>
  <si>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</si>
  <si>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</si>
  <si>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</si>
  <si>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</si>
  <si>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</si>
  <si>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</si>
  <si>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</si>
  <si>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</si>
  <si>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</si>
  <si>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</si>
  <si>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</si>
  <si>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</si>
  <si>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</si>
  <si>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</si>
  <si>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</si>
  <si>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</si>
  <si>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</si>
  <si>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</si>
  <si>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</si>
  <si>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</si>
  <si>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</si>
  <si>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</si>
  <si>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</si>
  <si>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</si>
  <si>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</si>
  <si>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</si>
  <si>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</si>
  <si>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</si>
  <si>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</si>
  <si>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</si>
  <si>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</si>
  <si>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</si>
  <si>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</si>
  <si>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</si>
  <si>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</si>
  <si>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</si>
  <si>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</si>
  <si>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</si>
  <si>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</si>
  <si>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</si>
  <si>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</si>
  <si>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</si>
  <si>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</si>
  <si>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</si>
  <si>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</si>
  <si>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</si>
  <si>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</si>
  <si>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</si>
  <si>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</si>
  <si>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</si>
  <si>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</si>
  <si>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</si>
  <si>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</si>
  <si>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</si>
  <si>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</si>
  <si>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</si>
  <si>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</si>
  <si>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</si>
  <si>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</si>
  <si>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</si>
  <si>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</si>
  <si>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</si>
  <si>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</si>
  <si>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</si>
  <si>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</si>
  <si>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</si>
  <si>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</si>
  <si>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</si>
  <si>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</si>
  <si>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</si>
  <si>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</si>
  <si>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</si>
  <si>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</si>
  <si>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</si>
  <si>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</si>
  <si>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</si>
  <si>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</si>
  <si>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</si>
  <si>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</si>
  <si>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</si>
  <si>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</si>
  <si>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</si>
  <si>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</si>
  <si>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</si>
  <si>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</si>
  <si>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</si>
  <si>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</si>
  <si>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</si>
  <si>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</si>
  <si>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</si>
  <si>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</si>
  <si>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</si>
  <si>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</si>
  <si>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</si>
  <si>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</si>
  <si>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</si>
  <si>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</si>
  <si>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</si>
  <si>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</si>
  <si>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</si>
  <si>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</si>
  <si>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</si>
  <si>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</si>
  <si>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</si>
  <si>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</si>
  <si>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</si>
  <si>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</si>
  <si>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</si>
  <si>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</si>
  <si>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</si>
  <si>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</si>
  <si>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</si>
  <si>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</si>
  <si>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</si>
  <si>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</si>
  <si>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</si>
  <si>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</si>
  <si>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</si>
  <si>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</si>
  <si>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</si>
  <si>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</si>
  <si>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</si>
  <si>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</si>
  <si>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</si>
  <si>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</si>
  <si>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</si>
  <si>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</si>
  <si>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</si>
  <si>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</si>
  <si>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</si>
  <si>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</si>
  <si>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</si>
  <si>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</si>
  <si>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</si>
  <si>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</si>
  <si>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</si>
  <si>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</si>
  <si>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</si>
  <si>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</si>
  <si>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</si>
  <si>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</si>
  <si>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</si>
  <si>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</si>
  <si>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</si>
  <si>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</si>
  <si>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</si>
  <si>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</si>
  <si>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</si>
  <si>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</si>
  <si>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</si>
  <si>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</si>
  <si>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</si>
  <si>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</si>
  <si>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</si>
  <si>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</si>
  <si>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</si>
  <si>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</si>
  <si>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</si>
  <si>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</si>
  <si>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</si>
  <si>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</si>
  <si>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</si>
  <si>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</si>
  <si>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</si>
  <si>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</si>
  <si>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</si>
  <si>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</si>
  <si>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</si>
  <si>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</si>
  <si>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</si>
  <si>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</si>
  <si>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</si>
  <si>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</si>
  <si>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</si>
  <si>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</si>
  <si>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</si>
  <si>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</si>
  <si>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</si>
  <si>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</si>
  <si>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</si>
  <si>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</si>
  <si>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</si>
  <si>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</si>
  <si>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</si>
  <si>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</si>
  <si>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</si>
  <si>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</si>
  <si>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</si>
  <si>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</si>
  <si>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</si>
  <si>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</si>
  <si>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</si>
  <si>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</si>
  <si>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</si>
  <si>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</si>
  <si>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</si>
  <si>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</si>
  <si>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</si>
  <si>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</si>
  <si>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</si>
  <si>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</si>
  <si>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</si>
  <si>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</si>
  <si>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</si>
  <si>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</si>
  <si>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</si>
  <si>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</si>
  <si>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</si>
  <si>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</si>
  <si>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</si>
  <si>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</si>
  <si>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</si>
  <si>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</si>
  <si>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</si>
  <si>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</si>
  <si>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</si>
  <si>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</si>
  <si>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</si>
  <si>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</si>
  <si>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</si>
  <si>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</si>
  <si>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</si>
  <si>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</si>
  <si>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</si>
  <si>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</si>
  <si>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</si>
  <si>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</si>
  <si>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</si>
  <si>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</si>
  <si>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</si>
  <si>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</si>
  <si>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</si>
  <si>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</si>
  <si>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</si>
  <si>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</si>
  <si>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</si>
  <si>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</si>
  <si>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</si>
  <si>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</si>
  <si>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</si>
  <si>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</si>
  <si>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</si>
  <si>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</si>
  <si>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</si>
  <si>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</si>
  <si>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</si>
  <si>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</si>
  <si>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</si>
  <si>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</si>
  <si>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</si>
  <si>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</si>
  <si>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</si>
  <si>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</si>
  <si>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</si>
  <si>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</si>
  <si>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</si>
  <si>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</si>
  <si>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</si>
  <si>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</si>
  <si>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</si>
  <si>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</si>
  <si>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</si>
  <si>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</si>
  <si>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</si>
  <si>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</si>
  <si>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</si>
  <si>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</si>
  <si>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</si>
  <si>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</si>
  <si>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</si>
  <si>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</si>
  <si>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</si>
  <si>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</si>
  <si>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</si>
  <si>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</si>
  <si>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</si>
  <si>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</si>
  <si>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</si>
  <si>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</si>
  <si>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</si>
  <si>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</si>
  <si>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</si>
  <si>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</si>
  <si>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</si>
  <si>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</si>
  <si>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</si>
  <si>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</si>
  <si>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</si>
  <si>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</si>
  <si>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</si>
  <si>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</si>
  <si>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</si>
  <si>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</si>
  <si>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</si>
  <si>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</si>
  <si>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</si>
  <si>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</si>
  <si>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</si>
  <si>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</si>
  <si>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</si>
  <si>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</si>
  <si>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</si>
  <si>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</si>
  <si>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</si>
  <si>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</si>
  <si>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</si>
  <si>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</si>
  <si>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</si>
  <si>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</si>
  <si>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</si>
  <si>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</si>
  <si>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</si>
  <si>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</si>
  <si>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</si>
  <si>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</si>
  <si>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</si>
  <si>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</si>
  <si>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</si>
  <si>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</si>
  <si>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</si>
  <si>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</si>
  <si>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</si>
  <si>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</si>
  <si>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</si>
  <si>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</si>
  <si>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</si>
  <si>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</si>
  <si>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</si>
  <si>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</si>
  <si>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</si>
  <si>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</si>
  <si>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</si>
  <si>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</si>
  <si>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</si>
  <si>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</si>
  <si>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</si>
  <si>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</si>
  <si>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</si>
  <si>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</si>
  <si>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</si>
  <si>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</si>
  <si>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</si>
  <si>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</si>
  <si>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</si>
  <si>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</si>
  <si>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</si>
  <si>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</si>
  <si>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</si>
  <si>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</si>
  <si>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</si>
  <si>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</si>
  <si>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</si>
  <si>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</si>
  <si>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</si>
  <si>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</si>
  <si>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</si>
  <si>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</si>
  <si>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</si>
  <si>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</si>
  <si>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</si>
  <si>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</si>
  <si>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</si>
  <si>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</si>
  <si>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</si>
  <si>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</si>
  <si>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</si>
  <si>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</si>
  <si>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</si>
  <si>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</si>
  <si>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</si>
  <si>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</si>
  <si>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</si>
  <si>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</si>
  <si>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</si>
  <si>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</si>
  <si>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</si>
  <si>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</si>
  <si>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</si>
  <si>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</si>
  <si>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</si>
  <si>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</si>
  <si>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</si>
  <si>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</si>
  <si>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</si>
  <si>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</si>
  <si>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</si>
  <si>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</si>
  <si>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</si>
  <si>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</si>
  <si>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</si>
  <si>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</si>
  <si>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</si>
  <si>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</si>
  <si>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</si>
  <si>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</si>
  <si>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</si>
  <si>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</si>
  <si>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</si>
  <si>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</si>
  <si>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</si>
  <si>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</si>
  <si>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</si>
  <si>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</si>
  <si>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</si>
  <si>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</si>
  <si>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</si>
  <si>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</si>
  <si>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</si>
  <si>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</si>
  <si>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</si>
  <si>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</si>
  <si>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</si>
  <si>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</si>
  <si>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</si>
  <si>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</si>
  <si>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</si>
  <si>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</si>
  <si>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</si>
  <si>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</si>
  <si>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</si>
  <si>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</si>
  <si>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</si>
  <si>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</si>
  <si>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</si>
  <si>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</si>
  <si>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</si>
  <si>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</si>
  <si>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</si>
  <si>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</si>
  <si>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</si>
  <si>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</si>
  <si>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</si>
  <si>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</si>
  <si>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</si>
  <si>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</si>
  <si>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</si>
  <si>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</si>
  <si>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</si>
  <si>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</si>
  <si>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</si>
  <si>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</si>
  <si>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</si>
  <si>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</si>
  <si>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</si>
  <si>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</si>
  <si>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</si>
  <si>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</si>
  <si>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</si>
  <si>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</si>
  <si>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</si>
  <si>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</si>
  <si>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</si>
  <si>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</si>
  <si>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</si>
  <si>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</si>
  <si>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</si>
  <si>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</si>
  <si>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</si>
  <si>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</si>
  <si>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</si>
  <si>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</si>
  <si>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</si>
  <si>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</si>
  <si>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</si>
  <si>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</si>
  <si>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</si>
  <si>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</si>
  <si>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</si>
  <si>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</si>
  <si>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</si>
  <si>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</si>
  <si>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</si>
  <si>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</si>
  <si>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</si>
  <si>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</si>
  <si>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</si>
  <si>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</si>
  <si>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</si>
  <si>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</si>
  <si>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</si>
  <si>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</si>
  <si>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</si>
  <si>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</si>
  <si>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</si>
  <si>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</si>
  <si>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</si>
  <si>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</si>
  <si>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</si>
  <si>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</si>
  <si>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</si>
  <si>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</si>
  <si>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</si>
  <si>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</si>
  <si>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</si>
  <si>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</si>
  <si>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</si>
  <si>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</si>
  <si>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</si>
  <si>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</si>
  <si>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</si>
  <si>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</si>
  <si>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</si>
  <si>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</si>
  <si>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</si>
  <si>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</si>
  <si>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</si>
  <si>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</si>
  <si>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</si>
  <si>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</si>
  <si>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</si>
  <si>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</si>
  <si>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</si>
  <si>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</si>
  <si>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</si>
  <si>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</si>
  <si>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</si>
  <si>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</si>
  <si>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</si>
  <si>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</si>
  <si>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</si>
  <si>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</si>
  <si>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</si>
  <si>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</si>
  <si>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</si>
  <si>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</si>
  <si>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</si>
  <si>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</si>
  <si>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</si>
  <si>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</si>
  <si>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</si>
  <si>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</si>
  <si>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</si>
  <si>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</si>
  <si>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</si>
  <si>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</si>
  <si>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</si>
  <si>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</si>
  <si>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</si>
  <si>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</si>
  <si>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</si>
  <si>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</si>
  <si>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</si>
  <si>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</si>
  <si>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</si>
  <si>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</si>
  <si>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</si>
  <si>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</si>
  <si>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</si>
  <si>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</si>
  <si>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</si>
  <si>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</si>
  <si>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</si>
  <si>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</si>
  <si>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</si>
  <si>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</si>
  <si>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</si>
  <si>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</si>
  <si>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</si>
  <si>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</si>
  <si>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</si>
  <si>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</si>
  <si>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</si>
  <si>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</si>
  <si>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</si>
  <si>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</si>
  <si>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</si>
  <si>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</si>
  <si>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</si>
  <si>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</si>
  <si>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</si>
  <si>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</si>
  <si>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</si>
  <si>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</si>
  <si>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</si>
  <si>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</si>
  <si>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</si>
  <si>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</si>
  <si>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</si>
  <si>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</si>
  <si>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</si>
  <si>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</si>
  <si>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</si>
  <si>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</si>
  <si>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</si>
  <si>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</si>
  <si>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</si>
  <si>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</si>
  <si>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</si>
  <si>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</si>
  <si>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</si>
  <si>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</si>
  <si>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</si>
  <si>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</si>
  <si>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</si>
  <si>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</si>
  <si>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</si>
  <si>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</si>
  <si>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</si>
  <si>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</si>
  <si>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</si>
  <si>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</si>
  <si>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</si>
  <si>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</si>
  <si>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</si>
  <si>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</si>
  <si>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</si>
  <si>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</si>
  <si>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</si>
  <si>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</si>
  <si>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</si>
  <si>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</si>
  <si>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</si>
  <si>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</si>
  <si>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</si>
  <si>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</si>
  <si>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</si>
  <si>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</si>
  <si>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</si>
  <si>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</si>
  <si>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</si>
  <si>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</si>
  <si>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</si>
  <si>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</si>
  <si>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</si>
  <si>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</si>
  <si>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</si>
  <si>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</si>
  <si>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</si>
  <si>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</si>
  <si>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</si>
  <si>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</si>
  <si>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</si>
  <si>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</si>
  <si>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</si>
  <si>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</si>
  <si>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</si>
  <si>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</si>
  <si>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</si>
  <si>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</si>
  <si>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</si>
  <si>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</si>
  <si>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</si>
  <si>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</si>
  <si>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</si>
  <si>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</si>
  <si>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</si>
  <si>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</si>
  <si>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</si>
  <si>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</si>
  <si>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</si>
  <si>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</si>
  <si>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</si>
  <si>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</si>
  <si>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</si>
  <si>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</si>
  <si>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</si>
  <si>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</si>
  <si>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</si>
  <si>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</si>
  <si>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</si>
  <si>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</si>
  <si>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</si>
  <si>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</si>
  <si>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</si>
  <si>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</si>
  <si>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</si>
  <si>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</si>
  <si>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</si>
  <si>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</si>
  <si>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</si>
  <si>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</si>
  <si>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</si>
  <si>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</si>
  <si>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</si>
  <si>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</si>
  <si>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</si>
  <si>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</si>
  <si>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</si>
  <si>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</si>
  <si>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</si>
  <si>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</si>
  <si>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</si>
  <si>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</si>
  <si>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</si>
  <si>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</si>
  <si>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</si>
  <si>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</si>
  <si>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</si>
  <si>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</si>
  <si>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</si>
  <si>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</si>
  <si>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</si>
  <si>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</si>
  <si>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</si>
  <si>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</si>
  <si>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</si>
  <si>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</si>
  <si>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</si>
  <si>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</si>
  <si>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</si>
  <si>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</si>
  <si>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</si>
  <si>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</si>
  <si>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</si>
  <si>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</si>
  <si>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</si>
  <si>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</si>
  <si>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</si>
  <si>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</si>
  <si>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</si>
  <si>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</si>
  <si>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</si>
  <si>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</si>
  <si>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</si>
  <si>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</si>
  <si>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</si>
  <si>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</si>
  <si>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</si>
  <si>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</si>
  <si>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</si>
  <si>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</si>
  <si>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</si>
  <si>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</si>
  <si>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</si>
  <si>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</si>
  <si>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</si>
  <si>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</si>
  <si>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</si>
  <si>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</si>
  <si>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</si>
  <si>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</si>
  <si>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</si>
  <si>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</si>
  <si>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</si>
  <si>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</si>
  <si>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</si>
  <si>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</si>
  <si>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</si>
  <si>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</si>
  <si>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</si>
  <si>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</si>
  <si>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</si>
  <si>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</si>
  <si>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</si>
  <si>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</si>
  <si>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</si>
  <si>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</si>
  <si>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</si>
  <si>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</si>
  <si>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</si>
  <si>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</si>
  <si>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</si>
  <si>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</si>
  <si>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</si>
  <si>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</si>
  <si>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</si>
  <si>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</si>
  <si>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</si>
  <si>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</si>
  <si>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</si>
  <si>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</si>
  <si>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</si>
  <si>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</si>
  <si>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</si>
  <si>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</si>
  <si>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</si>
  <si>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</si>
  <si>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</si>
  <si>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</si>
  <si>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</si>
  <si>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</si>
  <si>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</si>
  <si>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</si>
  <si>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</si>
  <si>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</si>
  <si>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</si>
  <si>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</si>
  <si>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</si>
  <si>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</si>
  <si>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</si>
  <si>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</si>
  <si>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</si>
  <si>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</si>
  <si>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</si>
  <si>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</si>
  <si>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</si>
  <si>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</si>
  <si>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</si>
  <si>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</si>
  <si>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</si>
  <si>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</si>
  <si>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</si>
  <si>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</si>
  <si>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</si>
  <si>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</si>
  <si>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</si>
  <si>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</si>
  <si>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</si>
  <si>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</si>
  <si>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</si>
  <si>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</si>
  <si>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</si>
  <si>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</si>
  <si>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</si>
  <si>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</si>
  <si>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</si>
  <si>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</si>
  <si>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</si>
  <si>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</si>
  <si>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</si>
  <si>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</si>
  <si>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</si>
  <si>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</si>
  <si>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</si>
  <si>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</si>
  <si>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</si>
  <si>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</si>
  <si>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</si>
  <si>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</si>
  <si>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</si>
  <si>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</si>
  <si>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</si>
  <si>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</si>
  <si>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</si>
  <si>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</si>
  <si>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</si>
  <si>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</si>
  <si>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</si>
  <si>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</si>
  <si>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</si>
  <si>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</si>
  <si>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</si>
  <si>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</si>
  <si>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</si>
  <si>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</si>
  <si>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</si>
  <si>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</si>
  <si>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</si>
  <si>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</si>
  <si>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</si>
  <si>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</si>
  <si>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</si>
  <si>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</si>
  <si>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</si>
  <si>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</si>
  <si>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</si>
  <si>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</si>
  <si>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</si>
  <si>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</si>
  <si>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</si>
  <si>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</si>
  <si>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</si>
  <si>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</si>
  <si>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</si>
  <si>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</si>
  <si>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</si>
  <si>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</si>
  <si>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</si>
  <si>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</si>
  <si>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</si>
  <si>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</si>
  <si>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</si>
  <si>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</si>
  <si>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</si>
  <si>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</si>
  <si>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</si>
  <si>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</si>
  <si>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</si>
  <si>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</si>
  <si>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</si>
  <si>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</si>
  <si>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</si>
  <si>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</si>
  <si>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</si>
  <si>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</si>
  <si>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</si>
  <si>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</si>
  <si>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</si>
  <si>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</si>
  <si>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</si>
  <si>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</si>
  <si>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</si>
  <si>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</si>
  <si>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</si>
  <si>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</si>
  <si>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</si>
  <si>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</si>
  <si>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</si>
  <si>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</si>
  <si>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</si>
  <si>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</si>
  <si>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</si>
  <si>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</si>
  <si>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</si>
  <si>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</si>
  <si>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</si>
  <si>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</si>
  <si>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</si>
  <si>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</si>
  <si>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</si>
  <si>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</si>
  <si>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</si>
  <si>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</si>
  <si>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</si>
  <si>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</si>
  <si>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</si>
  <si>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</si>
  <si>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</si>
  <si>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</si>
  <si>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</si>
  <si>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</si>
  <si>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</si>
  <si>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</si>
  <si>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</si>
  <si>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</si>
  <si>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</si>
  <si>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</si>
  <si>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</si>
  <si>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</si>
  <si>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</si>
  <si>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</si>
  <si>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</si>
  <si>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</si>
  <si>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</si>
  <si>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</si>
  <si>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</si>
  <si>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</si>
  <si>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</si>
  <si>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</si>
  <si>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</si>
  <si>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</si>
  <si>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</si>
  <si>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</si>
  <si>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</si>
  <si>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</si>
  <si>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</si>
  <si>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</si>
  <si>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</si>
  <si>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</si>
  <si>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</si>
  <si>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</si>
  <si>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</si>
  <si>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</si>
  <si>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</si>
  <si>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</si>
  <si>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</si>
  <si>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</si>
  <si>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</si>
  <si>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</si>
  <si>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</si>
  <si>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</si>
  <si>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</si>
  <si>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</si>
  <si>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</si>
  <si>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</si>
  <si>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</si>
  <si>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</si>
  <si>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</si>
  <si>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</si>
  <si>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</si>
  <si>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</si>
  <si>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</si>
  <si>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</si>
  <si>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</si>
  <si>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</si>
  <si>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</si>
  <si>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</si>
  <si>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</si>
  <si>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</si>
  <si>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</si>
  <si>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</si>
  <si>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</si>
  <si>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</si>
  <si>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</si>
  <si>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</si>
  <si>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</si>
  <si>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</si>
  <si>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</si>
  <si>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</si>
  <si>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</si>
  <si>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</si>
  <si>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</si>
  <si>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</si>
  <si>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</si>
  <si>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</si>
  <si>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</si>
  <si>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</si>
  <si>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</si>
  <si>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</si>
  <si>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</si>
  <si>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</si>
  <si>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</si>
  <si>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</si>
  <si>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</si>
  <si>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</si>
  <si>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</si>
  <si>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</si>
  <si>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</si>
  <si>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</si>
  <si>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</si>
  <si>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</si>
  <si>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</si>
  <si>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</si>
  <si>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</si>
  <si>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</si>
  <si>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</si>
  <si>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</si>
  <si>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</si>
  <si>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</si>
  <si>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</si>
  <si>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</si>
  <si>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</si>
  <si>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</si>
  <si>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</si>
  <si>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</si>
  <si>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</si>
  <si>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</si>
  <si>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</si>
  <si>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</si>
  <si>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</si>
  <si>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</si>
  <si>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</si>
  <si>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</si>
  <si>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</si>
  <si>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</si>
  <si>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</si>
  <si>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</si>
  <si>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</si>
  <si>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</si>
  <si>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</si>
  <si>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</si>
  <si>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</si>
  <si>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</si>
  <si>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</si>
  <si>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</si>
  <si>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</si>
  <si>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</si>
  <si>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</si>
  <si>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</si>
  <si>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</si>
  <si>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</si>
  <si>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</si>
  <si>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</si>
  <si>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</si>
  <si>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</si>
  <si>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</si>
  <si>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</si>
  <si>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</si>
  <si>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</si>
  <si>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</si>
  <si>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</si>
  <si>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</si>
  <si>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</si>
  <si>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</si>
  <si>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</si>
  <si>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</si>
  <si>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</si>
  <si>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</si>
  <si>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</si>
  <si>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</si>
  <si>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</si>
  <si>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</si>
  <si>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</si>
  <si>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</si>
  <si>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</si>
  <si>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</si>
  <si>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</si>
  <si>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</si>
  <si>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</si>
  <si>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</si>
  <si>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</si>
  <si>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</si>
  <si>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</si>
  <si>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</si>
  <si>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</si>
  <si>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</si>
  <si>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</si>
  <si>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</si>
  <si>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</si>
  <si>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</si>
  <si>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</si>
  <si>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</si>
  <si>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</si>
  <si>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</si>
  <si>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</si>
  <si>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</si>
  <si>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</si>
  <si>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</si>
  <si>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</si>
  <si>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</si>
  <si>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</si>
  <si>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</si>
  <si>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</si>
  <si>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</si>
  <si>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</si>
  <si>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</si>
  <si>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</si>
  <si>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</si>
  <si>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</si>
  <si>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</si>
  <si>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</si>
  <si>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</si>
  <si>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</si>
  <si>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</si>
  <si>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</si>
  <si>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</si>
  <si>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</si>
  <si>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</si>
  <si>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</si>
  <si>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</si>
  <si>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</si>
  <si>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</si>
  <si>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</si>
  <si>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</si>
  <si>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</si>
  <si>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</si>
  <si>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</si>
  <si>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</si>
  <si>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</si>
  <si>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</si>
  <si>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Hardin</t>
  </si>
  <si>
    <t>Box 218</t>
  </si>
  <si>
    <t>Elizabethtown</t>
  </si>
  <si>
    <t>X</t>
  </si>
  <si>
    <t>Greg M. McCalley &amp; Associates, P.C.</t>
  </si>
  <si>
    <t xml:space="preserve">Greg M. McCalley  </t>
  </si>
  <si>
    <t>855 E. Ferguson Ave.</t>
  </si>
  <si>
    <t>Wood River</t>
  </si>
  <si>
    <t>IL</t>
  </si>
  <si>
    <t>(618)254-8188</t>
  </si>
  <si>
    <t>(618)254-8680</t>
  </si>
  <si>
    <t>060-009547</t>
  </si>
  <si>
    <t>Series 2015</t>
  </si>
  <si>
    <t>Wabash &amp; Ohio, Carmi-White Co. District #5</t>
  </si>
  <si>
    <t>Ed. Fund-Support Service</t>
  </si>
  <si>
    <t>American Fidelity</t>
  </si>
  <si>
    <t>American Inst. For Research</t>
  </si>
  <si>
    <t>Beams' Alarm</t>
  </si>
  <si>
    <t>Bulldog Systems</t>
  </si>
  <si>
    <t>Cintas</t>
  </si>
  <si>
    <t>Donohoo, McCalley &amp; ASS. P.C.</t>
  </si>
  <si>
    <t>Ed-Fund-Instruction</t>
  </si>
  <si>
    <t>Follett</t>
  </si>
  <si>
    <t>Trans. Fund-Support Service</t>
  </si>
  <si>
    <t>40-2550-300</t>
  </si>
  <si>
    <t>Hardin Co. Sheriff</t>
  </si>
  <si>
    <t>Illinois Central Bus</t>
  </si>
  <si>
    <t>Miller, Hall &amp; Triggs</t>
  </si>
  <si>
    <t>Ed.Fund-Support Service</t>
  </si>
  <si>
    <t>Orkin</t>
  </si>
  <si>
    <t>Tort Fund-Support Service</t>
  </si>
  <si>
    <t>PSIC Prairie State</t>
  </si>
  <si>
    <t>Ed- Fund-Instruction</t>
  </si>
  <si>
    <t>QBS, Inc.</t>
  </si>
  <si>
    <t>Ed. Fund-Instruction</t>
  </si>
  <si>
    <t>Renissance Learning</t>
  </si>
  <si>
    <t>Robbins Schwartz</t>
  </si>
  <si>
    <t>Ed. Fund-Supoort Service</t>
  </si>
  <si>
    <t>Security Voice</t>
  </si>
  <si>
    <t>O &amp; M Fund-Support Service</t>
  </si>
  <si>
    <t>20-2540-300</t>
  </si>
  <si>
    <t>Sonitral Security</t>
  </si>
  <si>
    <t>Southern Business</t>
  </si>
  <si>
    <t>Ed. Fund -Instruction</t>
  </si>
  <si>
    <t>SDS-Specialized Data</t>
  </si>
  <si>
    <t>Stoneware</t>
  </si>
  <si>
    <t>TriState</t>
  </si>
  <si>
    <t>WCSIT</t>
  </si>
  <si>
    <t>Ed. Fund-Community Service</t>
  </si>
  <si>
    <t>10-3000-300</t>
  </si>
  <si>
    <t>West Interactive</t>
  </si>
  <si>
    <t>Ed. Fund-support Service</t>
  </si>
  <si>
    <t>Xerox</t>
  </si>
  <si>
    <t>Yewll Inc</t>
  </si>
  <si>
    <t>Sterocycle</t>
  </si>
  <si>
    <t>10-1000-300</t>
  </si>
  <si>
    <t>Page10, Line 17, Column ( C ), Other Payment In Leiu of Taxes</t>
  </si>
  <si>
    <t>Forest Preserve Taxes</t>
  </si>
  <si>
    <t>Page 11, Line 74, Column ( C ), Other Food Service</t>
  </si>
  <si>
    <t>SIC Dual Credit</t>
  </si>
  <si>
    <t>Classroom Tile</t>
  </si>
  <si>
    <t>Page 19, Line 171, Column ( H ), Debt Service-Other</t>
  </si>
  <si>
    <t>Bond Fee</t>
  </si>
  <si>
    <t>Greg@dmacpa.com</t>
  </si>
  <si>
    <t>Page 12, Line 107, Column ( C ), Other Local Revenue</t>
  </si>
  <si>
    <t>10-2300-300</t>
  </si>
  <si>
    <t>10-2400-300</t>
  </si>
  <si>
    <t>80-2300-300</t>
  </si>
  <si>
    <t>Hardin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</si>
</sst>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181" fontId="57" fillId="0" borderId="0" xfId="19" applyNumberFormat="1" applyFont="1"/>
    <xf numFmtId="181" fontId="57" fillId="0" borderId="165" xfId="19" applyNumberFormat="1" applyFont="1" applyBorder="1"/>
    <xf numFmtId="182" fontId="57" fillId="0" borderId="0" xfId="1" applyNumberFormat="1" applyFont="1"/>
    <xf numFmtId="182" fontId="57" fillId="0" borderId="78" xfId="1" applyNumberFormat="1" applyFont="1" applyBorder="1"/>
    <xf numFmtId="181" fontId="57" fillId="0" borderId="166" xfId="19" applyNumberFormat="1" applyFont="1" applyBorder="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4" fontId="13" fillId="0" borderId="19" xfId="12" applyNumberFormat="1" applyFont="1" applyFill="1" applyBorder="1" applyAlignment="1" applyProtection="1">
      <alignment horizontal="left" vertical="center" indent="1"/>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389660</xdr:colOff>
          <xdr:row>2</xdr:row>
          <xdr:rowOff>155864</xdr:rowOff>
        </xdr:from>
        <xdr:to>
          <xdr:col>1</xdr:col>
          <xdr:colOff>1304060</xdr:colOff>
          <xdr:row>7</xdr:row>
          <xdr:rowOff>115166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5397EBB6-BD73-4DA6-838B-5495BD10AC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1575955</xdr:colOff>
          <xdr:row>2</xdr:row>
          <xdr:rowOff>155864</xdr:rowOff>
        </xdr:from>
        <xdr:to>
          <xdr:col>1</xdr:col>
          <xdr:colOff>2490355</xdr:colOff>
          <xdr:row>7</xdr:row>
          <xdr:rowOff>115166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6F99AB8C-0596-44D3-B05F-0E0122AD8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2779569</xdr:colOff>
          <xdr:row>2</xdr:row>
          <xdr:rowOff>147205</xdr:rowOff>
        </xdr:from>
        <xdr:to>
          <xdr:col>1</xdr:col>
          <xdr:colOff>3693969</xdr:colOff>
          <xdr:row>7</xdr:row>
          <xdr:rowOff>106507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EA43D552-983A-4C66-80B8-8EB667141F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P14" sqref="P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0" t="s">
        <v>405</v>
      </c>
      <c r="J1" s="2021"/>
      <c r="K1" s="2021"/>
      <c r="L1" s="2021"/>
      <c r="M1" s="2021"/>
      <c r="N1" s="2021"/>
      <c r="O1" s="2021"/>
      <c r="P1" s="2021"/>
      <c r="Q1" s="2021"/>
      <c r="R1" s="2021"/>
      <c r="S1" s="2021"/>
    </row>
    <row r="2" spans="1:28" ht="12" customHeight="1" x14ac:dyDescent="0.2">
      <c r="A2" s="47" t="s">
        <v>1993</v>
      </c>
      <c r="D2" s="48"/>
      <c r="I2" s="2022" t="s">
        <v>979</v>
      </c>
      <c r="J2" s="2021"/>
      <c r="K2" s="2021"/>
      <c r="L2" s="2021"/>
      <c r="M2" s="2021"/>
      <c r="N2" s="2021"/>
      <c r="O2" s="2021"/>
      <c r="P2" s="2021"/>
      <c r="Q2" s="2021"/>
      <c r="R2" s="2021"/>
      <c r="S2" s="2021"/>
    </row>
    <row r="3" spans="1:28" ht="12" customHeight="1" x14ac:dyDescent="0.2">
      <c r="A3" s="155" t="s">
        <v>1945</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2064</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2068</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20035001026</v>
      </c>
      <c r="B13" s="1991"/>
      <c r="C13" s="1991"/>
      <c r="D13" s="1991"/>
      <c r="E13" s="1991"/>
      <c r="F13" s="1991"/>
      <c r="G13" s="1991"/>
      <c r="H13" s="1992"/>
      <c r="I13" s="31"/>
      <c r="J13" s="30"/>
      <c r="K13" s="28"/>
      <c r="L13" s="30"/>
      <c r="M13" s="30"/>
      <c r="N13" s="30"/>
      <c r="O13" s="30"/>
      <c r="P13" s="30"/>
      <c r="Q13" s="30"/>
      <c r="R13" s="30"/>
      <c r="S13" s="30"/>
      <c r="T13" s="1995" t="s">
        <v>2069</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2065</v>
      </c>
      <c r="B15" s="1993"/>
      <c r="C15" s="1993"/>
      <c r="D15" s="1993"/>
      <c r="E15" s="1993"/>
      <c r="F15" s="1993"/>
      <c r="G15" s="1993"/>
      <c r="H15" s="1994"/>
      <c r="T15" s="1956" t="s">
        <v>2070</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2133</v>
      </c>
      <c r="B17" s="2018"/>
      <c r="C17" s="2018"/>
      <c r="D17" s="2018"/>
      <c r="E17" s="2018"/>
      <c r="F17" s="2018"/>
      <c r="G17" s="2018"/>
      <c r="H17" s="2019"/>
      <c r="T17" s="2005" t="s">
        <v>2071</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2066</v>
      </c>
      <c r="B19" s="1989"/>
      <c r="C19" s="1989"/>
      <c r="D19" s="1989"/>
      <c r="E19" s="1989"/>
      <c r="F19" s="1989"/>
      <c r="G19" s="1989"/>
      <c r="H19" s="1987"/>
      <c r="I19" s="30"/>
      <c r="J19" s="99"/>
      <c r="K19" s="40"/>
      <c r="L19" s="38"/>
      <c r="M19" s="112" t="s">
        <v>315</v>
      </c>
      <c r="P19" s="27"/>
      <c r="Q19" s="27"/>
      <c r="R19" s="27"/>
      <c r="S19" s="31"/>
      <c r="T19" s="1988" t="s">
        <v>2072</v>
      </c>
      <c r="U19" s="1986"/>
      <c r="V19" s="1986"/>
      <c r="W19" s="1987"/>
      <c r="X19" s="2003" t="s">
        <v>2073</v>
      </c>
      <c r="Y19" s="2004"/>
      <c r="Z19" s="2001">
        <v>62095</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2067</v>
      </c>
      <c r="B21" s="1986"/>
      <c r="C21" s="1986"/>
      <c r="D21" s="1986"/>
      <c r="E21" s="1986"/>
      <c r="F21" s="1986"/>
      <c r="G21" s="1986"/>
      <c r="H21" s="1987"/>
      <c r="I21" s="2011" t="s">
        <v>678</v>
      </c>
      <c r="J21" s="1974"/>
      <c r="K21" s="1974"/>
      <c r="L21" s="1974"/>
      <c r="M21" s="1974"/>
      <c r="N21" s="1974"/>
      <c r="O21" s="1974"/>
      <c r="P21" s="1974"/>
      <c r="Q21" s="1974"/>
      <c r="R21" s="1974"/>
      <c r="S21" s="1975"/>
      <c r="T21" s="1953" t="s">
        <v>2074</v>
      </c>
      <c r="U21" s="1954"/>
      <c r="V21" s="1954"/>
      <c r="W21" s="1954"/>
      <c r="X21" s="1967" t="s">
        <v>2075</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2076</v>
      </c>
      <c r="U23" s="1949"/>
      <c r="V23" s="1949"/>
      <c r="W23" s="1949"/>
      <c r="X23" s="1964">
        <v>44469</v>
      </c>
      <c r="Y23" s="1965"/>
      <c r="Z23" s="1965"/>
      <c r="AA23" s="1966"/>
    </row>
    <row r="24" spans="1:27" ht="14.1" customHeight="1" x14ac:dyDescent="0.2">
      <c r="A24" s="88" t="s">
        <v>677</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2041"/>
      <c r="B25" s="1986"/>
      <c r="C25" s="1986"/>
      <c r="D25" s="1986"/>
      <c r="E25" s="1986"/>
      <c r="F25" s="1986"/>
      <c r="G25" s="1986"/>
      <c r="H25" s="1987"/>
      <c r="I25" s="113"/>
      <c r="J25" s="2053"/>
      <c r="K25" s="2053"/>
      <c r="L25" s="2053"/>
      <c r="M25" s="2053"/>
      <c r="N25" s="2053"/>
      <c r="O25" s="2053"/>
      <c r="P25" s="2053"/>
      <c r="Q25" s="2053"/>
      <c r="R25" s="2053"/>
      <c r="S25" s="2054"/>
      <c r="T25" s="1945" t="s">
        <v>2128</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c r="B40" s="2046"/>
      <c r="C40" s="2047"/>
      <c r="D40" s="2047"/>
      <c r="E40" s="2047"/>
      <c r="F40" s="2048"/>
      <c r="G40" s="2048"/>
      <c r="H40" s="2049"/>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c r="B42" s="2035"/>
      <c r="C42" s="2036"/>
      <c r="D42" s="2050"/>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430497</v>
      </c>
      <c r="C4" s="1524"/>
      <c r="D4" s="1752">
        <f>B4-C4</f>
        <v>430497</v>
      </c>
      <c r="E4" s="1524">
        <v>445018</v>
      </c>
      <c r="F4" s="1752">
        <f>E4-C4</f>
        <v>445018</v>
      </c>
    </row>
    <row r="5" spans="1:6" ht="13.7" customHeight="1" x14ac:dyDescent="0.2">
      <c r="A5" s="715" t="s">
        <v>870</v>
      </c>
      <c r="B5" s="1750">
        <f>'Revenues 9-14'!D5</f>
        <v>90387</v>
      </c>
      <c r="C5" s="585"/>
      <c r="D5" s="1753">
        <f t="shared" ref="D5:D18" si="0">B5-C5</f>
        <v>90387</v>
      </c>
      <c r="E5" s="585">
        <v>108935</v>
      </c>
      <c r="F5" s="1753">
        <f>E5-C5</f>
        <v>108935</v>
      </c>
    </row>
    <row r="6" spans="1:6" ht="13.7" customHeight="1" x14ac:dyDescent="0.2">
      <c r="A6" s="715" t="s">
        <v>411</v>
      </c>
      <c r="B6" s="1750">
        <f>'Revenues 9-14'!E5</f>
        <v>130618</v>
      </c>
      <c r="C6" s="585"/>
      <c r="D6" s="1753">
        <f t="shared" si="0"/>
        <v>130618</v>
      </c>
      <c r="E6" s="585">
        <v>132835</v>
      </c>
      <c r="F6" s="1753">
        <f t="shared" ref="F6:F18" si="1">E6-C6</f>
        <v>132835</v>
      </c>
    </row>
    <row r="7" spans="1:6" ht="13.7" customHeight="1" x14ac:dyDescent="0.2">
      <c r="A7" s="715" t="s">
        <v>155</v>
      </c>
      <c r="B7" s="1750">
        <f>'Revenues 9-14'!F5</f>
        <v>58217</v>
      </c>
      <c r="C7" s="585"/>
      <c r="D7" s="1753">
        <f t="shared" si="0"/>
        <v>58217</v>
      </c>
      <c r="E7" s="585">
        <v>58965</v>
      </c>
      <c r="F7" s="1753">
        <f t="shared" si="1"/>
        <v>58965</v>
      </c>
    </row>
    <row r="8" spans="1:6" ht="13.7" customHeight="1" x14ac:dyDescent="0.2">
      <c r="A8" s="715" t="s">
        <v>1179</v>
      </c>
      <c r="B8" s="1750">
        <f>'Revenues 9-14'!G5</f>
        <v>49337</v>
      </c>
      <c r="C8" s="585"/>
      <c r="D8" s="1753">
        <f t="shared" si="0"/>
        <v>49337</v>
      </c>
      <c r="E8" s="585">
        <v>50970</v>
      </c>
      <c r="F8" s="1753">
        <f t="shared" si="1"/>
        <v>50970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1973</v>
      </c>
      <c r="C10" s="585"/>
      <c r="D10" s="1753">
        <f t="shared" si="0"/>
        <v>1973</v>
      </c>
      <c r="E10" s="585">
        <v>13992</v>
      </c>
      <c r="F10" s="1753">
        <f t="shared" si="1"/>
        <v>13992</v>
      </c>
    </row>
    <row r="11" spans="1:6" x14ac:dyDescent="0.2">
      <c r="A11" s="715" t="s">
        <v>409</v>
      </c>
      <c r="B11" s="1750">
        <f>'Revenues 9-14'!J5</f>
        <v>93741</v>
      </c>
      <c r="C11" s="585"/>
      <c r="D11" s="1753">
        <f t="shared" si="0"/>
        <v>93741</v>
      </c>
      <c r="E11" s="585">
        <v>93944</v>
      </c>
      <c r="F11" s="1753">
        <f t="shared" si="1"/>
        <v>93944</v>
      </c>
    </row>
    <row r="12" spans="1:6" ht="13.7" customHeight="1" x14ac:dyDescent="0.2">
      <c r="A12" s="715" t="s">
        <v>157</v>
      </c>
      <c r="B12" s="1750">
        <f>'Revenues 9-14'!K5</f>
        <v>4934</v>
      </c>
      <c r="C12" s="585"/>
      <c r="D12" s="1753">
        <f t="shared" si="0"/>
        <v>4934</v>
      </c>
      <c r="E12" s="585">
        <v>4997</v>
      </c>
      <c r="F12" s="1753">
        <f t="shared" si="1"/>
        <v>4997</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61672</v>
      </c>
      <c r="C16" s="585"/>
      <c r="D16" s="1753">
        <f t="shared" si="0"/>
        <v>61672</v>
      </c>
      <c r="E16" s="585">
        <v>62963</v>
      </c>
      <c r="F16" s="1753">
        <f t="shared" si="1"/>
        <v>62963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921376</v>
      </c>
      <c r="C19" s="1751">
        <f>SUM(C4:C18)</f>
        <v>0</v>
      </c>
      <c r="D19" s="1751">
        <f>SUM(D4:D18)</f>
        <v>921376</v>
      </c>
      <c r="E19" s="1751">
        <f>SUM(E4:E18)</f>
        <v>972619</v>
      </c>
      <c r="F19" s="1751">
        <f>SUM(F4:F18)</f>
        <v>972619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62"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1802</v>
      </c>
      <c r="B2" s="2204"/>
      <c r="C2" s="1884" t="s">
        <v>1956</v>
      </c>
      <c r="D2" s="723" t="s">
        <v>1957</v>
      </c>
      <c r="E2" s="723" t="s">
        <v>1958</v>
      </c>
      <c r="F2" s="1884" t="s">
        <v>1959</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42324</v>
      </c>
      <c r="C31" s="734">
        <v>845000</v>
      </c>
      <c r="D31" s="735">
        <v>2</v>
      </c>
      <c r="E31" s="734">
        <v>617000</v>
      </c>
      <c r="F31" s="734"/>
      <c r="G31" s="734"/>
      <c r="H31" s="734">
        <v>121000</v>
      </c>
      <c r="I31" s="1756">
        <f>((E31+F31)-H31)+G31</f>
        <v>496000</v>
      </c>
      <c r="J31" s="734">
        <v>409093</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845000</v>
      </c>
      <c r="D49" s="745"/>
      <c r="E49" s="1756">
        <f t="shared" ref="E49:J49" si="2">SUM(E31:E48)</f>
        <v>617000</v>
      </c>
      <c r="F49" s="1756">
        <f t="shared" si="2"/>
        <v>0</v>
      </c>
      <c r="G49" s="1756">
        <f t="shared" si="2"/>
        <v>0</v>
      </c>
      <c r="H49" s="1756">
        <f t="shared" si="2"/>
        <v>121000</v>
      </c>
      <c r="I49" s="1756">
        <f t="shared" si="2"/>
        <v>496000</v>
      </c>
      <c r="J49" s="1756">
        <f t="shared" si="2"/>
        <v>409093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63"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1812</v>
      </c>
      <c r="K2" s="762" t="s">
        <v>138</v>
      </c>
    </row>
    <row r="3" spans="1:11" x14ac:dyDescent="0.2">
      <c r="A3" s="2225" t="s">
        <v>1964</v>
      </c>
      <c r="B3" s="2226"/>
      <c r="C3" s="2226"/>
      <c r="D3" s="2226"/>
      <c r="E3" s="2227"/>
      <c r="F3" s="763"/>
      <c r="G3" s="764"/>
      <c r="H3" s="764"/>
      <c r="I3" s="764"/>
      <c r="J3" s="765">
        <v>46769</v>
      </c>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260</v>
      </c>
    </row>
    <row r="8" spans="1:11" x14ac:dyDescent="0.2">
      <c r="A8" s="778" t="s">
        <v>345</v>
      </c>
      <c r="B8" s="779"/>
      <c r="C8" s="779"/>
      <c r="D8" s="779"/>
      <c r="E8" s="780"/>
      <c r="F8" s="770" t="s">
        <v>851</v>
      </c>
      <c r="G8" s="782"/>
      <c r="H8" s="782"/>
      <c r="I8" s="782"/>
      <c r="J8" s="765">
        <v>106375</v>
      </c>
      <c r="K8" s="769"/>
    </row>
    <row r="9" spans="1:11" x14ac:dyDescent="0.2">
      <c r="A9" s="778" t="s">
        <v>138</v>
      </c>
      <c r="B9" s="779"/>
      <c r="C9" s="779"/>
      <c r="D9" s="779"/>
      <c r="E9" s="780"/>
      <c r="F9" s="777" t="s">
        <v>853</v>
      </c>
      <c r="G9" s="782"/>
      <c r="H9" s="771"/>
      <c r="I9" s="771"/>
      <c r="J9" s="781"/>
      <c r="K9" s="765">
        <v>8381</v>
      </c>
    </row>
    <row r="10" spans="1:11" x14ac:dyDescent="0.2">
      <c r="A10" s="2246" t="s">
        <v>1813</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0</v>
      </c>
      <c r="I12" s="1758">
        <f>SUM(I5:I11)</f>
        <v>0</v>
      </c>
      <c r="J12" s="1758">
        <f>SUM(J5:J11)</f>
        <v>106375</v>
      </c>
      <c r="K12" s="1758">
        <f>SUM(K5:K11)</f>
        <v>8641</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c r="I14" s="771"/>
      <c r="J14" s="773"/>
      <c r="K14" s="765">
        <v>8641</v>
      </c>
    </row>
    <row r="15" spans="1:11" x14ac:dyDescent="0.2">
      <c r="A15" s="2219" t="s">
        <v>4</v>
      </c>
      <c r="B15" s="2219"/>
      <c r="C15" s="2219"/>
      <c r="D15" s="2219"/>
      <c r="E15" s="2247"/>
      <c r="F15" s="789" t="s">
        <v>855</v>
      </c>
      <c r="G15" s="771"/>
      <c r="H15" s="764"/>
      <c r="I15" s="764"/>
      <c r="J15" s="765">
        <v>30536</v>
      </c>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1809</v>
      </c>
      <c r="B19" s="2254"/>
      <c r="C19" s="2254"/>
      <c r="D19" s="2254"/>
      <c r="E19" s="2255"/>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0</v>
      </c>
      <c r="K21" s="793"/>
    </row>
    <row r="22" spans="1:11" ht="13.5" thickTop="1" x14ac:dyDescent="0.2">
      <c r="A22" s="2219" t="s">
        <v>1815</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0</v>
      </c>
      <c r="I23" s="1758">
        <f>SUM(I14:I16,I21,I22)</f>
        <v>0</v>
      </c>
      <c r="J23" s="1758">
        <f>SUM(J14:J16,J21,J22)</f>
        <v>30536</v>
      </c>
      <c r="K23" s="1758">
        <f>SUM(K14:K16,K21,K22)</f>
        <v>8641</v>
      </c>
    </row>
    <row r="24" spans="1:11" ht="14.25" thickTop="1" thickBot="1" x14ac:dyDescent="0.25">
      <c r="A24" s="2240" t="s">
        <v>1965</v>
      </c>
      <c r="B24" s="2239"/>
      <c r="C24" s="2239"/>
      <c r="D24" s="2239"/>
      <c r="E24" s="2239"/>
      <c r="F24" s="1762"/>
      <c r="G24" s="1763">
        <f>SUM(G3,G12)-G23</f>
        <v>0</v>
      </c>
      <c r="H24" s="1763">
        <f>SUM(H3,H12)-H23</f>
        <v>0</v>
      </c>
      <c r="I24" s="1763">
        <f>SUM(I3,I12)-I23</f>
        <v>0</v>
      </c>
      <c r="J24" s="1763">
        <f>SUM(J3,J12)-J23</f>
        <v>122608</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122608</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2068</v>
      </c>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64"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80245</v>
      </c>
      <c r="D5" s="841"/>
      <c r="E5" s="841"/>
      <c r="F5" s="1760">
        <f>(C5+D5)-E5</f>
        <v>80245</v>
      </c>
      <c r="G5" s="837"/>
      <c r="H5" s="842"/>
      <c r="I5" s="842"/>
      <c r="J5" s="842"/>
      <c r="K5" s="793"/>
      <c r="L5" s="1769">
        <f>F5-K5</f>
        <v>80245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8906904</v>
      </c>
      <c r="D8" s="844">
        <v>12238</v>
      </c>
      <c r="E8" s="844"/>
      <c r="F8" s="1760">
        <f>(C8+D8)-E8</f>
        <v>8919142</v>
      </c>
      <c r="G8" s="843">
        <v>50</v>
      </c>
      <c r="H8" s="765">
        <v>5794231</v>
      </c>
      <c r="I8" s="765">
        <v>178968</v>
      </c>
      <c r="J8" s="765"/>
      <c r="K8" s="1769">
        <f>(H8+I8)-J8</f>
        <v>5973199</v>
      </c>
      <c r="L8" s="1769">
        <f>F8-K8</f>
        <v>2945943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392862</v>
      </c>
      <c r="D10" s="846"/>
      <c r="E10" s="846"/>
      <c r="F10" s="1764">
        <f>(C10+D10)-E10</f>
        <v>392862</v>
      </c>
      <c r="G10" s="843">
        <v>20</v>
      </c>
      <c r="H10" s="847">
        <v>373896</v>
      </c>
      <c r="I10" s="847">
        <v>6194</v>
      </c>
      <c r="J10" s="847"/>
      <c r="K10" s="1769">
        <f>(H10+I10)-J10</f>
        <v>380090</v>
      </c>
      <c r="L10" s="1769">
        <f>F10-K10</f>
        <v>12772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1995824</v>
      </c>
      <c r="D12" s="844">
        <v>52140</v>
      </c>
      <c r="E12" s="844">
        <v>4250</v>
      </c>
      <c r="F12" s="1760">
        <f>(C12+D12)-E12</f>
        <v>2043714</v>
      </c>
      <c r="G12" s="843">
        <v>10</v>
      </c>
      <c r="H12" s="765">
        <v>1903627</v>
      </c>
      <c r="I12" s="765">
        <v>31558</v>
      </c>
      <c r="J12" s="765">
        <v>4250</v>
      </c>
      <c r="K12" s="1769">
        <f>(H12+I12)-J12</f>
        <v>1930935</v>
      </c>
      <c r="L12" s="1769">
        <f>F12-K12</f>
        <v>112779</v>
      </c>
    </row>
    <row r="13" spans="1:14" ht="14.25" thickTop="1" thickBot="1" x14ac:dyDescent="0.25">
      <c r="A13" s="848" t="s">
        <v>1122</v>
      </c>
      <c r="B13" s="840">
        <v>252</v>
      </c>
      <c r="C13" s="844">
        <v>13175</v>
      </c>
      <c r="D13" s="844"/>
      <c r="E13" s="844"/>
      <c r="F13" s="1760">
        <f>(C13+D13)-E13</f>
        <v>13175</v>
      </c>
      <c r="G13" s="843">
        <v>5</v>
      </c>
      <c r="H13" s="765">
        <v>13175</v>
      </c>
      <c r="I13" s="765"/>
      <c r="J13" s="765"/>
      <c r="K13" s="1769">
        <f>(H13+I13)-J13</f>
        <v>13175</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11389010</v>
      </c>
      <c r="D16" s="1760">
        <f>SUM(D3,D5:D6,D8:D10,D12:D15)</f>
        <v>64378</v>
      </c>
      <c r="E16" s="1760">
        <f>SUM(E3,E5:E6,E8:E10,E12:E15)</f>
        <v>4250</v>
      </c>
      <c r="F16" s="1760">
        <f>SUM(F3,F5:F6,F8:F10,F12:F15)</f>
        <v>11449138</v>
      </c>
      <c r="G16" s="843"/>
      <c r="H16" s="1760">
        <f>SUM(H3,H6,H8:H10,H12:H14,)</f>
        <v>8084929</v>
      </c>
      <c r="I16" s="1760">
        <f>SUM(I3,I6,I8:I10,I12:I14,)</f>
        <v>216720</v>
      </c>
      <c r="J16" s="1760">
        <f>SUM(J3,J6,J8:J10,J12:J14,)</f>
        <v>4250</v>
      </c>
      <c r="K16" s="1760">
        <f>(H16+I16)-J16</f>
        <v>8297399</v>
      </c>
      <c r="L16" s="1760">
        <f>F16-K16</f>
        <v>3151739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216720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65"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I180" sqref="I1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3746103</v>
      </c>
      <c r="G8" s="865"/>
    </row>
    <row r="9" spans="1:7" x14ac:dyDescent="0.2">
      <c r="A9" s="869" t="s">
        <v>460</v>
      </c>
      <c r="B9" s="870" t="s">
        <v>1877</v>
      </c>
      <c r="C9" s="871"/>
      <c r="D9" s="869" t="s">
        <v>501</v>
      </c>
      <c r="E9" s="868"/>
      <c r="F9" s="1909">
        <f>'Expenditures 15-22'!K151</f>
        <v>218121</v>
      </c>
      <c r="G9" s="872"/>
    </row>
    <row r="10" spans="1:7" x14ac:dyDescent="0.2">
      <c r="A10" s="869" t="s">
        <v>499</v>
      </c>
      <c r="B10" s="870" t="s">
        <v>1878</v>
      </c>
      <c r="C10" s="871"/>
      <c r="D10" s="869" t="s">
        <v>501</v>
      </c>
      <c r="E10" s="868"/>
      <c r="F10" s="1909">
        <f>'Expenditures 15-22'!K174</f>
        <v>132991</v>
      </c>
      <c r="G10" s="872"/>
    </row>
    <row r="11" spans="1:7" x14ac:dyDescent="0.2">
      <c r="A11" s="869" t="s">
        <v>461</v>
      </c>
      <c r="B11" s="870" t="s">
        <v>1879</v>
      </c>
      <c r="C11" s="871"/>
      <c r="D11" s="869" t="s">
        <v>501</v>
      </c>
      <c r="E11" s="868"/>
      <c r="F11" s="1909">
        <f>'Expenditures 15-22'!K210</f>
        <v>680240</v>
      </c>
      <c r="G11" s="872"/>
    </row>
    <row r="12" spans="1:7" x14ac:dyDescent="0.2">
      <c r="A12" s="869" t="s">
        <v>462</v>
      </c>
      <c r="B12" s="870" t="s">
        <v>1880</v>
      </c>
      <c r="C12" s="871"/>
      <c r="D12" s="869" t="s">
        <v>501</v>
      </c>
      <c r="E12" s="868"/>
      <c r="F12" s="1909">
        <f>'Expenditures 15-22'!K295</f>
        <v>112784</v>
      </c>
      <c r="G12" s="872"/>
    </row>
    <row r="13" spans="1:7" x14ac:dyDescent="0.2">
      <c r="A13" s="869" t="s">
        <v>106</v>
      </c>
      <c r="B13" s="870" t="s">
        <v>1881</v>
      </c>
      <c r="C13" s="871"/>
      <c r="D13" s="869" t="s">
        <v>501</v>
      </c>
      <c r="E13" s="868"/>
      <c r="F13" s="1909">
        <f>'Expenditures 15-22'!K342</f>
        <v>68440</v>
      </c>
      <c r="G13" s="873"/>
    </row>
    <row r="14" spans="1:7" ht="12" customHeight="1" thickBot="1" x14ac:dyDescent="0.25">
      <c r="A14" s="1770"/>
      <c r="B14" s="1771"/>
      <c r="C14" s="1772"/>
      <c r="D14" s="1773" t="s">
        <v>501</v>
      </c>
      <c r="E14" s="1774" t="s">
        <v>958</v>
      </c>
      <c r="F14" s="1775">
        <f>SUM(F8:F13)</f>
        <v>4958679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38566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2075</v>
      </c>
      <c r="G52" s="865"/>
    </row>
    <row r="53" spans="1:7" x14ac:dyDescent="0.2">
      <c r="A53" s="869" t="s">
        <v>459</v>
      </c>
      <c r="B53" s="869" t="s">
        <v>1475</v>
      </c>
      <c r="C53" s="889">
        <f>'Expenditures 15-22'!B102</f>
        <v>4000</v>
      </c>
      <c r="D53" s="888" t="str">
        <f>'Expenditures 15-22'!A102</f>
        <v>Total Payments to Other Govt Units</v>
      </c>
      <c r="E53" s="868"/>
      <c r="F53" s="1913">
        <f>'Expenditures 15-22'!K102</f>
        <v>94592</v>
      </c>
      <c r="G53" s="865"/>
    </row>
    <row r="54" spans="1:7" x14ac:dyDescent="0.2">
      <c r="A54" s="869" t="s">
        <v>459</v>
      </c>
      <c r="B54" s="869" t="s">
        <v>1476</v>
      </c>
      <c r="C54" s="889" t="s">
        <v>982</v>
      </c>
      <c r="D54" s="885" t="s">
        <v>1095</v>
      </c>
      <c r="E54" s="868"/>
      <c r="F54" s="1913">
        <f>'Expenditures 15-22'!G114</f>
        <v>37140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15000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121000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1227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309600</v>
      </c>
      <c r="G76" s="865"/>
    </row>
    <row r="77" spans="1:8" s="893" customFormat="1" ht="12" customHeight="1" thickTop="1" thickBot="1" x14ac:dyDescent="0.25">
      <c r="A77" s="1779"/>
      <c r="B77" s="1776"/>
      <c r="C77" s="1772"/>
      <c r="D77" s="1777" t="s">
        <v>1900</v>
      </c>
      <c r="E77" s="1774"/>
      <c r="F77" s="1780">
        <f>(F14-F76)</f>
        <v>4649079</v>
      </c>
      <c r="G77" s="869"/>
    </row>
    <row r="78" spans="1:8" s="893" customFormat="1" ht="12" customHeight="1" thickTop="1" x14ac:dyDescent="0.2">
      <c r="A78" s="1781"/>
      <c r="B78" s="1776"/>
      <c r="C78" s="1772"/>
      <c r="D78" s="1777" t="s">
        <v>2062</v>
      </c>
      <c r="E78" s="1774"/>
      <c r="F78" s="898">
        <v>476.5</v>
      </c>
      <c r="G78" s="899"/>
      <c r="H78" s="869"/>
    </row>
    <row r="79" spans="1:8" s="893" customFormat="1" ht="12" customHeight="1" thickBot="1" x14ac:dyDescent="0.25">
      <c r="A79" s="1782"/>
      <c r="B79" s="1776"/>
      <c r="C79" s="1772"/>
      <c r="D79" s="1777" t="s">
        <v>1901</v>
      </c>
      <c r="E79" s="1774" t="s">
        <v>958</v>
      </c>
      <c r="F79" s="1783">
        <f>IF(F78&gt;0,F77/F78," Complete Line 78")</f>
        <v>9756.7240293809027</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21295</v>
      </c>
      <c r="G94" s="912"/>
    </row>
    <row r="95" spans="1:7" x14ac:dyDescent="0.2">
      <c r="A95" s="908" t="s">
        <v>140</v>
      </c>
      <c r="B95" s="908" t="s">
        <v>175</v>
      </c>
      <c r="C95" s="910">
        <v>1700</v>
      </c>
      <c r="D95" s="918" t="str">
        <f>'Revenues 9-14'!A82</f>
        <v>Total District/School Activity Income</v>
      </c>
      <c r="E95" s="906"/>
      <c r="F95" s="1789">
        <f>SUM('Revenues 9-14'!C82,'Revenues 9-14'!D82)</f>
        <v>10472</v>
      </c>
      <c r="G95" s="912"/>
    </row>
    <row r="96" spans="1:7" x14ac:dyDescent="0.2">
      <c r="A96" s="908" t="s">
        <v>459</v>
      </c>
      <c r="B96" s="908" t="s">
        <v>176</v>
      </c>
      <c r="C96" s="910">
        <f>'Revenues 9-14'!B84</f>
        <v>1811</v>
      </c>
      <c r="D96" s="911" t="str">
        <f>'Revenues 9-14'!A84</f>
        <v>Rentals - Regular Textbooks</v>
      </c>
      <c r="E96" s="906"/>
      <c r="F96" s="1789">
        <f>'Revenues 9-14'!C84</f>
        <v>6710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8020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6143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33770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7282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8381</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477210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331946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349787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82</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53949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9748</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54620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1379415</v>
      </c>
    </row>
    <row r="175" spans="1:7" ht="12" customHeight="1" x14ac:dyDescent="0.2">
      <c r="A175" s="1770"/>
      <c r="B175" s="1784"/>
      <c r="C175" s="1785"/>
      <c r="D175" s="1786" t="s">
        <v>2057</v>
      </c>
      <c r="E175" s="1787"/>
      <c r="F175" s="1789">
        <f>'PCTC-OEPP 27-28'!F77-F174</f>
        <v>3269664</v>
      </c>
    </row>
    <row r="176" spans="1:7" ht="12" customHeight="1" x14ac:dyDescent="0.2">
      <c r="A176" s="1770"/>
      <c r="B176" s="1784"/>
      <c r="C176" s="1785"/>
      <c r="D176" s="1786" t="s">
        <v>1817</v>
      </c>
      <c r="E176" s="1787"/>
      <c r="F176" s="1789">
        <f>'Cap Outlay Deprec 26'!I18</f>
        <v>216720</v>
      </c>
    </row>
    <row r="177" spans="1:7" ht="12" customHeight="1" x14ac:dyDescent="0.2">
      <c r="A177" s="1770"/>
      <c r="B177" s="1784"/>
      <c r="C177" s="1785"/>
      <c r="D177" s="1786" t="s">
        <v>2058</v>
      </c>
      <c r="E177" s="1787"/>
      <c r="F177" s="1789">
        <f>F175+F176</f>
        <v>3486384</v>
      </c>
    </row>
    <row r="178" spans="1:7" ht="12" customHeight="1" x14ac:dyDescent="0.2">
      <c r="A178" s="1770"/>
      <c r="B178" s="1790"/>
      <c r="C178" s="1785"/>
      <c r="D178" s="1786" t="str">
        <f>D78</f>
        <v>9 Month ADA from District Average Daily Attendance/Prior General State Aid Inquiry 2018-2019</v>
      </c>
      <c r="E178" s="1787"/>
      <c r="F178" s="1791">
        <f>'PCTC-OEPP 27-28'!F78</f>
        <v>476.5</v>
      </c>
      <c r="G178" s="930"/>
    </row>
    <row r="179" spans="1:7" ht="12" customHeight="1" thickBot="1" x14ac:dyDescent="0.25">
      <c r="A179" s="1770"/>
      <c r="B179" s="1790"/>
      <c r="C179" s="1785"/>
      <c r="D179" s="1786" t="s">
        <v>2059</v>
      </c>
      <c r="E179" s="1787" t="s">
        <v>1545</v>
      </c>
      <c r="F179" s="1792">
        <f>F177/F178</f>
        <v>7316.6505771248685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68"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9" zoomScaleNormal="100" workbookViewId="0">
      <selection activeCell="D36" sqref="D36"/>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2079</v>
      </c>
      <c r="B17" s="2492" t="s">
        <v>2130</v>
      </c>
      <c r="C17" s="1938" t="s">
        <v>2080</v>
      </c>
      <c r="D17" s="1844">
        <v>1247</v>
      </c>
      <c r="E17" s="1540">
        <f t="shared" ref="E17:E141" si="0">IF(D17&lt;=25000,D17,IF(D17&gt;25000,25000,0))</f>
        <v>1247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1247</v>
      </c>
      <c r="G17" s="1793">
        <f>IF(F17=0,0,D17-F17)</f>
        <v>0</v>
      </c>
      <c r="H17" s="1647"/>
    </row>
    <row r="18" spans="1:8" x14ac:dyDescent="0.25">
      <c r="A18" s="1936" t="s">
        <v>2079</v>
      </c>
      <c r="B18" s="2492" t="s">
        <v>2130</v>
      </c>
      <c r="C18" s="1938" t="s">
        <v>2081</v>
      </c>
      <c r="D18" s="1844">
        <v>8450</v>
      </c>
      <c r="E18" s="1540">
        <f t="shared" ref="E18:E140" si="2">IF(D18&lt;=25000,D18,IF(D18&gt;25000,25000,0))</f>
        <v>8450</v>
      </c>
      <c r="F18" s="1932">
        <f t="shared" si="1"/>
        <v>8450</v>
      </c>
      <c r="G18" s="1793">
        <f t="shared" ref="G18:G140" si="3">IF(F18=0,0,D18-F18)</f>
        <v>0</v>
      </c>
    </row>
    <row r="19" spans="1:8" x14ac:dyDescent="0.25">
      <c r="A19" s="1936" t="s">
        <v>2079</v>
      </c>
      <c r="B19" s="2492" t="s">
        <v>2131</v>
      </c>
      <c r="C19" s="1938" t="s">
        <v>2082</v>
      </c>
      <c r="D19" s="1844">
        <v>240</v>
      </c>
      <c r="E19" s="1540">
        <f t="shared" si="2"/>
        <v>240</v>
      </c>
      <c r="F19" s="1932">
        <f t="shared" si="1"/>
        <v>240</v>
      </c>
      <c r="G19" s="1793">
        <f t="shared" si="3"/>
        <v>0</v>
      </c>
    </row>
    <row r="20" spans="1:8" x14ac:dyDescent="0.25">
      <c r="A20" s="1936" t="s">
        <v>2079</v>
      </c>
      <c r="B20" s="2492" t="s">
        <v>2131</v>
      </c>
      <c r="C20" s="1938" t="s">
        <v>2083</v>
      </c>
      <c r="D20" s="1844">
        <v>8720</v>
      </c>
      <c r="E20" s="1540">
        <f t="shared" si="2"/>
        <v>8720</v>
      </c>
      <c r="F20" s="1932">
        <f t="shared" si="1"/>
        <v>8720</v>
      </c>
      <c r="G20" s="1793">
        <f t="shared" si="3"/>
        <v>0</v>
      </c>
    </row>
    <row r="21" spans="1:8" x14ac:dyDescent="0.25">
      <c r="A21" s="1936" t="s">
        <v>2079</v>
      </c>
      <c r="B21" s="2492" t="s">
        <v>2131</v>
      </c>
      <c r="C21" s="1938" t="s">
        <v>2084</v>
      </c>
      <c r="D21" s="1844">
        <v>3208</v>
      </c>
      <c r="E21" s="1540">
        <f t="shared" si="2"/>
        <v>3208</v>
      </c>
      <c r="F21" s="1932">
        <f t="shared" si="1"/>
        <v>3208</v>
      </c>
      <c r="G21" s="1793">
        <f t="shared" si="3"/>
        <v>0</v>
      </c>
    </row>
    <row r="22" spans="1:8" x14ac:dyDescent="0.25">
      <c r="A22" s="1936" t="s">
        <v>2079</v>
      </c>
      <c r="B22" s="2492" t="s">
        <v>2130</v>
      </c>
      <c r="C22" s="1938" t="s">
        <v>2085</v>
      </c>
      <c r="D22" s="1844">
        <v>5800</v>
      </c>
      <c r="E22" s="1540">
        <f t="shared" si="2"/>
        <v>5800</v>
      </c>
      <c r="F22" s="1932">
        <f t="shared" si="1"/>
        <v>5800</v>
      </c>
      <c r="G22" s="1793">
        <f t="shared" si="3"/>
        <v>0</v>
      </c>
    </row>
    <row r="23" spans="1:8" x14ac:dyDescent="0.25">
      <c r="A23" s="1936" t="s">
        <v>2086</v>
      </c>
      <c r="B23" s="2492" t="s">
        <v>2120</v>
      </c>
      <c r="C23" s="1938" t="s">
        <v>2087</v>
      </c>
      <c r="D23" s="1844">
        <v>885</v>
      </c>
      <c r="E23" s="1540">
        <f t="shared" si="2"/>
        <v>885</v>
      </c>
      <c r="F23" s="1932">
        <f t="shared" si="1"/>
        <v>885</v>
      </c>
      <c r="G23" s="1793">
        <f t="shared" si="3"/>
        <v>0</v>
      </c>
    </row>
    <row r="24" spans="1:8" x14ac:dyDescent="0.25">
      <c r="A24" s="1936" t="s">
        <v>2079</v>
      </c>
      <c r="B24" s="2492" t="s">
        <v>2131</v>
      </c>
      <c r="C24" s="1938" t="s">
        <v>2090</v>
      </c>
      <c r="D24" s="1844">
        <v>11440</v>
      </c>
      <c r="E24" s="1540">
        <f t="shared" si="2"/>
        <v>11440</v>
      </c>
      <c r="F24" s="1932">
        <f t="shared" si="1"/>
        <v>11440</v>
      </c>
      <c r="G24" s="1793">
        <f t="shared" si="3"/>
        <v>0</v>
      </c>
    </row>
    <row r="25" spans="1:8" x14ac:dyDescent="0.25">
      <c r="A25" s="1936" t="s">
        <v>2088</v>
      </c>
      <c r="B25" s="1937" t="s">
        <v>2089</v>
      </c>
      <c r="C25" s="1938" t="s">
        <v>2091</v>
      </c>
      <c r="D25" s="1844">
        <v>605924</v>
      </c>
      <c r="E25" s="1540">
        <f t="shared" si="2"/>
        <v>25000</v>
      </c>
      <c r="F25" s="1932">
        <f t="shared" si="1"/>
        <v>25000</v>
      </c>
      <c r="G25" s="1793">
        <f t="shared" si="3"/>
        <v>580924</v>
      </c>
    </row>
    <row r="26" spans="1:8" x14ac:dyDescent="0.25">
      <c r="A26" s="1936" t="s">
        <v>2079</v>
      </c>
      <c r="B26" s="2492" t="s">
        <v>2130</v>
      </c>
      <c r="C26" s="1938" t="s">
        <v>2092</v>
      </c>
      <c r="D26" s="1844">
        <v>613</v>
      </c>
      <c r="E26" s="1540">
        <f t="shared" si="2"/>
        <v>613</v>
      </c>
      <c r="F26" s="1932">
        <f t="shared" si="1"/>
        <v>613</v>
      </c>
      <c r="G26" s="1793">
        <f t="shared" si="3"/>
        <v>0</v>
      </c>
    </row>
    <row r="27" spans="1:8" x14ac:dyDescent="0.25">
      <c r="A27" s="1936" t="s">
        <v>2093</v>
      </c>
      <c r="B27" s="2492" t="s">
        <v>2130</v>
      </c>
      <c r="C27" s="1938" t="s">
        <v>2094</v>
      </c>
      <c r="D27" s="1844">
        <v>2161</v>
      </c>
      <c r="E27" s="1540">
        <f t="shared" si="2"/>
        <v>2161</v>
      </c>
      <c r="F27" s="1932">
        <f t="shared" si="1"/>
        <v>2161</v>
      </c>
      <c r="G27" s="1793">
        <f t="shared" si="3"/>
        <v>0</v>
      </c>
    </row>
    <row r="28" spans="1:8" x14ac:dyDescent="0.25">
      <c r="A28" s="1936" t="s">
        <v>2095</v>
      </c>
      <c r="B28" s="2492" t="s">
        <v>2132</v>
      </c>
      <c r="C28" s="1938" t="s">
        <v>2096</v>
      </c>
      <c r="D28" s="1844">
        <v>29429</v>
      </c>
      <c r="E28" s="1540">
        <f t="shared" si="2"/>
        <v>25000</v>
      </c>
      <c r="F28" s="1932">
        <f t="shared" si="1"/>
        <v>25000</v>
      </c>
      <c r="G28" s="1793">
        <f t="shared" si="3"/>
        <v>4429</v>
      </c>
    </row>
    <row r="29" spans="1:8" x14ac:dyDescent="0.25">
      <c r="A29" s="1936" t="s">
        <v>2097</v>
      </c>
      <c r="B29" s="2492" t="s">
        <v>2120</v>
      </c>
      <c r="C29" s="1938" t="s">
        <v>2098</v>
      </c>
      <c r="D29" s="1844">
        <v>1325</v>
      </c>
      <c r="E29" s="1540">
        <f t="shared" si="2"/>
        <v>1325</v>
      </c>
      <c r="F29" s="1932">
        <f t="shared" si="1"/>
        <v>1325</v>
      </c>
      <c r="G29" s="1793">
        <f t="shared" si="3"/>
        <v>0</v>
      </c>
    </row>
    <row r="30" spans="1:8" x14ac:dyDescent="0.25">
      <c r="A30" s="1936" t="s">
        <v>2099</v>
      </c>
      <c r="B30" s="2492" t="s">
        <v>2120</v>
      </c>
      <c r="C30" s="1938" t="s">
        <v>2100</v>
      </c>
      <c r="D30" s="1844">
        <v>14559</v>
      </c>
      <c r="E30" s="1540">
        <f t="shared" si="2"/>
        <v>14559</v>
      </c>
      <c r="F30" s="1932">
        <f t="shared" si="1"/>
        <v>14559</v>
      </c>
      <c r="G30" s="1793">
        <f t="shared" si="3"/>
        <v>0</v>
      </c>
    </row>
    <row r="31" spans="1:8" x14ac:dyDescent="0.25">
      <c r="A31" s="1936" t="s">
        <v>2079</v>
      </c>
      <c r="B31" s="2492" t="s">
        <v>2130</v>
      </c>
      <c r="C31" s="1938" t="s">
        <v>2101</v>
      </c>
      <c r="D31" s="1844">
        <v>1508</v>
      </c>
      <c r="E31" s="1540">
        <f t="shared" si="2"/>
        <v>1508</v>
      </c>
      <c r="F31" s="1932">
        <f t="shared" si="1"/>
        <v>1508</v>
      </c>
      <c r="G31" s="1793">
        <f t="shared" si="3"/>
        <v>0</v>
      </c>
    </row>
    <row r="32" spans="1:8" x14ac:dyDescent="0.25">
      <c r="A32" s="1936" t="s">
        <v>2102</v>
      </c>
      <c r="B32" s="2492" t="s">
        <v>2131</v>
      </c>
      <c r="C32" s="1938" t="s">
        <v>2103</v>
      </c>
      <c r="D32" s="1844">
        <v>452</v>
      </c>
      <c r="E32" s="1540">
        <f t="shared" si="2"/>
        <v>452</v>
      </c>
      <c r="F32" s="1932">
        <f t="shared" si="1"/>
        <v>452</v>
      </c>
      <c r="G32" s="1793">
        <f t="shared" si="3"/>
        <v>0</v>
      </c>
    </row>
    <row r="33" spans="1:7" x14ac:dyDescent="0.25">
      <c r="A33" s="1936" t="s">
        <v>2104</v>
      </c>
      <c r="B33" s="1937" t="s">
        <v>2105</v>
      </c>
      <c r="C33" s="1938" t="s">
        <v>2106</v>
      </c>
      <c r="D33" s="1844">
        <v>3163</v>
      </c>
      <c r="E33" s="1540">
        <f t="shared" si="2"/>
        <v>3163</v>
      </c>
      <c r="F33" s="1932">
        <f t="shared" si="1"/>
        <v>3163</v>
      </c>
      <c r="G33" s="1793">
        <f t="shared" si="3"/>
        <v>0</v>
      </c>
    </row>
    <row r="34" spans="1:7" x14ac:dyDescent="0.25">
      <c r="A34" s="1936" t="s">
        <v>2079</v>
      </c>
      <c r="B34" s="2492" t="s">
        <v>2131</v>
      </c>
      <c r="C34" s="1938" t="s">
        <v>2107</v>
      </c>
      <c r="D34" s="1844">
        <v>805</v>
      </c>
      <c r="E34" s="1540">
        <f t="shared" si="2"/>
        <v>805</v>
      </c>
      <c r="F34" s="1932">
        <f t="shared" si="1"/>
        <v>805</v>
      </c>
      <c r="G34" s="1793">
        <f t="shared" si="3"/>
        <v>0</v>
      </c>
    </row>
    <row r="35" spans="1:7" x14ac:dyDescent="0.25">
      <c r="A35" s="1936" t="s">
        <v>2108</v>
      </c>
      <c r="B35" s="2492" t="s">
        <v>2120</v>
      </c>
      <c r="C35" s="1938" t="s">
        <v>2109</v>
      </c>
      <c r="D35" s="1844">
        <v>7955</v>
      </c>
      <c r="E35" s="1540">
        <f t="shared" si="2"/>
        <v>7955</v>
      </c>
      <c r="F35" s="1932">
        <f t="shared" si="1"/>
        <v>7955</v>
      </c>
      <c r="G35" s="1793">
        <f t="shared" si="3"/>
        <v>0</v>
      </c>
    </row>
    <row r="36" spans="1:7" x14ac:dyDescent="0.25">
      <c r="A36" s="1936" t="s">
        <v>2079</v>
      </c>
      <c r="B36" s="2492" t="s">
        <v>2130</v>
      </c>
      <c r="C36" s="1938" t="s">
        <v>2119</v>
      </c>
      <c r="D36" s="1844">
        <v>3065</v>
      </c>
      <c r="E36" s="1540">
        <f t="shared" si="2"/>
        <v>3065</v>
      </c>
      <c r="F36" s="1932">
        <f t="shared" si="1"/>
        <v>3065</v>
      </c>
      <c r="G36" s="1793">
        <f t="shared" si="3"/>
        <v>0</v>
      </c>
    </row>
    <row r="37" spans="1:7" x14ac:dyDescent="0.25">
      <c r="A37" s="1936" t="s">
        <v>2079</v>
      </c>
      <c r="B37" s="2492" t="s">
        <v>2130</v>
      </c>
      <c r="C37" s="1938" t="s">
        <v>2111</v>
      </c>
      <c r="D37" s="1844">
        <v>436</v>
      </c>
      <c r="E37" s="1540">
        <f t="shared" si="2"/>
        <v>436</v>
      </c>
      <c r="F37" s="1932">
        <f t="shared" si="1"/>
        <v>436</v>
      </c>
      <c r="G37" s="1793">
        <f t="shared" si="3"/>
        <v>0</v>
      </c>
    </row>
    <row r="38" spans="1:7" x14ac:dyDescent="0.25">
      <c r="A38" s="1936" t="s">
        <v>2095</v>
      </c>
      <c r="B38" s="2493" t="s">
        <v>2132</v>
      </c>
      <c r="C38" s="1938" t="s">
        <v>2112</v>
      </c>
      <c r="D38" s="1844">
        <v>38195</v>
      </c>
      <c r="E38" s="1540">
        <f t="shared" si="2"/>
        <v>25000</v>
      </c>
      <c r="F38" s="1932">
        <f t="shared" si="1"/>
        <v>25000</v>
      </c>
      <c r="G38" s="1793">
        <f t="shared" si="3"/>
        <v>13195</v>
      </c>
    </row>
    <row r="39" spans="1:7" x14ac:dyDescent="0.25">
      <c r="A39" s="1936" t="s">
        <v>2113</v>
      </c>
      <c r="B39" s="1939" t="s">
        <v>2114</v>
      </c>
      <c r="C39" s="1938" t="s">
        <v>2115</v>
      </c>
      <c r="D39" s="1844">
        <v>1418</v>
      </c>
      <c r="E39" s="1540">
        <f t="shared" si="2"/>
        <v>1418</v>
      </c>
      <c r="F39" s="1932">
        <f t="shared" si="1"/>
        <v>1418</v>
      </c>
      <c r="G39" s="1793">
        <f t="shared" si="3"/>
        <v>0</v>
      </c>
    </row>
    <row r="40" spans="1:7" x14ac:dyDescent="0.25">
      <c r="A40" s="1936" t="s">
        <v>2116</v>
      </c>
      <c r="B40" s="2493" t="s">
        <v>2131</v>
      </c>
      <c r="C40" s="1938" t="s">
        <v>2117</v>
      </c>
      <c r="D40" s="1844">
        <v>10789</v>
      </c>
      <c r="E40" s="1540">
        <f t="shared" si="2"/>
        <v>10789</v>
      </c>
      <c r="F40" s="1932">
        <f t="shared" si="1"/>
        <v>10789</v>
      </c>
      <c r="G40" s="1793">
        <f t="shared" si="3"/>
        <v>0</v>
      </c>
    </row>
    <row r="41" spans="1:7" x14ac:dyDescent="0.25">
      <c r="A41" s="1936" t="s">
        <v>2095</v>
      </c>
      <c r="B41" s="2493" t="s">
        <v>2132</v>
      </c>
      <c r="C41" s="1938" t="s">
        <v>2118</v>
      </c>
      <c r="D41" s="1844">
        <v>816</v>
      </c>
      <c r="E41" s="1540">
        <f t="shared" si="2"/>
        <v>816</v>
      </c>
      <c r="F41" s="1932">
        <f t="shared" si="1"/>
        <v>816</v>
      </c>
      <c r="G41" s="1793">
        <f t="shared" si="3"/>
        <v>0</v>
      </c>
    </row>
    <row r="42" spans="1:7" x14ac:dyDescent="0.25">
      <c r="A42" s="1936" t="s">
        <v>2099</v>
      </c>
      <c r="B42" s="1939" t="s">
        <v>2120</v>
      </c>
      <c r="C42" s="1938" t="s">
        <v>2110</v>
      </c>
      <c r="D42" s="1844">
        <v>479</v>
      </c>
      <c r="E42" s="1540">
        <f t="shared" si="2"/>
        <v>479</v>
      </c>
      <c r="F42" s="1932">
        <f t="shared" si="1"/>
        <v>479</v>
      </c>
      <c r="G42" s="1793">
        <f t="shared" si="3"/>
        <v>0</v>
      </c>
    </row>
    <row r="43" spans="1:7" x14ac:dyDescent="0.25">
      <c r="A43" s="1653"/>
      <c r="B43" s="1934"/>
      <c r="C43" s="1654"/>
      <c r="D43" s="1844"/>
      <c r="E43" s="1540">
        <f t="shared" si="2"/>
        <v>0</v>
      </c>
      <c r="F43" s="1932">
        <f t="shared" si="1"/>
        <v>0</v>
      </c>
      <c r="G43" s="1793">
        <f t="shared" si="3"/>
        <v>0</v>
      </c>
    </row>
    <row r="44" spans="1:7" x14ac:dyDescent="0.25">
      <c r="A44" s="1653"/>
      <c r="B44" s="1934"/>
      <c r="C44" s="1654"/>
      <c r="D44" s="1844"/>
      <c r="E44" s="1540">
        <f t="shared" si="2"/>
        <v>0</v>
      </c>
      <c r="F44" s="1932">
        <f t="shared" si="1"/>
        <v>0</v>
      </c>
      <c r="G44" s="1793">
        <f t="shared" si="3"/>
        <v>0</v>
      </c>
    </row>
    <row r="45" spans="1:7" x14ac:dyDescent="0.25">
      <c r="A45" s="1653"/>
      <c r="B45" s="1934"/>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763082</v>
      </c>
      <c r="E141" s="1541">
        <f t="shared" si="0"/>
        <v>25000</v>
      </c>
      <c r="F141" s="1933">
        <f>SUM(F17:F140)</f>
        <v>164534</v>
      </c>
      <c r="G141" s="1795">
        <f>SUM(G17:G140)</f>
        <v>598548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73</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21" sqref="D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240014</v>
      </c>
      <c r="F10" s="974"/>
      <c r="G10" s="975"/>
      <c r="H10" s="162"/>
      <c r="I10" s="162"/>
    </row>
    <row r="11" spans="1:9" s="668" customFormat="1" ht="22.5" customHeight="1" x14ac:dyDescent="0.2">
      <c r="A11" s="2292" t="s">
        <v>1977</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2443393</v>
      </c>
      <c r="F19" s="1799"/>
      <c r="G19" s="1801">
        <f>'Expenditures 15-22'!K33-SUM('Expenditures 15-22'!G33,'Expenditures 15-22'!I33)+'Expenditures 15-22'!D229</f>
        <v>2443393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87891</v>
      </c>
      <c r="F21" s="1802"/>
      <c r="G21" s="1805">
        <f>'Expenditures 15-22'!K42-SUM('Expenditures 15-22'!G42,'Expenditures 15-22'!I42)+'Expenditures 15-22'!K120-SUM('Expenditures 15-22'!G120,'Expenditures 15-22'!I120)+'Expenditures 15-22'!K180-SUM('Expenditures 15-22'!G180,'Expenditures 15-22'!I180)+'Expenditures 15-22'!D238</f>
        <v>87891</v>
      </c>
      <c r="H21" s="987"/>
      <c r="I21" s="162"/>
    </row>
    <row r="22" spans="1:9" s="668" customFormat="1" ht="12" customHeight="1" x14ac:dyDescent="0.2">
      <c r="A22" s="994" t="s">
        <v>564</v>
      </c>
      <c r="B22" s="995"/>
      <c r="C22" s="993">
        <v>2200</v>
      </c>
      <c r="D22" s="1802"/>
      <c r="E22" s="1804">
        <f>'Expenditures 15-22'!K47-SUM('Expenditures 15-22'!G47,'Expenditures 15-22'!I47)+'Expenditures 15-22'!D243</f>
        <v>40173</v>
      </c>
      <c r="F22" s="1802"/>
      <c r="G22" s="1805">
        <f>'Expenditures 15-22'!K47-SUM('Expenditures 15-22'!G47,'Expenditures 15-22'!I47)+'Expenditures 15-22'!D243</f>
        <v>40173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162184</v>
      </c>
      <c r="F23" s="1802"/>
      <c r="G23" s="1804">
        <f>'Expenditures 15-22'!K53-SUM('Expenditures 15-22'!G53,'Expenditures 15-22'!I53)+'Expenditures 15-22'!D257+'Expenditures 15-22'!K330-SUM('Expenditures 15-22'!G330,'Expenditures 15-22'!I330)</f>
        <v>162184</v>
      </c>
      <c r="H23" s="987"/>
      <c r="I23" s="162"/>
    </row>
    <row r="24" spans="1:9" s="668" customFormat="1" ht="12" customHeight="1" x14ac:dyDescent="0.2">
      <c r="A24" s="994" t="s">
        <v>566</v>
      </c>
      <c r="B24" s="995"/>
      <c r="C24" s="993">
        <v>2400</v>
      </c>
      <c r="D24" s="1802"/>
      <c r="E24" s="1804">
        <f>'Expenditures 15-22'!K57-SUM('Expenditures 15-22'!G57,'Expenditures 15-22'!I57)+'Expenditures 15-22'!D261</f>
        <v>270637</v>
      </c>
      <c r="F24" s="1802"/>
      <c r="G24" s="1805">
        <f>'Expenditures 15-22'!K57-SUM('Expenditures 15-22'!G57,'Expenditures 15-22'!I57)+'Expenditures 15-22'!D261</f>
        <v>270637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113713</v>
      </c>
      <c r="E27" s="1804">
        <f>E8</f>
        <v>0</v>
      </c>
      <c r="F27" s="1804">
        <f>'Expenditures 15-22'!K60-SUM('Expenditures 15-22'!G60,'Expenditures 15-22'!I60)+'Expenditures 15-22'!D264-E8</f>
        <v>113713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482635</v>
      </c>
      <c r="F28" s="1806">
        <f>'Expenditures 15-22'!K61-SUM('Expenditures 15-22'!G61,'Expenditures 15-22'!I61)+'Expenditures 15-22'!K124-SUM('Expenditures 15-22'!G124,'Expenditures 15-22'!I124)+'Expenditures 15-22'!D266-E9</f>
        <v>482635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680240</v>
      </c>
      <c r="F29" s="1802"/>
      <c r="G29" s="1805">
        <f>'Expenditures 15-22'!K62-SUM('Expenditures 15-22'!G62,'Expenditures 15-22'!I62)+'Expenditures 15-22'!K125-SUM('Expenditures 15-22'!G125,'Expenditures 15-22'!I125)+'Expenditures 15-22'!K182-SUM('Expenditures 15-22'!G182,'Expenditures 15-22'!I182)+'Expenditures 15-22'!D267</f>
        <v>680240</v>
      </c>
      <c r="H29" s="985"/>
    </row>
    <row r="30" spans="1:9" ht="12" customHeight="1" x14ac:dyDescent="0.2">
      <c r="A30" s="994" t="s">
        <v>100</v>
      </c>
      <c r="B30" s="997"/>
      <c r="C30" s="993">
        <v>2560</v>
      </c>
      <c r="D30" s="1802"/>
      <c r="E30" s="1804">
        <f>'Expenditures 15-22'!K63-SUM('Expenditures 15-22'!G63,'Expenditures 15-22'!I63)+'Expenditures 15-22'!D268-E10</f>
        <v>103920</v>
      </c>
      <c r="F30" s="1802"/>
      <c r="G30" s="1804">
        <f>'Expenditures 15-22'!K63-SUM('Expenditures 15-22'!G63,'Expenditures 15-22'!I63)+'Expenditures 15-22'!D268-E10</f>
        <v>103920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4362</v>
      </c>
      <c r="F35" s="1802"/>
      <c r="G35" s="1804">
        <f>'Expenditures 15-22'!K69-SUM('Expenditures 15-22'!G69,'Expenditures 15-22'!I69)+'Expenditures 15-22'!D274</f>
        <v>4362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47719</v>
      </c>
      <c r="E37" s="1804">
        <f>E14</f>
        <v>0</v>
      </c>
      <c r="F37" s="1804">
        <f>'Expenditures 15-22'!K71-SUM('Expenditures 15-22'!G71,'Expenditures 15-22'!I71)+'Expenditures 15-22'!D276-E14</f>
        <v>47719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2075</v>
      </c>
      <c r="F39" s="1802"/>
      <c r="G39" s="1804">
        <f>'Expenditures 15-22'!K75-SUM('Expenditures 15-22'!G75,'Expenditures 15-22'!I75)+'Expenditures 15-22'!K130-SUM('Expenditures 15-22'!G130,'Expenditures 15-22'!I130)+'Expenditures 15-22'!K185-SUM('Expenditures 15-22'!G185,'Expenditures 15-22'!I185)+'Expenditures 15-22'!D280</f>
        <v>2075</v>
      </c>
    </row>
    <row r="40" spans="1:7" ht="12" customHeight="1" x14ac:dyDescent="0.2">
      <c r="A40" s="990" t="s">
        <v>1823</v>
      </c>
      <c r="B40" s="991"/>
      <c r="C40" s="993"/>
      <c r="D40" s="1802"/>
      <c r="E40" s="1806">
        <f>-'Contracts Paid in CY 29'!G141</f>
        <v>-598548</v>
      </c>
      <c r="F40" s="1802"/>
      <c r="G40" s="1806">
        <f>-'Contracts Paid in CY 29'!G141</f>
        <v>-598548</v>
      </c>
    </row>
    <row r="41" spans="1:7" ht="12" customHeight="1" x14ac:dyDescent="0.2">
      <c r="A41" s="998" t="s">
        <v>156</v>
      </c>
      <c r="B41" s="999"/>
      <c r="C41" s="1000"/>
      <c r="D41" s="1806">
        <f>SUM(D19:D39)</f>
        <v>161432</v>
      </c>
      <c r="E41" s="1806">
        <f>SUM(E19:E40)</f>
        <v>3678962</v>
      </c>
      <c r="F41" s="1806">
        <f>SUM(F19:F39)</f>
        <v>644067</v>
      </c>
      <c r="G41" s="1806">
        <f>SUM(G19:G40)</f>
        <v>3196327</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161432</v>
      </c>
      <c r="F43" s="1807" t="s">
        <v>473</v>
      </c>
      <c r="G43" s="1808">
        <f>F41</f>
        <v>644067</v>
      </c>
    </row>
    <row r="44" spans="1:7" ht="12" customHeight="1" x14ac:dyDescent="0.2">
      <c r="A44" s="987"/>
      <c r="B44" s="162"/>
      <c r="C44" s="1001"/>
      <c r="D44" s="1807" t="s">
        <v>474</v>
      </c>
      <c r="E44" s="1808">
        <f>E41</f>
        <v>3678962</v>
      </c>
      <c r="F44" s="1807" t="s">
        <v>474</v>
      </c>
      <c r="G44" s="1808">
        <f>G41</f>
        <v>3196327</v>
      </c>
    </row>
    <row r="45" spans="1:7" ht="12" customHeight="1" x14ac:dyDescent="0.2">
      <c r="A45" s="987"/>
      <c r="B45" s="162"/>
      <c r="C45" s="162"/>
      <c r="D45" s="1809" t="s">
        <v>1006</v>
      </c>
      <c r="E45" s="1810">
        <f>(E43/E44)</f>
        <v>4.3879768260721368E-2</v>
      </c>
      <c r="F45" s="1809" t="s">
        <v>1006</v>
      </c>
      <c r="G45" s="1810">
        <f>(G43/G44)</f>
        <v>0.20150222427179698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76"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Hardin County CUSD 1</v>
      </c>
      <c r="D6" s="2302"/>
      <c r="E6" s="2302"/>
      <c r="F6" s="1852"/>
    </row>
    <row r="7" spans="1:10" ht="11.25" customHeight="1" thickBot="1" x14ac:dyDescent="0.3">
      <c r="A7" s="1850"/>
      <c r="B7" s="1851"/>
      <c r="C7" s="2303">
        <f>COVER!A13</f>
        <v>20035001026</v>
      </c>
      <c r="D7" s="2303"/>
      <c r="E7" s="230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2068</v>
      </c>
      <c r="D26" s="1865" t="s">
        <v>2068</v>
      </c>
      <c r="E26" s="1868" t="s">
        <v>2068</v>
      </c>
      <c r="F26" s="1867" t="s">
        <v>2078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74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Hardin County CUSD 1</v>
      </c>
      <c r="J6" s="2323"/>
      <c r="Q6" s="1664"/>
    </row>
    <row r="7" spans="1:17" x14ac:dyDescent="0.2">
      <c r="A7" s="2324" t="s">
        <v>869</v>
      </c>
      <c r="B7" s="2325"/>
      <c r="C7" s="2325"/>
      <c r="D7" s="2325"/>
      <c r="E7" s="2326"/>
      <c r="F7" s="1017"/>
      <c r="G7" s="1009"/>
      <c r="H7" s="1016" t="s">
        <v>372</v>
      </c>
      <c r="I7" s="2327">
        <f>COVER!A13</f>
        <v>20035001026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57019</v>
      </c>
      <c r="F12" s="1039"/>
      <c r="G12" s="1811">
        <f t="shared" ref="G12:G18" si="0">SUM(E12:F12)</f>
        <v>57019</v>
      </c>
      <c r="H12" s="1040">
        <v>135102</v>
      </c>
      <c r="I12" s="1039"/>
      <c r="J12" s="1811">
        <f t="shared" ref="J12:J18" si="1">SUM(H12:I12)</f>
        <v>135102</v>
      </c>
    </row>
    <row r="13" spans="1:17" ht="15" customHeight="1" x14ac:dyDescent="0.2">
      <c r="A13" s="1035">
        <v>2</v>
      </c>
      <c r="B13" s="1036" t="s">
        <v>42</v>
      </c>
      <c r="C13" s="1037"/>
      <c r="D13" s="1038">
        <v>2330</v>
      </c>
      <c r="E13" s="1811">
        <f>'Expenditures 15-22'!K51</f>
        <v>14533</v>
      </c>
      <c r="F13" s="1039"/>
      <c r="G13" s="1811">
        <f t="shared" si="0"/>
        <v>14533</v>
      </c>
      <c r="H13" s="1040">
        <v>12900</v>
      </c>
      <c r="I13" s="1039"/>
      <c r="J13" s="1811">
        <f t="shared" si="1"/>
        <v>12900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71552</v>
      </c>
      <c r="F19" s="1813">
        <f t="shared" si="2"/>
        <v>0</v>
      </c>
      <c r="G19" s="1813">
        <f t="shared" si="2"/>
        <v>71552</v>
      </c>
      <c r="H19" s="1813">
        <f t="shared" si="2"/>
        <v>148002</v>
      </c>
      <c r="I19" s="1813">
        <f t="shared" si="2"/>
        <v>0</v>
      </c>
      <c r="J19" s="1813">
        <f t="shared" si="2"/>
        <v>148002</v>
      </c>
    </row>
    <row r="20" spans="1:10" ht="13.5" thickTop="1" x14ac:dyDescent="0.2">
      <c r="A20" s="1035">
        <v>9</v>
      </c>
      <c r="B20" s="2334" t="s">
        <v>1981</v>
      </c>
      <c r="C20" s="2334"/>
      <c r="D20" s="2335"/>
      <c r="E20" s="1046"/>
      <c r="F20" s="1046"/>
      <c r="G20" s="1046"/>
      <c r="H20" s="1046"/>
      <c r="I20" s="1046"/>
      <c r="J20" s="1814">
        <f>IF(AND(G19&gt;0,J19&gt;0),(((J19-G19)/G19)),"Enter Budget Data")</f>
        <v>1.0684537119856887</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77&amp;C &amp;R&amp;8Page 77</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3"/>
  <sheetViews>
    <sheetView showGridLines="0" zoomScale="110" zoomScaleNormal="110" workbookViewId="0">
      <selection activeCell="C11" sqref="C11"/>
    </sheetView>
  </sheetViews>
  <sheetFormatPr defaultRowHeight="12.75" x14ac:dyDescent="0.2"/>
  <cols>
    <col min="1" max="1" width="5.7109375" style="329" customWidth="1"/>
    <col min="2" max="2" width="10.85546875" style="329" customWidth="1"/>
    <col min="3"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329" t="s">
        <v>259</v>
      </c>
    </row>
    <row r="5" spans="1:8" x14ac:dyDescent="0.2">
      <c r="A5" s="1068">
        <v>1</v>
      </c>
      <c r="B5" s="329" t="s">
        <v>2121</v>
      </c>
    </row>
    <row r="6" spans="1:8" ht="13.5" thickBot="1" x14ac:dyDescent="0.25">
      <c r="A6" s="1068"/>
      <c r="C6" s="329" t="s">
        <v>2122</v>
      </c>
      <c r="H6" s="1941">
        <v>999</v>
      </c>
    </row>
    <row r="7" spans="1:8" ht="13.5" thickTop="1" x14ac:dyDescent="0.2">
      <c r="A7" s="1068"/>
    </row>
    <row r="8" spans="1:8" x14ac:dyDescent="0.2">
      <c r="A8" s="1069">
        <v>2</v>
      </c>
      <c r="B8" s="329" t="s">
        <v>2123</v>
      </c>
    </row>
    <row r="9" spans="1:8" ht="13.5" thickBot="1" x14ac:dyDescent="0.25">
      <c r="A9" s="1069"/>
      <c r="C9" s="329" t="s">
        <v>1045</v>
      </c>
      <c r="H9" s="1941">
        <v>13885</v>
      </c>
    </row>
    <row r="10" spans="1:8" ht="13.5" thickTop="1" x14ac:dyDescent="0.2">
      <c r="A10" s="1069"/>
    </row>
    <row r="11" spans="1:8" x14ac:dyDescent="0.2">
      <c r="A11" s="1069">
        <v>3</v>
      </c>
      <c r="B11" s="329" t="s">
        <v>2129</v>
      </c>
    </row>
    <row r="12" spans="1:8" x14ac:dyDescent="0.2">
      <c r="A12" s="1069"/>
      <c r="C12" s="329" t="s">
        <v>2124</v>
      </c>
      <c r="H12" s="1940">
        <v>3300</v>
      </c>
    </row>
    <row r="13" spans="1:8" x14ac:dyDescent="0.2">
      <c r="A13" s="1069"/>
      <c r="C13" s="329" t="s">
        <v>2125</v>
      </c>
      <c r="H13" s="1942">
        <v>1156</v>
      </c>
    </row>
    <row r="14" spans="1:8" x14ac:dyDescent="0.2">
      <c r="A14" s="1069"/>
      <c r="C14" s="329" t="s">
        <v>1063</v>
      </c>
      <c r="H14" s="1943">
        <v>3600</v>
      </c>
    </row>
    <row r="15" spans="1:8" ht="13.5" thickBot="1" x14ac:dyDescent="0.25">
      <c r="A15" s="1069"/>
      <c r="H15" s="1944">
        <f>SUM(H12:H14)</f>
        <v>8056</v>
      </c>
    </row>
    <row r="16" spans="1:8" ht="13.5" thickTop="1" x14ac:dyDescent="0.2">
      <c r="A16" s="1069"/>
    </row>
    <row r="17" spans="1:8" x14ac:dyDescent="0.2">
      <c r="A17" s="1069">
        <v>4</v>
      </c>
      <c r="B17" s="329" t="s">
        <v>2126</v>
      </c>
    </row>
    <row r="18" spans="1:8" ht="13.5" thickBot="1" x14ac:dyDescent="0.25">
      <c r="A18" s="1069"/>
      <c r="C18" s="329" t="s">
        <v>2127</v>
      </c>
      <c r="H18" s="1941">
        <v>750</v>
      </c>
    </row>
    <row r="19" spans="1:8" ht="13.5" thickTop="1" x14ac:dyDescent="0.2">
      <c r="A19" s="1069"/>
    </row>
    <row r="20" spans="1:8" x14ac:dyDescent="0.2">
      <c r="A20" s="1069"/>
    </row>
    <row r="21" spans="1:8" x14ac:dyDescent="0.2">
      <c r="A21" s="1069"/>
    </row>
    <row r="22" spans="1:8" x14ac:dyDescent="0.2">
      <c r="A22" s="1069"/>
    </row>
    <row r="23" spans="1:8" x14ac:dyDescent="0.2">
      <c r="A23" s="1069"/>
    </row>
    <row r="24" spans="1:8" x14ac:dyDescent="0.2">
      <c r="A24" s="1069"/>
    </row>
    <row r="25" spans="1:8" x14ac:dyDescent="0.2">
      <c r="A25" s="1069"/>
    </row>
    <row r="26" spans="1:8" x14ac:dyDescent="0.2">
      <c r="A26" s="1069"/>
    </row>
    <row r="27" spans="1:8" x14ac:dyDescent="0.2">
      <c r="A27" s="1069"/>
    </row>
    <row r="28" spans="1:8" x14ac:dyDescent="0.2">
      <c r="A28" s="1069"/>
    </row>
    <row r="29" spans="1:8" x14ac:dyDescent="0.2">
      <c r="A29" s="1069"/>
    </row>
    <row r="30" spans="1:8" x14ac:dyDescent="0.2">
      <c r="A30" s="1069"/>
    </row>
    <row r="31" spans="1:8" x14ac:dyDescent="0.2">
      <c r="A31" s="1069"/>
    </row>
    <row r="32" spans="1:8"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Hardin County CUSD 1</v>
      </c>
    </row>
    <row r="63" spans="1:2" x14ac:dyDescent="0.2">
      <c r="B63" s="1070">
        <f>COVER!A13</f>
        <v>20035001026</v>
      </c>
    </row>
  </sheetData>
  <phoneticPr fontId="15"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390525</xdr:colOff>
                <xdr:row>2</xdr:row>
                <xdr:rowOff>152400</xdr:rowOff>
              </from>
              <to>
                <xdr:col>1</xdr:col>
                <xdr:colOff>1304925</xdr:colOff>
                <xdr:row>7</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1571625</xdr:colOff>
                <xdr:row>2</xdr:row>
                <xdr:rowOff>152400</xdr:rowOff>
              </from>
              <to>
                <xdr:col>1</xdr:col>
                <xdr:colOff>2486025</xdr:colOff>
                <xdr:row>7</xdr:row>
                <xdr:rowOff>114300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2781300</xdr:colOff>
                <xdr:row>2</xdr:row>
                <xdr:rowOff>142875</xdr:rowOff>
              </from>
              <to>
                <xdr:col>1</xdr:col>
                <xdr:colOff>3695700</xdr:colOff>
                <xdr:row>7</xdr:row>
                <xdr:rowOff>104775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4627435</v>
      </c>
      <c r="C8" s="1815">
        <f>'Acct Summary 7-8'!D8</f>
        <v>269878</v>
      </c>
      <c r="D8" s="1815">
        <f>'Acct Summary 7-8'!F8</f>
        <v>755690</v>
      </c>
      <c r="E8" s="1815">
        <f>'Acct Summary 7-8'!I8</f>
        <v>2006</v>
      </c>
      <c r="F8" s="1815">
        <f>SUM(B8:E8)</f>
        <v>5655009</v>
      </c>
    </row>
    <row r="9" spans="1:8" s="1079" customFormat="1" ht="14.25" customHeight="1" thickBot="1" x14ac:dyDescent="0.25">
      <c r="A9" s="1078" t="s">
        <v>1369</v>
      </c>
      <c r="B9" s="1816">
        <f>'Acct Summary 7-8'!C17</f>
        <v>3746103</v>
      </c>
      <c r="C9" s="1816">
        <f>'Acct Summary 7-8'!D17</f>
        <v>218121</v>
      </c>
      <c r="D9" s="1816">
        <f>'Acct Summary 7-8'!F17</f>
        <v>680240</v>
      </c>
      <c r="E9" s="1815"/>
      <c r="F9" s="1815">
        <f>SUM(B9:E9)</f>
        <v>4644464</v>
      </c>
    </row>
    <row r="10" spans="1:8" s="1079" customFormat="1" ht="14.25" thickTop="1" thickBot="1" x14ac:dyDescent="0.25">
      <c r="A10" s="1080" t="s">
        <v>1370</v>
      </c>
      <c r="B10" s="1817">
        <f>(B8-B9)</f>
        <v>881332</v>
      </c>
      <c r="C10" s="1817">
        <f>(C8-C9)</f>
        <v>51757</v>
      </c>
      <c r="D10" s="1817">
        <f>(D8-D9)</f>
        <v>75450</v>
      </c>
      <c r="E10" s="1816">
        <f>(E8-E9)</f>
        <v>2006</v>
      </c>
      <c r="F10" s="1818">
        <f>SUM(F8-F9)</f>
        <v>1010545</v>
      </c>
    </row>
    <row r="11" spans="1:8" s="1079" customFormat="1" ht="14.25" thickTop="1" thickBot="1" x14ac:dyDescent="0.25">
      <c r="A11" s="1081" t="s">
        <v>1985</v>
      </c>
      <c r="B11" s="1819">
        <f>'Acct Summary 7-8'!C81</f>
        <v>2419980</v>
      </c>
      <c r="C11" s="1819">
        <f>'Acct Summary 7-8'!D81</f>
        <v>159003</v>
      </c>
      <c r="D11" s="1819">
        <f>'Acct Summary 7-8'!F81</f>
        <v>289854</v>
      </c>
      <c r="E11" s="1819">
        <f>'Acct Summary 7-8'!I81</f>
        <v>6014</v>
      </c>
      <c r="F11" s="1820">
        <f>SUM(B11:E11)</f>
        <v>2874851</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75&amp;R&amp;8Page 75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61" sqref="C6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20035001026</v>
      </c>
    </row>
    <row r="3" spans="1:2" x14ac:dyDescent="0.2">
      <c r="A3" t="s">
        <v>956</v>
      </c>
      <c r="B3" s="138" t="str">
        <f>COVER!A15</f>
        <v>Hardin</v>
      </c>
    </row>
    <row r="4" spans="1:2" x14ac:dyDescent="0.2">
      <c r="A4" t="s">
        <v>1007</v>
      </c>
      <c r="B4" s="138" t="str">
        <f>COVER!A17</f>
        <v>Hardin County CUSD 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060-009547</v>
      </c>
    </row>
    <row r="16" spans="1:2" x14ac:dyDescent="0.2">
      <c r="A16" t="s">
        <v>422</v>
      </c>
      <c r="B16" s="138" t="str">
        <f>COVER!T13</f>
        <v>Greg M. McCalley &amp; Associates, P.C.</v>
      </c>
    </row>
    <row r="17" spans="1:2" x14ac:dyDescent="0.2">
      <c r="A17" t="s">
        <v>884</v>
      </c>
      <c r="B17" s="138" t="str">
        <f>COVER!T15</f>
        <v xml:space="preserve">Greg M. McCalley  </v>
      </c>
    </row>
    <row r="18" spans="1:2" x14ac:dyDescent="0.2">
      <c r="A18" t="s">
        <v>1150</v>
      </c>
      <c r="B18" s="138" t="str">
        <f>COVER!T17</f>
        <v>855 E. Ferguson Ave.</v>
      </c>
    </row>
    <row r="19" spans="1:2" x14ac:dyDescent="0.2">
      <c r="A19" t="s">
        <v>886</v>
      </c>
      <c r="B19" s="138" t="str">
        <f>COVER!T25</f>
        <v>Greg@dmacpa.com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2419980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2419980</v>
      </c>
      <c r="D92" s="2" t="str">
        <f t="shared" si="0"/>
        <v>Error?</v>
      </c>
    </row>
    <row r="93" spans="1:4" x14ac:dyDescent="0.2">
      <c r="A93" s="5">
        <v>32</v>
      </c>
      <c r="B93" s="138">
        <f>'Assets-Liab 5-6'!C41</f>
        <v>2419980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159003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159003</v>
      </c>
      <c r="D123" s="2" t="str">
        <f t="shared" si="0"/>
        <v>Error?</v>
      </c>
    </row>
    <row r="124" spans="1:4" x14ac:dyDescent="0.2">
      <c r="A124" s="5">
        <v>63</v>
      </c>
      <c r="B124" s="138">
        <f>'Assets-Liab 5-6'!D41</f>
        <v>159003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86907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86907</v>
      </c>
      <c r="D140" s="2" t="str">
        <f t="shared" si="1"/>
        <v>Error?</v>
      </c>
    </row>
    <row r="141" spans="1:4" x14ac:dyDescent="0.2">
      <c r="A141" s="5">
        <v>80</v>
      </c>
      <c r="B141" s="138">
        <f>'Assets-Liab 5-6'!E41</f>
        <v>86907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289854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289854</v>
      </c>
      <c r="D170" s="2" t="str">
        <f t="shared" si="1"/>
        <v>Error?</v>
      </c>
    </row>
    <row r="171" spans="1:4" x14ac:dyDescent="0.2">
      <c r="A171" s="5">
        <v>110</v>
      </c>
      <c r="B171" s="138">
        <f>'Assets-Liab 5-6'!F41</f>
        <v>289854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171943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171943</v>
      </c>
      <c r="D189" s="2" t="str">
        <f t="shared" si="1"/>
        <v>Error?</v>
      </c>
    </row>
    <row r="190" spans="1:4" x14ac:dyDescent="0.2">
      <c r="A190" s="5">
        <v>129</v>
      </c>
      <c r="B190" s="138">
        <f>'Assets-Liab 5-6'!G41</f>
        <v>171943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122608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122608</v>
      </c>
      <c r="D212" s="2" t="str">
        <f t="shared" si="2"/>
        <v>Error?</v>
      </c>
    </row>
    <row r="213" spans="1:4" x14ac:dyDescent="0.2">
      <c r="A213" s="12">
        <v>152</v>
      </c>
      <c r="B213" s="138">
        <f>'Assets-Liab 5-6'!H41</f>
        <v>122608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80245</v>
      </c>
      <c r="D273" s="2" t="str">
        <f t="shared" si="3"/>
        <v>Error?</v>
      </c>
    </row>
    <row r="274" spans="1:4" x14ac:dyDescent="0.2">
      <c r="A274" s="5">
        <v>213</v>
      </c>
      <c r="B274" s="138">
        <f>'Assets-Liab 5-6'!M17</f>
        <v>9312004</v>
      </c>
      <c r="D274" s="2" t="str">
        <f t="shared" si="3"/>
        <v>Error?</v>
      </c>
    </row>
    <row r="275" spans="1:4" x14ac:dyDescent="0.2">
      <c r="A275" s="5">
        <v>214</v>
      </c>
      <c r="B275" s="138">
        <f>'Assets-Liab 5-6'!M18</f>
        <v>0</v>
      </c>
      <c r="D275" s="2" t="str">
        <f t="shared" si="3"/>
        <v>Error?</v>
      </c>
    </row>
    <row r="276" spans="1:4" x14ac:dyDescent="0.2">
      <c r="A276" s="5">
        <v>215</v>
      </c>
      <c r="B276" s="138">
        <f>'Assets-Liab 5-6'!M19</f>
        <v>2056889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11449138</v>
      </c>
      <c r="C279" s="2" t="s">
        <v>573</v>
      </c>
      <c r="D279" s="2" t="str">
        <f t="shared" si="3"/>
        <v>Error?</v>
      </c>
    </row>
    <row r="280" spans="1:4" x14ac:dyDescent="0.2">
      <c r="A280" s="5">
        <v>219</v>
      </c>
      <c r="B280" s="138">
        <f>'Assets-Liab 5-6'!M40</f>
        <v>11449138</v>
      </c>
      <c r="D280" s="2" t="str">
        <f t="shared" si="3"/>
        <v>Error?</v>
      </c>
    </row>
    <row r="281" spans="1:4" x14ac:dyDescent="0.2">
      <c r="A281" s="5">
        <v>220</v>
      </c>
      <c r="B281" s="138">
        <f>'Assets-Liab 5-6'!M41</f>
        <v>11449138</v>
      </c>
      <c r="C281" s="2" t="s">
        <v>573</v>
      </c>
      <c r="D281" s="2" t="str">
        <f t="shared" si="3"/>
        <v>Error?</v>
      </c>
    </row>
    <row r="282" spans="1:4" x14ac:dyDescent="0.2">
      <c r="A282" s="5">
        <v>221</v>
      </c>
      <c r="B282" s="138">
        <f>'Assets-Liab 5-6'!N21</f>
        <v>86907</v>
      </c>
      <c r="D282" s="2" t="str">
        <f t="shared" si="3"/>
        <v>Error?</v>
      </c>
    </row>
    <row r="283" spans="1:4" x14ac:dyDescent="0.2">
      <c r="A283" s="5">
        <v>222</v>
      </c>
      <c r="B283" s="138">
        <f>'Assets-Liab 5-6'!N22</f>
        <v>409093</v>
      </c>
      <c r="D283" s="2" t="str">
        <f t="shared" si="3"/>
        <v>Error?</v>
      </c>
    </row>
    <row r="284" spans="1:4" x14ac:dyDescent="0.2">
      <c r="A284" s="5">
        <v>223</v>
      </c>
      <c r="B284" s="138">
        <f>'Assets-Liab 5-6'!N23</f>
        <v>496000</v>
      </c>
      <c r="C284" s="2" t="s">
        <v>573</v>
      </c>
      <c r="D284" s="2" t="str">
        <f t="shared" si="3"/>
        <v>Error?</v>
      </c>
    </row>
    <row r="285" spans="1:4" x14ac:dyDescent="0.2">
      <c r="A285" s="5">
        <v>224</v>
      </c>
      <c r="B285" s="138">
        <f>'Assets-Liab 5-6'!N36</f>
        <v>496000</v>
      </c>
      <c r="D285" s="2" t="str">
        <f t="shared" si="3"/>
        <v>Error?</v>
      </c>
    </row>
    <row r="286" spans="1:4" x14ac:dyDescent="0.2">
      <c r="A286" s="10">
        <v>225</v>
      </c>
      <c r="D286" s="2" t="str">
        <f t="shared" si="3"/>
        <v>OK</v>
      </c>
    </row>
    <row r="287" spans="1:4" x14ac:dyDescent="0.2">
      <c r="A287" s="5">
        <v>226</v>
      </c>
      <c r="B287" s="138">
        <f>'Assets-Liab 5-6'!N37</f>
        <v>496000</v>
      </c>
      <c r="C287" s="2" t="s">
        <v>573</v>
      </c>
      <c r="D287" s="2" t="str">
        <f t="shared" si="3"/>
        <v>Error?</v>
      </c>
    </row>
    <row r="288" spans="1:4" x14ac:dyDescent="0.2">
      <c r="A288" s="5">
        <v>227</v>
      </c>
      <c r="B288" s="138">
        <f>'Assets-Liab 5-6'!N41</f>
        <v>496000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1099090</v>
      </c>
      <c r="D705" s="2" t="str">
        <f t="shared" si="10"/>
        <v>Error?</v>
      </c>
    </row>
    <row r="706" spans="1:4" x14ac:dyDescent="0.2">
      <c r="A706" s="5">
        <v>645</v>
      </c>
      <c r="B706" s="138">
        <f>'Expenditures 15-22'!C16</f>
        <v>1304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113058</v>
      </c>
      <c r="D717" s="2" t="str">
        <f t="shared" si="10"/>
        <v>Error?</v>
      </c>
    </row>
    <row r="718" spans="1:4" x14ac:dyDescent="0.2">
      <c r="A718" s="5">
        <v>657</v>
      </c>
      <c r="B718" s="138">
        <f>'Expenditures 15-22'!C14</f>
        <v>19956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1845205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41170</v>
      </c>
      <c r="D722" s="2" t="str">
        <f t="shared" si="10"/>
        <v>Error?</v>
      </c>
    </row>
    <row r="723" spans="1:4" x14ac:dyDescent="0.2">
      <c r="A723" s="5">
        <v>662</v>
      </c>
      <c r="B723" s="138">
        <f>'Expenditures 15-22'!C38</f>
        <v>22184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63354</v>
      </c>
      <c r="C727" s="2" t="s">
        <v>573</v>
      </c>
      <c r="D727" s="2" t="str">
        <f t="shared" si="10"/>
        <v>Error?</v>
      </c>
    </row>
    <row r="728" spans="1:4" x14ac:dyDescent="0.2">
      <c r="A728" s="5">
        <v>667</v>
      </c>
      <c r="B728" s="138">
        <f>'Expenditures 15-22'!C44</f>
        <v>4147</v>
      </c>
      <c r="D728" s="2" t="str">
        <f t="shared" si="10"/>
        <v>Error?</v>
      </c>
    </row>
    <row r="729" spans="1:4" x14ac:dyDescent="0.2">
      <c r="A729" s="5">
        <v>668</v>
      </c>
      <c r="B729" s="138">
        <f>'Expenditures 15-22'!C45</f>
        <v>14180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18327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50139</v>
      </c>
      <c r="D733" s="2" t="str">
        <f t="shared" si="10"/>
        <v>Error?</v>
      </c>
    </row>
    <row r="734" spans="1:4" x14ac:dyDescent="0.2">
      <c r="A734" s="5">
        <v>673</v>
      </c>
      <c r="B734" s="138">
        <f>'Expenditures 15-22'!C53</f>
        <v>64672</v>
      </c>
      <c r="C734" s="2" t="s">
        <v>573</v>
      </c>
      <c r="D734" s="2" t="str">
        <f t="shared" si="10"/>
        <v>Error?</v>
      </c>
    </row>
    <row r="735" spans="1:4" x14ac:dyDescent="0.2">
      <c r="A735" s="5">
        <v>674</v>
      </c>
      <c r="B735" s="138">
        <f>'Expenditures 15-22'!C55</f>
        <v>215407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215407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88240</v>
      </c>
      <c r="D739" s="2" t="str">
        <f t="shared" si="10"/>
        <v>Error?</v>
      </c>
    </row>
    <row r="740" spans="1:4" x14ac:dyDescent="0.2">
      <c r="A740" s="5">
        <v>679</v>
      </c>
      <c r="B740" s="138">
        <f>'Expenditures 15-22'!C61</f>
        <v>139902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79155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307297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35771</v>
      </c>
      <c r="D751" s="2" t="str">
        <f t="shared" si="10"/>
        <v>Error?</v>
      </c>
    </row>
    <row r="752" spans="1:4" x14ac:dyDescent="0.2">
      <c r="A752" s="10">
        <v>691</v>
      </c>
      <c r="D752" s="2" t="str">
        <f t="shared" si="10"/>
        <v>OK</v>
      </c>
    </row>
    <row r="753" spans="1:4" x14ac:dyDescent="0.2">
      <c r="A753" s="5">
        <v>692</v>
      </c>
      <c r="B753" s="138">
        <f>'Expenditures 15-22'!C72</f>
        <v>35771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704828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2550033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240390</v>
      </c>
      <c r="D763" s="2" t="str">
        <f t="shared" si="10"/>
        <v>Error?</v>
      </c>
    </row>
    <row r="764" spans="1:4" x14ac:dyDescent="0.2">
      <c r="A764" s="5">
        <v>703</v>
      </c>
      <c r="B764" s="138">
        <f>'Expenditures 15-22'!D16</f>
        <v>182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29676</v>
      </c>
      <c r="D775" s="2" t="str">
        <f t="shared" si="11"/>
        <v>Error?</v>
      </c>
    </row>
    <row r="776" spans="1:4" x14ac:dyDescent="0.2">
      <c r="A776" s="5">
        <v>715</v>
      </c>
      <c r="B776" s="138">
        <f>'Expenditures 15-22'!D14</f>
        <v>295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383936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13169</v>
      </c>
      <c r="D780" s="2" t="str">
        <f t="shared" si="11"/>
        <v>Error?</v>
      </c>
    </row>
    <row r="781" spans="1:4" x14ac:dyDescent="0.2">
      <c r="A781" s="5">
        <v>720</v>
      </c>
      <c r="B781" s="138">
        <f>'Expenditures 15-22'!D38</f>
        <v>3737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16906</v>
      </c>
      <c r="C785" s="2" t="s">
        <v>573</v>
      </c>
      <c r="D785" s="2" t="str">
        <f t="shared" si="11"/>
        <v>Error?</v>
      </c>
    </row>
    <row r="786" spans="1:4" x14ac:dyDescent="0.2">
      <c r="A786" s="5">
        <v>725</v>
      </c>
      <c r="B786" s="138">
        <f>'Expenditures 15-22'!D44</f>
        <v>487</v>
      </c>
      <c r="D786" s="2" t="str">
        <f t="shared" si="11"/>
        <v>Error?</v>
      </c>
    </row>
    <row r="787" spans="1:4" x14ac:dyDescent="0.2">
      <c r="A787" s="5">
        <v>726</v>
      </c>
      <c r="B787" s="138">
        <f>'Expenditures 15-22'!D45</f>
        <v>4594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5081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3260</v>
      </c>
      <c r="D791" s="2" t="str">
        <f t="shared" si="11"/>
        <v>Error?</v>
      </c>
    </row>
    <row r="792" spans="1:4" x14ac:dyDescent="0.2">
      <c r="A792" s="5">
        <v>731</v>
      </c>
      <c r="B792" s="138">
        <f>'Expenditures 15-22'!D53</f>
        <v>3260</v>
      </c>
      <c r="C792" s="2" t="s">
        <v>573</v>
      </c>
      <c r="D792" s="2" t="str">
        <f t="shared" si="11"/>
        <v>Error?</v>
      </c>
    </row>
    <row r="793" spans="1:4" x14ac:dyDescent="0.2">
      <c r="A793" s="5">
        <v>732</v>
      </c>
      <c r="B793" s="138">
        <f>'Expenditures 15-22'!D55</f>
        <v>27665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27665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6674</v>
      </c>
      <c r="D797" s="2" t="str">
        <f t="shared" si="11"/>
        <v>Error?</v>
      </c>
    </row>
    <row r="798" spans="1:4" x14ac:dyDescent="0.2">
      <c r="A798" s="5">
        <v>737</v>
      </c>
      <c r="B798" s="138">
        <f>'Expenditures 15-22'!D61</f>
        <v>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13348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20082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6662</v>
      </c>
      <c r="D809" s="2" t="str">
        <f t="shared" si="11"/>
        <v>Error?</v>
      </c>
    </row>
    <row r="810" spans="1:4" x14ac:dyDescent="0.2">
      <c r="A810" s="10">
        <v>749</v>
      </c>
      <c r="D810" s="2" t="str">
        <f t="shared" si="11"/>
        <v>OK</v>
      </c>
    </row>
    <row r="811" spans="1:4" x14ac:dyDescent="0.2">
      <c r="A811" s="5">
        <v>750</v>
      </c>
      <c r="B811" s="138">
        <f>'Expenditures 15-22'!D72</f>
        <v>6662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79656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463592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9648</v>
      </c>
      <c r="D821" s="2" t="str">
        <f t="shared" si="11"/>
        <v>Error?</v>
      </c>
    </row>
    <row r="822" spans="1:4" x14ac:dyDescent="0.2">
      <c r="A822" s="5">
        <v>761</v>
      </c>
      <c r="B822" s="138">
        <f>'Expenditures 15-22'!E16</f>
        <v>1000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808</v>
      </c>
      <c r="D833" s="2" t="str">
        <f t="shared" si="12"/>
        <v>Error?</v>
      </c>
    </row>
    <row r="834" spans="1:4" x14ac:dyDescent="0.2">
      <c r="A834" s="5">
        <v>773</v>
      </c>
      <c r="B834" s="138">
        <f>'Expenditures 15-22'!E14</f>
        <v>15536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51841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155</v>
      </c>
      <c r="D838" s="2" t="str">
        <f t="shared" si="12"/>
        <v>Error?</v>
      </c>
    </row>
    <row r="839" spans="1:4" x14ac:dyDescent="0.2">
      <c r="A839" s="5">
        <v>778</v>
      </c>
      <c r="B839" s="138">
        <f>'Expenditures 15-22'!E38</f>
        <v>3115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3270</v>
      </c>
      <c r="C843" s="2" t="s">
        <v>573</v>
      </c>
      <c r="D843" s="2" t="str">
        <f t="shared" si="12"/>
        <v>Error?</v>
      </c>
    </row>
    <row r="844" spans="1:4" x14ac:dyDescent="0.2">
      <c r="A844" s="5">
        <v>783</v>
      </c>
      <c r="B844" s="138">
        <f>'Expenditures 15-22'!E44</f>
        <v>14530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14530</v>
      </c>
      <c r="C847" s="2" t="s">
        <v>573</v>
      </c>
      <c r="D847" s="2" t="str">
        <f t="shared" si="12"/>
        <v>Error?</v>
      </c>
    </row>
    <row r="848" spans="1:4" x14ac:dyDescent="0.2">
      <c r="A848" s="5">
        <v>787</v>
      </c>
      <c r="B848" s="138">
        <f>'Expenditures 15-22'!E49</f>
        <v>11758</v>
      </c>
      <c r="D848" s="2" t="str">
        <f t="shared" si="12"/>
        <v>Error?</v>
      </c>
    </row>
    <row r="849" spans="1:4" x14ac:dyDescent="0.2">
      <c r="A849" s="5">
        <v>788</v>
      </c>
      <c r="B849" s="138">
        <f>'Expenditures 15-22'!E50</f>
        <v>2845</v>
      </c>
      <c r="D849" s="2" t="str">
        <f t="shared" si="12"/>
        <v>Error?</v>
      </c>
    </row>
    <row r="850" spans="1:4" x14ac:dyDescent="0.2">
      <c r="A850" s="5">
        <v>789</v>
      </c>
      <c r="B850" s="138">
        <f>'Expenditures 15-22'!E53</f>
        <v>14603</v>
      </c>
      <c r="C850" s="2" t="s">
        <v>573</v>
      </c>
      <c r="D850" s="2" t="str">
        <f t="shared" si="12"/>
        <v>Error?</v>
      </c>
    </row>
    <row r="851" spans="1:4" x14ac:dyDescent="0.2">
      <c r="A851" s="5">
        <v>790</v>
      </c>
      <c r="B851" s="138">
        <f>'Expenditures 15-22'!E55</f>
        <v>12462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12462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4543</v>
      </c>
      <c r="D855" s="2" t="str">
        <f t="shared" si="12"/>
        <v>Error?</v>
      </c>
    </row>
    <row r="856" spans="1:4" x14ac:dyDescent="0.2">
      <c r="A856" s="5">
        <v>795</v>
      </c>
      <c r="B856" s="138">
        <f>'Expenditures 15-22'!E61</f>
        <v>58772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66948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111813</v>
      </c>
      <c r="C871" s="2" t="s">
        <v>573</v>
      </c>
      <c r="D871" s="2" t="str">
        <f t="shared" si="12"/>
        <v>Error?</v>
      </c>
    </row>
    <row r="872" spans="1:4" x14ac:dyDescent="0.2">
      <c r="A872" s="5">
        <v>811</v>
      </c>
      <c r="B872" s="138">
        <f>'Expenditures 15-22'!E75</f>
        <v>1475</v>
      </c>
      <c r="D872" s="2" t="str">
        <f t="shared" si="12"/>
        <v>Error?</v>
      </c>
    </row>
    <row r="873" spans="1:4" x14ac:dyDescent="0.2">
      <c r="A873" s="5">
        <v>812</v>
      </c>
      <c r="B873" s="138">
        <f>'Expenditures 15-22'!E114</f>
        <v>165129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44595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5073</v>
      </c>
      <c r="D891" s="2" t="str">
        <f t="shared" si="12"/>
        <v>Error?</v>
      </c>
    </row>
    <row r="892" spans="1:4" x14ac:dyDescent="0.2">
      <c r="A892" s="5">
        <v>831</v>
      </c>
      <c r="B892" s="138">
        <f>'Expenditures 15-22'!F14</f>
        <v>3488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113165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135</v>
      </c>
      <c r="D896" s="2" t="str">
        <f t="shared" si="13"/>
        <v>Error?</v>
      </c>
    </row>
    <row r="897" spans="1:4" x14ac:dyDescent="0.2">
      <c r="A897" s="5">
        <v>836</v>
      </c>
      <c r="B897" s="138">
        <f>'Expenditures 15-22'!F38</f>
        <v>990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321</v>
      </c>
      <c r="C905" s="2" t="s">
        <v>573</v>
      </c>
      <c r="D905" s="2" t="str">
        <f t="shared" si="13"/>
        <v>Error?</v>
      </c>
    </row>
    <row r="906" spans="1:4" x14ac:dyDescent="0.2">
      <c r="A906" s="5">
        <v>845</v>
      </c>
      <c r="B906" s="138">
        <f>'Expenditures 15-22'!F49</f>
        <v>1519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1519</v>
      </c>
      <c r="C908" s="2" t="s">
        <v>573</v>
      </c>
      <c r="D908" s="2" t="str">
        <f t="shared" si="13"/>
        <v>Error?</v>
      </c>
    </row>
    <row r="909" spans="1:4" x14ac:dyDescent="0.2">
      <c r="A909" s="5">
        <v>848</v>
      </c>
      <c r="B909" s="138">
        <f>'Expenditures 15-22'!F55</f>
        <v>2317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1170</v>
      </c>
      <c r="D913" s="2" t="str">
        <f t="shared" si="13"/>
        <v>Error?</v>
      </c>
    </row>
    <row r="914" spans="1:4" x14ac:dyDescent="0.2">
      <c r="A914" s="5">
        <v>853</v>
      </c>
      <c r="B914" s="138">
        <f>'Expenditures 15-22'!F61</f>
        <v>61383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236381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298934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4362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4362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308578</v>
      </c>
      <c r="C929" s="2" t="s">
        <v>573</v>
      </c>
      <c r="D929" s="2" t="str">
        <f t="shared" si="13"/>
        <v>Error?</v>
      </c>
    </row>
    <row r="930" spans="1:4" x14ac:dyDescent="0.2">
      <c r="A930" s="5">
        <v>869</v>
      </c>
      <c r="B930" s="138">
        <f>'Expenditures 15-22'!F75</f>
        <v>600</v>
      </c>
      <c r="D930" s="2" t="str">
        <f t="shared" si="13"/>
        <v>Error?</v>
      </c>
    </row>
    <row r="931" spans="1:4" x14ac:dyDescent="0.2">
      <c r="A931" s="5">
        <v>870</v>
      </c>
      <c r="B931" s="138">
        <f>'Expenditures 15-22'!F114</f>
        <v>422343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8879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845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9724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530</v>
      </c>
      <c r="D965" s="2" t="str">
        <f t="shared" si="14"/>
        <v>Error?</v>
      </c>
    </row>
    <row r="966" spans="1:4" x14ac:dyDescent="0.2">
      <c r="A966" s="5">
        <v>905</v>
      </c>
      <c r="B966" s="138">
        <f>'Expenditures 15-22'!G53</f>
        <v>530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526</v>
      </c>
      <c r="D971" s="2" t="str">
        <f t="shared" si="14"/>
        <v>Error?</v>
      </c>
    </row>
    <row r="972" spans="1:4" x14ac:dyDescent="0.2">
      <c r="A972" s="5">
        <v>911</v>
      </c>
      <c r="B972" s="138">
        <f>'Expenditures 15-22'!G61</f>
        <v>13185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13175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26886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27416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37140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1051</v>
      </c>
      <c r="C995" s="9"/>
      <c r="D995" s="2" t="str">
        <f t="shared" si="14"/>
        <v>Error?</v>
      </c>
    </row>
    <row r="996" spans="1:4" x14ac:dyDescent="0.2">
      <c r="A996" s="5">
        <v>935</v>
      </c>
      <c r="B996" s="138">
        <f>'Expenditures 15-22'!H16</f>
        <v>631</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1030</v>
      </c>
      <c r="D1007" s="2" t="str">
        <f t="shared" si="14"/>
        <v>Error?</v>
      </c>
    </row>
    <row r="1008" spans="1:4" x14ac:dyDescent="0.2">
      <c r="A1008" s="5">
        <v>947</v>
      </c>
      <c r="B1008" s="138">
        <f>'Expenditures 15-22'!H14</f>
        <v>870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3807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8362</v>
      </c>
      <c r="D1022" s="2" t="str">
        <f t="shared" si="14"/>
        <v>Error?</v>
      </c>
    </row>
    <row r="1023" spans="1:4" x14ac:dyDescent="0.2">
      <c r="A1023" s="5">
        <v>962</v>
      </c>
      <c r="B1023" s="138">
        <f>'Expenditures 15-22'!H50</f>
        <v>245</v>
      </c>
      <c r="D1023" s="2" t="str">
        <f t="shared" ref="D1023:D1086" si="15">IF(ISBLANK(B1023),"OK",IF(A1023-B1023=0,"OK","Error?"))</f>
        <v>Error?</v>
      </c>
    </row>
    <row r="1024" spans="1:4" x14ac:dyDescent="0.2">
      <c r="A1024" s="5">
        <v>963</v>
      </c>
      <c r="B1024" s="138">
        <f>'Expenditures 15-22'!H53</f>
        <v>8607</v>
      </c>
      <c r="C1024" s="2" t="s">
        <v>573</v>
      </c>
      <c r="D1024" s="2" t="str">
        <f t="shared" si="15"/>
        <v>Error?</v>
      </c>
    </row>
    <row r="1025" spans="1:4" x14ac:dyDescent="0.2">
      <c r="A1025" s="5">
        <v>964</v>
      </c>
      <c r="B1025" s="138">
        <f>'Expenditures 15-22'!H55</f>
        <v>860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9467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94592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107866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1403653</v>
      </c>
      <c r="C1093" s="2" t="s">
        <v>573</v>
      </c>
      <c r="D1093" s="2" t="str">
        <f t="shared" si="16"/>
        <v>Error?</v>
      </c>
    </row>
    <row r="1094" spans="1:4" x14ac:dyDescent="0.2">
      <c r="A1094" s="5">
        <v>1033</v>
      </c>
      <c r="B1094" s="138">
        <f>'Expenditures 15-22'!K16</f>
        <v>3117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150490</v>
      </c>
      <c r="C1105" s="2" t="s">
        <v>573</v>
      </c>
      <c r="D1105" s="2" t="str">
        <f t="shared" si="16"/>
        <v>Error?</v>
      </c>
    </row>
    <row r="1106" spans="1:4" x14ac:dyDescent="0.2">
      <c r="A1106" s="5">
        <v>1045</v>
      </c>
      <c r="B1106" s="138">
        <f>'Expenditures 15-22'!K14</f>
        <v>40145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2407678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54629</v>
      </c>
      <c r="C1110" s="2" t="s">
        <v>573</v>
      </c>
      <c r="D1110" s="2" t="str">
        <f t="shared" si="16"/>
        <v>Error?</v>
      </c>
    </row>
    <row r="1111" spans="1:4" x14ac:dyDescent="0.2">
      <c r="A1111" s="5">
        <v>1050</v>
      </c>
      <c r="B1111" s="138">
        <f>'Expenditures 15-22'!K38</f>
        <v>30026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84655</v>
      </c>
      <c r="C1115" s="2" t="s">
        <v>573</v>
      </c>
      <c r="D1115" s="2" t="str">
        <f t="shared" si="16"/>
        <v>Error?</v>
      </c>
    </row>
    <row r="1116" spans="1:4" x14ac:dyDescent="0.2">
      <c r="A1116" s="5">
        <v>1055</v>
      </c>
      <c r="B1116" s="138">
        <f>'Expenditures 15-22'!K44</f>
        <v>19164</v>
      </c>
      <c r="C1116" s="2" t="s">
        <v>573</v>
      </c>
      <c r="D1116" s="2" t="str">
        <f t="shared" si="16"/>
        <v>Error?</v>
      </c>
    </row>
    <row r="1117" spans="1:4" x14ac:dyDescent="0.2">
      <c r="A1117" s="5">
        <v>1056</v>
      </c>
      <c r="B1117" s="138">
        <f>'Expenditures 15-22'!K45</f>
        <v>19095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38259</v>
      </c>
      <c r="C1119" s="2" t="s">
        <v>573</v>
      </c>
      <c r="D1119" s="2" t="str">
        <f t="shared" si="16"/>
        <v>Error?</v>
      </c>
    </row>
    <row r="1120" spans="1:4" x14ac:dyDescent="0.2">
      <c r="A1120" s="5">
        <v>1059</v>
      </c>
      <c r="B1120" s="138">
        <f>'Expenditures 15-22'!K49</f>
        <v>21639</v>
      </c>
      <c r="C1120" s="2" t="s">
        <v>573</v>
      </c>
      <c r="D1120" s="2" t="str">
        <f t="shared" si="16"/>
        <v>Error?</v>
      </c>
    </row>
    <row r="1121" spans="1:4" x14ac:dyDescent="0.2">
      <c r="A1121" s="5">
        <v>1060</v>
      </c>
      <c r="B1121" s="138">
        <f>'Expenditures 15-22'!K50</f>
        <v>57019</v>
      </c>
      <c r="C1121" s="2" t="s">
        <v>573</v>
      </c>
      <c r="D1121" s="2" t="str">
        <f t="shared" si="16"/>
        <v>Error?</v>
      </c>
    </row>
    <row r="1122" spans="1:4" x14ac:dyDescent="0.2">
      <c r="A1122" s="5">
        <v>1061</v>
      </c>
      <c r="B1122" s="138">
        <f>'Expenditures 15-22'!K53</f>
        <v>93191</v>
      </c>
      <c r="C1122" s="2" t="s">
        <v>573</v>
      </c>
      <c r="D1122" s="2" t="str">
        <f t="shared" si="16"/>
        <v>Error?</v>
      </c>
    </row>
    <row r="1123" spans="1:4" x14ac:dyDescent="0.2">
      <c r="A1123" s="5">
        <v>1062</v>
      </c>
      <c r="B1123" s="138">
        <f>'Expenditures 15-22'!K55</f>
        <v>258711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258711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101153</v>
      </c>
      <c r="C1127" s="2" t="s">
        <v>573</v>
      </c>
      <c r="D1127" s="2" t="str">
        <f t="shared" si="16"/>
        <v>Error?</v>
      </c>
    </row>
    <row r="1128" spans="1:4" x14ac:dyDescent="0.2">
      <c r="A1128" s="5">
        <v>1067</v>
      </c>
      <c r="B1128" s="138">
        <f>'Expenditures 15-22'!K61</f>
        <v>273302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345692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720147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4362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42433</v>
      </c>
      <c r="C1139" s="2" t="s">
        <v>573</v>
      </c>
      <c r="D1139" s="2" t="str">
        <f t="shared" si="16"/>
        <v>Error?</v>
      </c>
    </row>
    <row r="1140" spans="1:4" x14ac:dyDescent="0.2">
      <c r="A1140" s="10">
        <v>1079</v>
      </c>
      <c r="D1140" s="2" t="str">
        <f t="shared" si="16"/>
        <v>OK</v>
      </c>
    </row>
    <row r="1141" spans="1:4" x14ac:dyDescent="0.2">
      <c r="A1141" s="5">
        <v>1080</v>
      </c>
      <c r="B1141" s="138">
        <f>'Expenditures 15-22'!K72</f>
        <v>46795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1241758</v>
      </c>
      <c r="C1143" s="2" t="s">
        <v>573</v>
      </c>
      <c r="D1143" s="2" t="str">
        <f t="shared" si="16"/>
        <v>Error?</v>
      </c>
    </row>
    <row r="1144" spans="1:4" x14ac:dyDescent="0.2">
      <c r="A1144" s="5">
        <v>1083</v>
      </c>
      <c r="B1144" s="138">
        <f>'Expenditures 15-22'!K75</f>
        <v>2075</v>
      </c>
      <c r="C1144" s="2" t="s">
        <v>573</v>
      </c>
      <c r="D1144" s="2" t="str">
        <f t="shared" si="16"/>
        <v>Error?</v>
      </c>
    </row>
    <row r="1145" spans="1:4" x14ac:dyDescent="0.2">
      <c r="A1145" s="5">
        <v>1084</v>
      </c>
      <c r="B1145" s="138">
        <f>'Expenditures 15-22'!K102</f>
        <v>94592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3746103</v>
      </c>
      <c r="C1152" s="2" t="s">
        <v>573</v>
      </c>
      <c r="D1152" s="2" t="str">
        <f t="shared" si="17"/>
        <v>Error?</v>
      </c>
    </row>
    <row r="1153" spans="1:4" x14ac:dyDescent="0.2">
      <c r="A1153" s="5">
        <v>1092</v>
      </c>
      <c r="B1153" s="138">
        <f>'Expenditures 15-22'!K115</f>
        <v>881332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4084</v>
      </c>
      <c r="D1237" s="2" t="str">
        <f t="shared" si="18"/>
        <v>Error?</v>
      </c>
    </row>
    <row r="1238" spans="1:4" x14ac:dyDescent="0.2">
      <c r="A1238" s="10">
        <v>1177</v>
      </c>
      <c r="D1238" s="2" t="str">
        <f t="shared" si="18"/>
        <v>OK</v>
      </c>
    </row>
    <row r="1239" spans="1:4" x14ac:dyDescent="0.2">
      <c r="A1239" s="5">
        <v>1178</v>
      </c>
      <c r="B1239" s="138">
        <f>'Expenditures 15-22'!E127</f>
        <v>4084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4084</v>
      </c>
      <c r="C1241" s="2" t="s">
        <v>573</v>
      </c>
      <c r="D1241" s="2" t="str">
        <f t="shared" si="18"/>
        <v>Error?</v>
      </c>
    </row>
    <row r="1242" spans="1:4" x14ac:dyDescent="0.2">
      <c r="A1242" s="5">
        <v>1181</v>
      </c>
      <c r="B1242" s="138">
        <f>'Expenditures 15-22'!E151</f>
        <v>4084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199037</v>
      </c>
      <c r="D1245" s="2" t="str">
        <f t="shared" si="18"/>
        <v>Error?</v>
      </c>
    </row>
    <row r="1246" spans="1:4" x14ac:dyDescent="0.2">
      <c r="A1246" s="10">
        <v>1185</v>
      </c>
      <c r="D1246" s="2" t="str">
        <f t="shared" si="18"/>
        <v>OK</v>
      </c>
    </row>
    <row r="1247" spans="1:4" x14ac:dyDescent="0.2">
      <c r="A1247" s="5">
        <v>1186</v>
      </c>
      <c r="B1247" s="138">
        <f>'Expenditures 15-22'!F127</f>
        <v>199037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199037</v>
      </c>
      <c r="C1249" s="2" t="s">
        <v>573</v>
      </c>
      <c r="D1249" s="2" t="str">
        <f t="shared" si="18"/>
        <v>Error?</v>
      </c>
    </row>
    <row r="1250" spans="1:4" x14ac:dyDescent="0.2">
      <c r="A1250" s="5">
        <v>1189</v>
      </c>
      <c r="B1250" s="138">
        <f>'Expenditures 15-22'!F151</f>
        <v>199037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15000</v>
      </c>
      <c r="C1258" s="2" t="s">
        <v>573</v>
      </c>
      <c r="D1258" s="2" t="str">
        <f t="shared" si="18"/>
        <v>Error?</v>
      </c>
    </row>
    <row r="1259" spans="1:4" x14ac:dyDescent="0.2">
      <c r="A1259" s="5">
        <v>1198</v>
      </c>
      <c r="B1259" s="138">
        <f>'Expenditures 15-22'!G151</f>
        <v>15000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218121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218121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218121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218121</v>
      </c>
      <c r="C1288" s="2" t="s">
        <v>573</v>
      </c>
      <c r="D1288" s="2" t="str">
        <f t="shared" si="19"/>
        <v>Error?</v>
      </c>
    </row>
    <row r="1289" spans="1:4" x14ac:dyDescent="0.2">
      <c r="A1289" s="5">
        <v>1228</v>
      </c>
      <c r="B1289" s="138">
        <f>'Expenditures 15-22'!K152</f>
        <v>51757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11241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121000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132991</v>
      </c>
      <c r="C1317" s="2" t="s">
        <v>573</v>
      </c>
      <c r="D1317" s="2" t="str">
        <f t="shared" si="19"/>
        <v>Error?</v>
      </c>
    </row>
    <row r="1318" spans="1:4" x14ac:dyDescent="0.2">
      <c r="A1318" s="5">
        <v>1257</v>
      </c>
      <c r="B1318" s="138">
        <f>'Expenditures 15-22'!H174</f>
        <v>132991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11241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121000</v>
      </c>
      <c r="C1329" s="2" t="s">
        <v>573</v>
      </c>
      <c r="D1329" s="2" t="str">
        <f t="shared" si="19"/>
        <v>Error?</v>
      </c>
    </row>
    <row r="1330" spans="1:4" x14ac:dyDescent="0.2">
      <c r="A1330" s="5">
        <v>1269</v>
      </c>
      <c r="B1330" s="138">
        <f>'Expenditures 15-22'!K171</f>
        <v>750</v>
      </c>
      <c r="C1330" s="2" t="s">
        <v>573</v>
      </c>
      <c r="D1330" s="2" t="str">
        <f t="shared" si="19"/>
        <v>Error?</v>
      </c>
    </row>
    <row r="1331" spans="1:4" x14ac:dyDescent="0.2">
      <c r="A1331" s="5">
        <v>1270</v>
      </c>
      <c r="B1331" s="138">
        <f>'Expenditures 15-22'!K172</f>
        <v>132991</v>
      </c>
      <c r="C1331" s="2" t="s">
        <v>573</v>
      </c>
      <c r="D1331" s="2" t="str">
        <f t="shared" si="19"/>
        <v>Error?</v>
      </c>
    </row>
    <row r="1332" spans="1:4" x14ac:dyDescent="0.2">
      <c r="A1332" s="5">
        <v>1271</v>
      </c>
      <c r="B1332" s="138">
        <f>'Expenditures 15-22'!K174</f>
        <v>132991</v>
      </c>
      <c r="C1332" s="2" t="s">
        <v>573</v>
      </c>
      <c r="D1332" s="2" t="str">
        <f t="shared" si="19"/>
        <v>Error?</v>
      </c>
    </row>
    <row r="1333" spans="1:4" x14ac:dyDescent="0.2">
      <c r="A1333" s="5">
        <v>1272</v>
      </c>
      <c r="B1333" s="138">
        <f>'Expenditures 15-22'!K175</f>
        <v>-309</v>
      </c>
      <c r="C1333" s="2" t="s">
        <v>573</v>
      </c>
      <c r="D1333" s="2" t="str">
        <f t="shared" si="19"/>
        <v>Error?</v>
      </c>
    </row>
    <row r="1334" spans="1:4" x14ac:dyDescent="0.2">
      <c r="A1334" s="10">
        <v>1273</v>
      </c>
      <c r="D1334" s="2" t="str">
        <f t="shared" si="19"/>
        <v>OK</v>
      </c>
    </row>
    <row r="1335" spans="1:4" x14ac:dyDescent="0.2">
      <c r="A1335" s="5">
        <v>1274</v>
      </c>
      <c r="B1335" s="138">
        <f>'Expenditures 15-22'!C182</f>
        <v>10000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10000</v>
      </c>
      <c r="C1339" s="2" t="s">
        <v>573</v>
      </c>
      <c r="D1339" s="2" t="str">
        <f t="shared" si="19"/>
        <v>Error?</v>
      </c>
    </row>
    <row r="1340" spans="1:4" x14ac:dyDescent="0.2">
      <c r="A1340" s="5">
        <v>1279</v>
      </c>
      <c r="B1340" s="138">
        <f>'Expenditures 15-22'!C210</f>
        <v>10000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606276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606276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606276</v>
      </c>
      <c r="C1353" s="2" t="s">
        <v>573</v>
      </c>
      <c r="D1353" s="2" t="str">
        <f t="shared" si="20"/>
        <v>Error?</v>
      </c>
    </row>
    <row r="1354" spans="1:4" x14ac:dyDescent="0.2">
      <c r="A1354" s="5">
        <v>1293</v>
      </c>
      <c r="B1354" s="138">
        <f>'Expenditures 15-22'!F182</f>
        <v>63964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63964</v>
      </c>
      <c r="C1358" s="2" t="s">
        <v>573</v>
      </c>
      <c r="D1358" s="2" t="str">
        <f t="shared" si="20"/>
        <v>Error?</v>
      </c>
    </row>
    <row r="1359" spans="1:4" x14ac:dyDescent="0.2">
      <c r="A1359" s="5">
        <v>1298</v>
      </c>
      <c r="B1359" s="138">
        <f>'Expenditures 15-22'!F210</f>
        <v>63964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680240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680240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680240</v>
      </c>
      <c r="C1388" s="2" t="s">
        <v>573</v>
      </c>
      <c r="D1388" s="2" t="str">
        <f t="shared" si="20"/>
        <v>Error?</v>
      </c>
    </row>
    <row r="1389" spans="1:4" x14ac:dyDescent="0.2">
      <c r="A1389" s="5">
        <v>1328</v>
      </c>
      <c r="B1389" s="138">
        <f>'Expenditures 15-22'!K211</f>
        <v>75450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1529</v>
      </c>
      <c r="D1407" s="2" t="str">
        <f t="shared" ref="D1407:D1470" si="21">IF(ISBLANK(B1407),"OK",IF(A1407-B1407=0,"OK","Error?"))</f>
        <v>Error?</v>
      </c>
    </row>
    <row r="1408" spans="1:4" x14ac:dyDescent="0.2">
      <c r="A1408" s="5">
        <v>1347</v>
      </c>
      <c r="B1408" s="138">
        <f>'Expenditures 15-22'!D223</f>
        <v>1764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45439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573</v>
      </c>
      <c r="D1412" s="2" t="str">
        <f t="shared" si="21"/>
        <v>Error?</v>
      </c>
    </row>
    <row r="1413" spans="1:4" x14ac:dyDescent="0.2">
      <c r="A1413" s="5">
        <v>1352</v>
      </c>
      <c r="B1413" s="138">
        <f>'Expenditures 15-22'!D234</f>
        <v>2663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3236</v>
      </c>
      <c r="C1417" s="2" t="s">
        <v>573</v>
      </c>
      <c r="D1417" s="2" t="str">
        <f t="shared" si="21"/>
        <v>Error?</v>
      </c>
    </row>
    <row r="1418" spans="1:4" x14ac:dyDescent="0.2">
      <c r="A1418" s="5">
        <v>1357</v>
      </c>
      <c r="B1418" s="138">
        <f>'Expenditures 15-22'!D240</f>
        <v>115</v>
      </c>
      <c r="D1418" s="2" t="str">
        <f t="shared" si="21"/>
        <v>Error?</v>
      </c>
    </row>
    <row r="1419" spans="1:4" x14ac:dyDescent="0.2">
      <c r="A1419" s="5">
        <v>1358</v>
      </c>
      <c r="B1419" s="138">
        <f>'Expenditures 15-22'!D241</f>
        <v>1799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1914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872</v>
      </c>
      <c r="D1423" s="2" t="str">
        <f t="shared" si="21"/>
        <v>Error?</v>
      </c>
    </row>
    <row r="1424" spans="1:4" x14ac:dyDescent="0.2">
      <c r="A1424" s="5">
        <v>1363</v>
      </c>
      <c r="B1424" s="138">
        <f>'Expenditures 15-22'!D257</f>
        <v>1083</v>
      </c>
      <c r="C1424" s="2" t="s">
        <v>573</v>
      </c>
      <c r="D1424" s="2" t="str">
        <f t="shared" si="21"/>
        <v>Error?</v>
      </c>
    </row>
    <row r="1425" spans="1:4" x14ac:dyDescent="0.2">
      <c r="A1425" s="5">
        <v>1364</v>
      </c>
      <c r="B1425" s="138">
        <f>'Expenditures 15-22'!D259</f>
        <v>11926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11926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19397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11417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43900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5286</v>
      </c>
      <c r="D1442" s="2" t="str">
        <f t="shared" si="21"/>
        <v>Error?</v>
      </c>
    </row>
    <row r="1443" spans="1:4" x14ac:dyDescent="0.2">
      <c r="A1443" s="10">
        <v>1382</v>
      </c>
      <c r="D1443" s="2" t="str">
        <f t="shared" si="21"/>
        <v>OK</v>
      </c>
    </row>
    <row r="1444" spans="1:4" x14ac:dyDescent="0.2">
      <c r="A1444" s="5">
        <v>1383</v>
      </c>
      <c r="B1444" s="138">
        <f>'Expenditures 15-22'!D277</f>
        <v>5286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67345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112784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1529</v>
      </c>
      <c r="C1471" s="2" t="s">
        <v>573</v>
      </c>
      <c r="D1471" s="2" t="str">
        <f t="shared" ref="D1471:D1534" si="22">IF(ISBLANK(B1471),"OK",IF(A1471-B1471=0,"OK","Error?"))</f>
        <v>Error?</v>
      </c>
    </row>
    <row r="1472" spans="1:4" x14ac:dyDescent="0.2">
      <c r="A1472" s="5">
        <v>1411</v>
      </c>
      <c r="B1472" s="138">
        <f>'Expenditures 15-22'!K223</f>
        <v>1764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45439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573</v>
      </c>
      <c r="C1476" s="2" t="s">
        <v>573</v>
      </c>
      <c r="D1476" s="2" t="str">
        <f t="shared" si="22"/>
        <v>Error?</v>
      </c>
    </row>
    <row r="1477" spans="1:4" x14ac:dyDescent="0.2">
      <c r="A1477" s="5">
        <v>1416</v>
      </c>
      <c r="B1477" s="138">
        <f>'Expenditures 15-22'!K234</f>
        <v>2663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3236</v>
      </c>
      <c r="C1481" s="2" t="s">
        <v>573</v>
      </c>
      <c r="D1481" s="2" t="str">
        <f t="shared" si="22"/>
        <v>Error?</v>
      </c>
    </row>
    <row r="1482" spans="1:4" x14ac:dyDescent="0.2">
      <c r="A1482" s="5">
        <v>1421</v>
      </c>
      <c r="B1482" s="138">
        <f>'Expenditures 15-22'!K240</f>
        <v>115</v>
      </c>
      <c r="C1482" s="2" t="s">
        <v>573</v>
      </c>
      <c r="D1482" s="2" t="str">
        <f t="shared" si="22"/>
        <v>Error?</v>
      </c>
    </row>
    <row r="1483" spans="1:4" x14ac:dyDescent="0.2">
      <c r="A1483" s="5">
        <v>1422</v>
      </c>
      <c r="B1483" s="138">
        <f>'Expenditures 15-22'!K241</f>
        <v>1799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1914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872</v>
      </c>
      <c r="C1487" s="2" t="s">
        <v>573</v>
      </c>
      <c r="D1487" s="2" t="str">
        <f t="shared" si="22"/>
        <v>Error?</v>
      </c>
    </row>
    <row r="1488" spans="1:4" x14ac:dyDescent="0.2">
      <c r="A1488" s="5">
        <v>1427</v>
      </c>
      <c r="B1488" s="138">
        <f>'Expenditures 15-22'!K257</f>
        <v>1083</v>
      </c>
      <c r="C1488" s="2" t="s">
        <v>573</v>
      </c>
      <c r="D1488" s="2" t="str">
        <f t="shared" si="22"/>
        <v>Error?</v>
      </c>
    </row>
    <row r="1489" spans="1:4" x14ac:dyDescent="0.2">
      <c r="A1489" s="5">
        <v>1428</v>
      </c>
      <c r="B1489" s="138">
        <f>'Expenditures 15-22'!K259</f>
        <v>11926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11926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13086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19397</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11417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43900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5286</v>
      </c>
      <c r="C1506" s="2" t="s">
        <v>573</v>
      </c>
      <c r="D1506" s="2" t="str">
        <f t="shared" si="22"/>
        <v>Error?</v>
      </c>
    </row>
    <row r="1507" spans="1:4" x14ac:dyDescent="0.2">
      <c r="A1507" s="10">
        <v>1446</v>
      </c>
      <c r="D1507" s="2" t="str">
        <f t="shared" si="22"/>
        <v>OK</v>
      </c>
    </row>
    <row r="1508" spans="1:4" x14ac:dyDescent="0.2">
      <c r="A1508" s="5">
        <v>1447</v>
      </c>
      <c r="B1508" s="138">
        <f>'Expenditures 15-22'!K277</f>
        <v>5286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67345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112784</v>
      </c>
      <c r="C1517" s="2" t="s">
        <v>573</v>
      </c>
      <c r="D1517" s="2" t="str">
        <f t="shared" si="22"/>
        <v>Error?</v>
      </c>
    </row>
    <row r="1518" spans="1:4" x14ac:dyDescent="0.2">
      <c r="A1518" s="5">
        <v>1457</v>
      </c>
      <c r="B1518" s="138">
        <f>'Expenditures 15-22'!K296</f>
        <v>24603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750</v>
      </c>
      <c r="C1535" s="2" t="s">
        <v>573</v>
      </c>
      <c r="D1535" s="2" t="str">
        <f t="shared" ref="D1535:D1598" si="23">IF(ISBLANK(B1535),"OK",IF(A1535-B1535=0,"OK","Error?"))</f>
        <v>Error?</v>
      </c>
    </row>
    <row r="1536" spans="1:4" x14ac:dyDescent="0.2">
      <c r="A1536" s="5">
        <v>1475</v>
      </c>
      <c r="B1536" s="138">
        <f>'Expenditures 15-22'!E312</f>
        <v>750</v>
      </c>
      <c r="C1536" s="2" t="s">
        <v>573</v>
      </c>
      <c r="D1536" s="2" t="str">
        <f t="shared" si="23"/>
        <v>Error?</v>
      </c>
    </row>
    <row r="1537" spans="1:4" x14ac:dyDescent="0.2">
      <c r="A1537" s="5">
        <v>1476</v>
      </c>
      <c r="B1537" s="138">
        <f>'Expenditures 15-22'!F301</f>
        <v>17548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17548</v>
      </c>
      <c r="C1541" s="2" t="s">
        <v>573</v>
      </c>
      <c r="D1541" s="2" t="str">
        <f t="shared" si="23"/>
        <v>Error?</v>
      </c>
    </row>
    <row r="1542" spans="1:4" x14ac:dyDescent="0.2">
      <c r="A1542" s="5">
        <v>1481</v>
      </c>
      <c r="B1542" s="138">
        <f>'Expenditures 15-22'!F312</f>
        <v>17548</v>
      </c>
      <c r="C1542" s="2" t="s">
        <v>573</v>
      </c>
      <c r="D1542" s="2" t="str">
        <f t="shared" si="23"/>
        <v>Error?</v>
      </c>
    </row>
    <row r="1543" spans="1:4" x14ac:dyDescent="0.2">
      <c r="A1543" s="5">
        <v>1482</v>
      </c>
      <c r="B1543" s="138">
        <f>'Expenditures 15-22'!G301</f>
        <v>12238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12238</v>
      </c>
      <c r="C1547" s="2" t="s">
        <v>573</v>
      </c>
      <c r="D1547" s="2" t="str">
        <f t="shared" si="23"/>
        <v>Error?</v>
      </c>
    </row>
    <row r="1548" spans="1:4" x14ac:dyDescent="0.2">
      <c r="A1548" s="5">
        <v>1487</v>
      </c>
      <c r="B1548" s="138">
        <f>'Expenditures 15-22'!G312</f>
        <v>12238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30536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30536</v>
      </c>
      <c r="C1559" s="2" t="s">
        <v>573</v>
      </c>
      <c r="D1559" s="2" t="str">
        <f t="shared" si="23"/>
        <v>Error?</v>
      </c>
    </row>
    <row r="1560" spans="1:4" x14ac:dyDescent="0.2">
      <c r="A1560" s="5">
        <v>1499</v>
      </c>
      <c r="B1560" s="138">
        <f>'Expenditures 15-22'!K312</f>
        <v>30536</v>
      </c>
      <c r="C1560" s="2" t="s">
        <v>573</v>
      </c>
      <c r="D1560" s="2" t="str">
        <f t="shared" si="23"/>
        <v>Error?</v>
      </c>
    </row>
    <row r="1561" spans="1:4" x14ac:dyDescent="0.2">
      <c r="A1561" s="5">
        <v>1500</v>
      </c>
      <c r="B1561" s="138">
        <f>'Expenditures 15-22'!K313</f>
        <v>75839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1537728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2419980</v>
      </c>
      <c r="C1630" s="2" t="s">
        <v>573</v>
      </c>
      <c r="D1630" s="2" t="str">
        <f t="shared" si="24"/>
        <v>Error?</v>
      </c>
    </row>
    <row r="1631" spans="1:4" x14ac:dyDescent="0.2">
      <c r="A1631" s="5">
        <v>1570</v>
      </c>
      <c r="B1631" s="138">
        <f>'Acct Summary 7-8'!D79</f>
        <v>107246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159003</v>
      </c>
      <c r="C1644" s="2" t="s">
        <v>573</v>
      </c>
      <c r="D1644" s="2" t="str">
        <f t="shared" si="24"/>
        <v>Error?</v>
      </c>
    </row>
    <row r="1645" spans="1:4" x14ac:dyDescent="0.2">
      <c r="A1645" s="5">
        <v>1584</v>
      </c>
      <c r="B1645" s="138">
        <f>'Acct Summary 7-8'!E79</f>
        <v>87216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86907</v>
      </c>
      <c r="C1658" s="2" t="s">
        <v>573</v>
      </c>
      <c r="D1658" s="2" t="str">
        <f t="shared" si="24"/>
        <v>Error?</v>
      </c>
    </row>
    <row r="1659" spans="1:4" x14ac:dyDescent="0.2">
      <c r="A1659" s="5">
        <v>1598</v>
      </c>
      <c r="B1659" s="138">
        <f>'Acct Summary 7-8'!F79</f>
        <v>214404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289854</v>
      </c>
      <c r="C1672" s="2" t="s">
        <v>573</v>
      </c>
      <c r="D1672" s="2" t="str">
        <f t="shared" si="25"/>
        <v>Error?</v>
      </c>
    </row>
    <row r="1673" spans="1:4" x14ac:dyDescent="0.2">
      <c r="A1673" s="5">
        <v>1612</v>
      </c>
      <c r="B1673" s="138">
        <f>'Acct Summary 7-8'!G79</f>
        <v>147340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171943</v>
      </c>
      <c r="C1686" s="2" t="s">
        <v>573</v>
      </c>
      <c r="D1686" s="2" t="str">
        <f t="shared" si="25"/>
        <v>Error?</v>
      </c>
    </row>
    <row r="1687" spans="1:4" x14ac:dyDescent="0.2">
      <c r="A1687" s="5">
        <v>1626</v>
      </c>
      <c r="B1687" s="138">
        <f>'Acct Summary 7-8'!H79</f>
        <v>46769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122608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430497</v>
      </c>
      <c r="C1744" s="2" t="s">
        <v>573</v>
      </c>
      <c r="D1744" s="2" t="str">
        <f t="shared" si="26"/>
        <v>Error?</v>
      </c>
    </row>
    <row r="1745" spans="1:5" x14ac:dyDescent="0.2">
      <c r="A1745" s="5">
        <v>1684</v>
      </c>
      <c r="B1745" s="138">
        <f>'Tax Sched 23'!B5</f>
        <v>90387</v>
      </c>
      <c r="C1745" s="2" t="s">
        <v>573</v>
      </c>
      <c r="D1745" s="2" t="str">
        <f t="shared" si="26"/>
        <v>Error?</v>
      </c>
    </row>
    <row r="1746" spans="1:5" x14ac:dyDescent="0.2">
      <c r="A1746" s="5">
        <v>1685</v>
      </c>
      <c r="B1746" s="138">
        <f>'Tax Sched 23'!B6</f>
        <v>130618</v>
      </c>
      <c r="C1746" s="2" t="s">
        <v>573</v>
      </c>
      <c r="D1746" s="2" t="str">
        <f t="shared" si="26"/>
        <v>Error?</v>
      </c>
    </row>
    <row r="1747" spans="1:5" x14ac:dyDescent="0.2">
      <c r="A1747" s="5">
        <v>1686</v>
      </c>
      <c r="B1747" s="138">
        <f>'Tax Sched 23'!B7</f>
        <v>58217</v>
      </c>
      <c r="C1747" s="2" t="s">
        <v>573</v>
      </c>
      <c r="D1747" s="2" t="str">
        <f t="shared" si="26"/>
        <v>Error?</v>
      </c>
    </row>
    <row r="1748" spans="1:5" x14ac:dyDescent="0.2">
      <c r="A1748" s="5">
        <v>1687</v>
      </c>
      <c r="B1748" s="138">
        <f>'Tax Sched 23'!B8</f>
        <v>49337</v>
      </c>
      <c r="C1748" s="2" t="s">
        <v>573</v>
      </c>
      <c r="D1748" s="2" t="str">
        <f t="shared" si="26"/>
        <v>Error?</v>
      </c>
    </row>
    <row r="1749" spans="1:5" x14ac:dyDescent="0.2">
      <c r="A1749" s="5">
        <v>1688</v>
      </c>
      <c r="B1749" s="138">
        <f>'Tax Sched 23'!B10</f>
        <v>1973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93741</v>
      </c>
      <c r="C1752" s="2" t="s">
        <v>573</v>
      </c>
      <c r="D1752" s="2" t="str">
        <f t="shared" si="26"/>
        <v>Error?</v>
      </c>
    </row>
    <row r="1753" spans="1:5" x14ac:dyDescent="0.2">
      <c r="A1753" s="5">
        <v>1692</v>
      </c>
      <c r="B1753" s="138">
        <f>'Tax Sched 23'!B12</f>
        <v>4934</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921376</v>
      </c>
      <c r="C1759" s="2" t="s">
        <v>573</v>
      </c>
      <c r="D1759" s="2" t="str">
        <f t="shared" si="26"/>
        <v>Error?</v>
      </c>
    </row>
    <row r="1760" spans="1:5" x14ac:dyDescent="0.2">
      <c r="A1760" s="5">
        <v>1699</v>
      </c>
      <c r="B1760" s="138">
        <f>'Tax Sched 23'!D4</f>
        <v>430497</v>
      </c>
      <c r="C1760" s="2" t="s">
        <v>573</v>
      </c>
      <c r="D1760" s="2" t="str">
        <f t="shared" si="26"/>
        <v>Error?</v>
      </c>
    </row>
    <row r="1761" spans="1:5" x14ac:dyDescent="0.2">
      <c r="A1761" s="5">
        <v>1700</v>
      </c>
      <c r="B1761" s="138">
        <f>'Tax Sched 23'!D5</f>
        <v>90387</v>
      </c>
      <c r="C1761" s="2" t="s">
        <v>573</v>
      </c>
      <c r="D1761" s="2" t="str">
        <f t="shared" si="26"/>
        <v>Error?</v>
      </c>
    </row>
    <row r="1762" spans="1:5" s="8" customFormat="1" x14ac:dyDescent="0.2">
      <c r="A1762" s="5">
        <v>1701</v>
      </c>
      <c r="B1762" s="138">
        <f>'Tax Sched 23'!D6</f>
        <v>130618</v>
      </c>
      <c r="C1762" s="2" t="s">
        <v>573</v>
      </c>
      <c r="D1762" s="2" t="str">
        <f t="shared" si="26"/>
        <v>Error?</v>
      </c>
      <c r="E1762" s="9"/>
    </row>
    <row r="1763" spans="1:5" x14ac:dyDescent="0.2">
      <c r="A1763" s="5">
        <v>1702</v>
      </c>
      <c r="B1763" s="138">
        <f>'Tax Sched 23'!D7</f>
        <v>58217</v>
      </c>
      <c r="C1763" s="2" t="s">
        <v>573</v>
      </c>
      <c r="D1763" s="2" t="str">
        <f t="shared" si="26"/>
        <v>Error?</v>
      </c>
    </row>
    <row r="1764" spans="1:5" x14ac:dyDescent="0.2">
      <c r="A1764" s="5">
        <v>1703</v>
      </c>
      <c r="B1764" s="138">
        <f>'Tax Sched 23'!D8</f>
        <v>49337</v>
      </c>
      <c r="C1764" s="2" t="s">
        <v>573</v>
      </c>
      <c r="D1764" s="2" t="str">
        <f t="shared" si="26"/>
        <v>Error?</v>
      </c>
    </row>
    <row r="1765" spans="1:5" x14ac:dyDescent="0.2">
      <c r="A1765" s="5">
        <v>1704</v>
      </c>
      <c r="B1765" s="138">
        <f>'Tax Sched 23'!D10</f>
        <v>1973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93741</v>
      </c>
      <c r="C1768" s="2" t="s">
        <v>573</v>
      </c>
      <c r="D1768" s="2" t="str">
        <f t="shared" si="26"/>
        <v>Error?</v>
      </c>
    </row>
    <row r="1769" spans="1:5" x14ac:dyDescent="0.2">
      <c r="A1769" s="5">
        <v>1708</v>
      </c>
      <c r="B1769" s="138">
        <f>'Tax Sched 23'!D12</f>
        <v>4934</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921376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445018</v>
      </c>
      <c r="C1792" s="2" t="s">
        <v>573</v>
      </c>
      <c r="D1792" s="2" t="str">
        <f t="shared" si="27"/>
        <v>Error?</v>
      </c>
    </row>
    <row r="1793" spans="1:4" x14ac:dyDescent="0.2">
      <c r="A1793" s="5">
        <v>1732</v>
      </c>
      <c r="B1793" s="138">
        <f>'Tax Sched 23'!F5</f>
        <v>108935</v>
      </c>
      <c r="C1793" s="2" t="s">
        <v>573</v>
      </c>
      <c r="D1793" s="2" t="str">
        <f t="shared" si="27"/>
        <v>Error?</v>
      </c>
    </row>
    <row r="1794" spans="1:4" x14ac:dyDescent="0.2">
      <c r="A1794" s="5">
        <v>1733</v>
      </c>
      <c r="B1794" s="138">
        <f>'Tax Sched 23'!F6</f>
        <v>132835</v>
      </c>
      <c r="C1794" s="2" t="s">
        <v>573</v>
      </c>
      <c r="D1794" s="2" t="str">
        <f t="shared" si="27"/>
        <v>Error?</v>
      </c>
    </row>
    <row r="1795" spans="1:4" x14ac:dyDescent="0.2">
      <c r="A1795" s="5">
        <v>1734</v>
      </c>
      <c r="B1795" s="138">
        <f>'Tax Sched 23'!F7</f>
        <v>58965</v>
      </c>
      <c r="C1795" s="2" t="s">
        <v>573</v>
      </c>
      <c r="D1795" s="2" t="str">
        <f t="shared" si="27"/>
        <v>Error?</v>
      </c>
    </row>
    <row r="1796" spans="1:4" x14ac:dyDescent="0.2">
      <c r="A1796" s="5">
        <v>1735</v>
      </c>
      <c r="B1796" s="138">
        <f>'Tax Sched 23'!F8</f>
        <v>50970</v>
      </c>
      <c r="C1796" s="2" t="s">
        <v>573</v>
      </c>
      <c r="D1796" s="2" t="str">
        <f t="shared" si="27"/>
        <v>Error?</v>
      </c>
    </row>
    <row r="1797" spans="1:4" x14ac:dyDescent="0.2">
      <c r="A1797" s="5">
        <v>1736</v>
      </c>
      <c r="B1797" s="138">
        <f>'Tax Sched 23'!F10</f>
        <v>13992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93944</v>
      </c>
      <c r="C1800" s="2" t="s">
        <v>573</v>
      </c>
      <c r="D1800" s="2" t="str">
        <f t="shared" si="27"/>
        <v>Error?</v>
      </c>
    </row>
    <row r="1801" spans="1:4" x14ac:dyDescent="0.2">
      <c r="A1801" s="5">
        <v>1740</v>
      </c>
      <c r="B1801" s="138">
        <f>'Tax Sched 23'!F12</f>
        <v>4997</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972619</v>
      </c>
      <c r="C1807" s="2" t="s">
        <v>573</v>
      </c>
      <c r="D1807" s="2" t="str">
        <f t="shared" si="27"/>
        <v>Error?</v>
      </c>
    </row>
    <row r="1808" spans="1:4" x14ac:dyDescent="0.2">
      <c r="A1808" s="5">
        <v>1747</v>
      </c>
      <c r="B1808" s="138">
        <f>'Tax Sched 23'!E4</f>
        <v>445018</v>
      </c>
      <c r="D1808" s="2" t="str">
        <f t="shared" si="27"/>
        <v>Error?</v>
      </c>
    </row>
    <row r="1809" spans="1:4" x14ac:dyDescent="0.2">
      <c r="A1809" s="5">
        <v>1748</v>
      </c>
      <c r="B1809" s="138">
        <f>'Tax Sched 23'!E5</f>
        <v>108935</v>
      </c>
      <c r="D1809" s="2" t="str">
        <f t="shared" si="27"/>
        <v>Error?</v>
      </c>
    </row>
    <row r="1810" spans="1:4" x14ac:dyDescent="0.2">
      <c r="A1810" s="5">
        <v>1749</v>
      </c>
      <c r="B1810" s="138">
        <f>'Tax Sched 23'!E6</f>
        <v>132835</v>
      </c>
      <c r="D1810" s="2" t="str">
        <f t="shared" si="27"/>
        <v>Error?</v>
      </c>
    </row>
    <row r="1811" spans="1:4" x14ac:dyDescent="0.2">
      <c r="A1811" s="5">
        <v>1750</v>
      </c>
      <c r="B1811" s="138">
        <f>'Tax Sched 23'!E7</f>
        <v>58965</v>
      </c>
      <c r="D1811" s="2" t="str">
        <f t="shared" si="27"/>
        <v>Error?</v>
      </c>
    </row>
    <row r="1812" spans="1:4" x14ac:dyDescent="0.2">
      <c r="A1812" s="5">
        <v>1751</v>
      </c>
      <c r="B1812" s="138">
        <f>'Tax Sched 23'!E8</f>
        <v>50970</v>
      </c>
      <c r="D1812" s="2" t="str">
        <f t="shared" si="27"/>
        <v>Error?</v>
      </c>
    </row>
    <row r="1813" spans="1:4" x14ac:dyDescent="0.2">
      <c r="A1813" s="5">
        <v>1752</v>
      </c>
      <c r="B1813" s="138">
        <f>'Tax Sched 23'!E10</f>
        <v>13992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93944</v>
      </c>
      <c r="D1816" s="2" t="str">
        <f t="shared" si="27"/>
        <v>Error?</v>
      </c>
    </row>
    <row r="1817" spans="1:4" x14ac:dyDescent="0.2">
      <c r="A1817" s="5">
        <v>1756</v>
      </c>
      <c r="B1817" s="138">
        <f>'Tax Sched 23'!E12</f>
        <v>4997</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972619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80245</v>
      </c>
      <c r="D2008" s="2" t="str">
        <f t="shared" si="30"/>
        <v>Error?</v>
      </c>
    </row>
    <row r="2009" spans="1:4" x14ac:dyDescent="0.2">
      <c r="A2009" s="5">
        <v>1948</v>
      </c>
      <c r="B2009" s="138">
        <f>'Cap Outlay Deprec 26'!C8</f>
        <v>8906904</v>
      </c>
      <c r="D2009" s="2" t="str">
        <f t="shared" si="30"/>
        <v>Error?</v>
      </c>
    </row>
    <row r="2010" spans="1:4" x14ac:dyDescent="0.2">
      <c r="A2010" s="5">
        <v>1949</v>
      </c>
      <c r="B2010" s="138">
        <f>'Cap Outlay Deprec 26'!C10</f>
        <v>392862</v>
      </c>
      <c r="D2010" s="2" t="str">
        <f t="shared" si="30"/>
        <v>Error?</v>
      </c>
    </row>
    <row r="2011" spans="1:4" x14ac:dyDescent="0.2">
      <c r="A2011" s="5">
        <v>1950</v>
      </c>
      <c r="B2011" s="138">
        <f>'Cap Outlay Deprec 26'!C12</f>
        <v>1995824</v>
      </c>
      <c r="D2011" s="2" t="str">
        <f t="shared" si="30"/>
        <v>Error?</v>
      </c>
    </row>
    <row r="2012" spans="1:4" x14ac:dyDescent="0.2">
      <c r="A2012" s="5">
        <v>1951</v>
      </c>
      <c r="B2012" s="138">
        <f>'Cap Outlay Deprec 26'!C13</f>
        <v>13175</v>
      </c>
      <c r="D2012" s="2" t="str">
        <f t="shared" si="30"/>
        <v>Error?</v>
      </c>
    </row>
    <row r="2013" spans="1:4" x14ac:dyDescent="0.2">
      <c r="A2013" s="5">
        <v>1952</v>
      </c>
      <c r="B2013" s="138">
        <f>'Cap Outlay Deprec 26'!C16</f>
        <v>11389010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12238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52140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64378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4250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4250</v>
      </c>
      <c r="C2025" s="2" t="s">
        <v>573</v>
      </c>
      <c r="D2025" s="2" t="str">
        <f t="shared" si="30"/>
        <v>Error?</v>
      </c>
    </row>
    <row r="2026" spans="1:4" x14ac:dyDescent="0.2">
      <c r="A2026" s="5">
        <v>1965</v>
      </c>
      <c r="B2026" s="138">
        <f>'Cap Outlay Deprec 26'!F5</f>
        <v>80245</v>
      </c>
      <c r="C2026" s="2" t="s">
        <v>573</v>
      </c>
      <c r="D2026" s="2" t="str">
        <f t="shared" si="30"/>
        <v>Error?</v>
      </c>
    </row>
    <row r="2027" spans="1:4" x14ac:dyDescent="0.2">
      <c r="A2027" s="5">
        <v>1966</v>
      </c>
      <c r="B2027" s="138">
        <f>'Cap Outlay Deprec 26'!F8</f>
        <v>8919142</v>
      </c>
      <c r="C2027" s="2" t="s">
        <v>573</v>
      </c>
      <c r="D2027" s="2" t="str">
        <f t="shared" si="30"/>
        <v>Error?</v>
      </c>
    </row>
    <row r="2028" spans="1:4" x14ac:dyDescent="0.2">
      <c r="A2028" s="5">
        <v>1967</v>
      </c>
      <c r="B2028" s="138">
        <f>'Cap Outlay Deprec 26'!F10</f>
        <v>392862</v>
      </c>
      <c r="C2028" s="2" t="s">
        <v>573</v>
      </c>
      <c r="D2028" s="2" t="str">
        <f t="shared" si="30"/>
        <v>Error?</v>
      </c>
    </row>
    <row r="2029" spans="1:4" x14ac:dyDescent="0.2">
      <c r="A2029" s="5">
        <v>1968</v>
      </c>
      <c r="B2029" s="138">
        <f>'Cap Outlay Deprec 26'!F12</f>
        <v>2043714</v>
      </c>
      <c r="C2029" s="2" t="s">
        <v>573</v>
      </c>
      <c r="D2029" s="2" t="str">
        <f t="shared" si="30"/>
        <v>Error?</v>
      </c>
    </row>
    <row r="2030" spans="1:4" x14ac:dyDescent="0.2">
      <c r="A2030" s="5">
        <v>1969</v>
      </c>
      <c r="B2030" s="138">
        <f>'Cap Outlay Deprec 26'!F13</f>
        <v>13175</v>
      </c>
      <c r="C2030" s="2" t="s">
        <v>573</v>
      </c>
      <c r="D2030" s="2" t="str">
        <f t="shared" si="30"/>
        <v>Error?</v>
      </c>
    </row>
    <row r="2031" spans="1:4" x14ac:dyDescent="0.2">
      <c r="A2031" s="5">
        <v>1970</v>
      </c>
      <c r="B2031" s="138">
        <f>'Cap Outlay Deprec 26'!F16</f>
        <v>11449138</v>
      </c>
      <c r="C2031" s="2" t="s">
        <v>573</v>
      </c>
      <c r="D2031" s="2" t="str">
        <f t="shared" si="30"/>
        <v>Error?</v>
      </c>
    </row>
    <row r="2032" spans="1:4" x14ac:dyDescent="0.2">
      <c r="A2032" s="10">
        <v>1971</v>
      </c>
      <c r="D2032" s="2" t="str">
        <f t="shared" si="30"/>
        <v>OK</v>
      </c>
    </row>
    <row r="2033" spans="1:4" x14ac:dyDescent="0.2">
      <c r="A2033" s="5">
        <v>1972</v>
      </c>
      <c r="B2033" s="138">
        <f>'Cap Outlay Deprec 26'!H8</f>
        <v>5794231</v>
      </c>
      <c r="D2033" s="2" t="str">
        <f t="shared" si="30"/>
        <v>Error?</v>
      </c>
    </row>
    <row r="2034" spans="1:4" x14ac:dyDescent="0.2">
      <c r="A2034" s="5">
        <v>1973</v>
      </c>
      <c r="B2034" s="138">
        <f>'Cap Outlay Deprec 26'!H10</f>
        <v>373896</v>
      </c>
      <c r="D2034" s="2" t="str">
        <f t="shared" si="30"/>
        <v>Error?</v>
      </c>
    </row>
    <row r="2035" spans="1:4" x14ac:dyDescent="0.2">
      <c r="A2035" s="5">
        <v>1974</v>
      </c>
      <c r="B2035" s="138">
        <f>'Cap Outlay Deprec 26'!H12</f>
        <v>1903627</v>
      </c>
      <c r="D2035" s="2" t="str">
        <f t="shared" si="30"/>
        <v>Error?</v>
      </c>
    </row>
    <row r="2036" spans="1:4" x14ac:dyDescent="0.2">
      <c r="A2036" s="5">
        <v>1975</v>
      </c>
      <c r="B2036" s="138">
        <f>'Cap Outlay Deprec 26'!H13</f>
        <v>13175</v>
      </c>
      <c r="D2036" s="2" t="str">
        <f t="shared" si="30"/>
        <v>Error?</v>
      </c>
    </row>
    <row r="2037" spans="1:4" x14ac:dyDescent="0.2">
      <c r="A2037" s="5">
        <v>1976</v>
      </c>
      <c r="B2037" s="138">
        <f>'Cap Outlay Deprec 26'!H16</f>
        <v>8084929</v>
      </c>
      <c r="C2037" s="2" t="s">
        <v>573</v>
      </c>
      <c r="D2037" s="2" t="str">
        <f t="shared" si="30"/>
        <v>Error?</v>
      </c>
    </row>
    <row r="2038" spans="1:4" x14ac:dyDescent="0.2">
      <c r="A2038" s="10">
        <v>1977</v>
      </c>
      <c r="D2038" s="2" t="str">
        <f t="shared" si="30"/>
        <v>OK</v>
      </c>
    </row>
    <row r="2039" spans="1:4" x14ac:dyDescent="0.2">
      <c r="A2039" s="5">
        <v>1978</v>
      </c>
      <c r="B2039" s="138">
        <f>'Cap Outlay Deprec 26'!I8</f>
        <v>178968</v>
      </c>
      <c r="D2039" s="2" t="str">
        <f t="shared" si="30"/>
        <v>Error?</v>
      </c>
    </row>
    <row r="2040" spans="1:4" x14ac:dyDescent="0.2">
      <c r="A2040" s="5">
        <v>1979</v>
      </c>
      <c r="B2040" s="138">
        <f>'Cap Outlay Deprec 26'!I10</f>
        <v>6194</v>
      </c>
      <c r="D2040" s="2" t="str">
        <f t="shared" si="30"/>
        <v>Error?</v>
      </c>
    </row>
    <row r="2041" spans="1:4" x14ac:dyDescent="0.2">
      <c r="A2041" s="5">
        <v>1980</v>
      </c>
      <c r="B2041" s="138">
        <f>'Cap Outlay Deprec 26'!I12</f>
        <v>31558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216720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4250</v>
      </c>
      <c r="C2049" s="2" t="s">
        <v>573</v>
      </c>
      <c r="D2049" s="2" t="str">
        <f t="shared" si="31"/>
        <v>Error?</v>
      </c>
    </row>
    <row r="2050" spans="1:4" x14ac:dyDescent="0.2">
      <c r="A2050" s="10">
        <v>1989</v>
      </c>
      <c r="D2050" s="2" t="str">
        <f t="shared" si="31"/>
        <v>OK</v>
      </c>
    </row>
    <row r="2051" spans="1:4" x14ac:dyDescent="0.2">
      <c r="A2051" s="5">
        <v>1990</v>
      </c>
      <c r="B2051" s="138">
        <f>'Cap Outlay Deprec 26'!K8</f>
        <v>5973199</v>
      </c>
      <c r="C2051" s="2" t="s">
        <v>573</v>
      </c>
      <c r="D2051" s="2" t="str">
        <f t="shared" si="31"/>
        <v>Error?</v>
      </c>
    </row>
    <row r="2052" spans="1:4" x14ac:dyDescent="0.2">
      <c r="A2052" s="5">
        <v>1991</v>
      </c>
      <c r="B2052" s="138">
        <f>'Cap Outlay Deprec 26'!K10</f>
        <v>380090</v>
      </c>
      <c r="C2052" s="2" t="s">
        <v>573</v>
      </c>
      <c r="D2052" s="2" t="str">
        <f t="shared" si="31"/>
        <v>Error?</v>
      </c>
    </row>
    <row r="2053" spans="1:4" x14ac:dyDescent="0.2">
      <c r="A2053" s="5">
        <v>1992</v>
      </c>
      <c r="B2053" s="138">
        <f>'Cap Outlay Deprec 26'!K12</f>
        <v>1930935</v>
      </c>
      <c r="C2053" s="2" t="s">
        <v>573</v>
      </c>
      <c r="D2053" s="2" t="str">
        <f t="shared" si="31"/>
        <v>Error?</v>
      </c>
    </row>
    <row r="2054" spans="1:4" x14ac:dyDescent="0.2">
      <c r="A2054" s="5">
        <v>1993</v>
      </c>
      <c r="B2054" s="138">
        <f>'Cap Outlay Deprec 26'!K13</f>
        <v>13175</v>
      </c>
      <c r="C2054" s="2" t="s">
        <v>573</v>
      </c>
      <c r="D2054" s="2" t="str">
        <f t="shared" si="31"/>
        <v>Error?</v>
      </c>
    </row>
    <row r="2055" spans="1:4" x14ac:dyDescent="0.2">
      <c r="A2055" s="5">
        <v>1994</v>
      </c>
      <c r="B2055" s="138">
        <f>'Cap Outlay Deprec 26'!K16</f>
        <v>8297399</v>
      </c>
      <c r="C2055" s="2" t="s">
        <v>573</v>
      </c>
      <c r="D2055" s="2" t="str">
        <f t="shared" si="31"/>
        <v>Error?</v>
      </c>
    </row>
    <row r="2056" spans="1:4" x14ac:dyDescent="0.2">
      <c r="A2056" s="5">
        <v>1995</v>
      </c>
      <c r="B2056" s="138">
        <f>'Cap Outlay Deprec 26'!L5</f>
        <v>80245</v>
      </c>
      <c r="C2056" s="2" t="s">
        <v>573</v>
      </c>
      <c r="D2056" s="2" t="str">
        <f t="shared" si="31"/>
        <v>Error?</v>
      </c>
    </row>
    <row r="2057" spans="1:4" x14ac:dyDescent="0.2">
      <c r="A2057" s="5">
        <v>1996</v>
      </c>
      <c r="B2057" s="138">
        <f>'Cap Outlay Deprec 26'!L8</f>
        <v>2945943</v>
      </c>
      <c r="C2057" s="2" t="s">
        <v>573</v>
      </c>
      <c r="D2057" s="2" t="str">
        <f t="shared" si="31"/>
        <v>Error?</v>
      </c>
    </row>
    <row r="2058" spans="1:4" x14ac:dyDescent="0.2">
      <c r="A2058" s="5">
        <v>1997</v>
      </c>
      <c r="B2058" s="138">
        <f>'Cap Outlay Deprec 26'!L10</f>
        <v>12772</v>
      </c>
      <c r="C2058" s="2" t="s">
        <v>573</v>
      </c>
      <c r="D2058" s="2" t="str">
        <f t="shared" si="31"/>
        <v>Error?</v>
      </c>
    </row>
    <row r="2059" spans="1:4" x14ac:dyDescent="0.2">
      <c r="A2059" s="5">
        <v>1998</v>
      </c>
      <c r="B2059" s="138">
        <f>'Cap Outlay Deprec 26'!L12</f>
        <v>112779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3151739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94592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94592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759779</v>
      </c>
      <c r="C2551" s="2" t="s">
        <v>573</v>
      </c>
      <c r="D2551" s="2" t="str">
        <f t="shared" si="38"/>
        <v>Error?</v>
      </c>
    </row>
    <row r="2552" spans="1:4" x14ac:dyDescent="0.2">
      <c r="A2552" s="10">
        <v>2491</v>
      </c>
      <c r="D2552" s="2" t="str">
        <f t="shared" si="38"/>
        <v>OK</v>
      </c>
    </row>
    <row r="2553" spans="1:4" x14ac:dyDescent="0.2">
      <c r="A2553" s="5">
        <v>2492</v>
      </c>
      <c r="B2553" s="138">
        <f>'Acct Summary 7-8'!C6</f>
        <v>3076403</v>
      </c>
      <c r="C2553" s="2" t="s">
        <v>573</v>
      </c>
      <c r="D2553" s="2" t="str">
        <f t="shared" si="38"/>
        <v>Error?</v>
      </c>
    </row>
    <row r="2554" spans="1:4" x14ac:dyDescent="0.2">
      <c r="A2554" s="5">
        <v>2493</v>
      </c>
      <c r="B2554" s="138">
        <f>'Acct Summary 7-8'!C7</f>
        <v>791253</v>
      </c>
      <c r="C2554" s="2" t="s">
        <v>573</v>
      </c>
      <c r="D2554" s="2" t="str">
        <f t="shared" si="38"/>
        <v>Error?</v>
      </c>
    </row>
    <row r="2555" spans="1:4" x14ac:dyDescent="0.2">
      <c r="A2555" s="5">
        <v>2494</v>
      </c>
      <c r="B2555" s="138">
        <f>'Acct Summary 7-8'!C8</f>
        <v>4627435</v>
      </c>
      <c r="C2555" s="2" t="s">
        <v>573</v>
      </c>
      <c r="D2555" s="2" t="str">
        <f t="shared" si="38"/>
        <v>Error?</v>
      </c>
    </row>
    <row r="2556" spans="1:4" x14ac:dyDescent="0.2">
      <c r="A2556" s="5">
        <v>2495</v>
      </c>
      <c r="B2556" s="138">
        <f>'Acct Summary 7-8'!C12</f>
        <v>2407678</v>
      </c>
      <c r="C2556" s="2" t="s">
        <v>573</v>
      </c>
      <c r="D2556" s="2" t="str">
        <f t="shared" si="38"/>
        <v>Error?</v>
      </c>
    </row>
    <row r="2557" spans="1:4" x14ac:dyDescent="0.2">
      <c r="A2557" s="5">
        <v>2496</v>
      </c>
      <c r="B2557" s="138">
        <f>'Acct Summary 7-8'!C13</f>
        <v>1241758</v>
      </c>
      <c r="C2557" s="2" t="s">
        <v>573</v>
      </c>
      <c r="D2557" s="2" t="str">
        <f t="shared" si="38"/>
        <v>Error?</v>
      </c>
    </row>
    <row r="2558" spans="1:4" x14ac:dyDescent="0.2">
      <c r="A2558" s="5">
        <v>2497</v>
      </c>
      <c r="B2558" s="138">
        <f>'Acct Summary 7-8'!C14</f>
        <v>2075</v>
      </c>
      <c r="C2558" s="2" t="s">
        <v>573</v>
      </c>
      <c r="D2558" s="2" t="str">
        <f t="shared" si="38"/>
        <v>Error?</v>
      </c>
    </row>
    <row r="2559" spans="1:4" x14ac:dyDescent="0.2">
      <c r="A2559" s="5">
        <v>2498</v>
      </c>
      <c r="B2559" s="138">
        <f>'Acct Summary 7-8'!C15</f>
        <v>94592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3746103</v>
      </c>
      <c r="C2561" s="2" t="s">
        <v>573</v>
      </c>
      <c r="D2561" s="2" t="str">
        <f t="shared" si="39"/>
        <v>Error?</v>
      </c>
    </row>
    <row r="2562" spans="1:4" x14ac:dyDescent="0.2">
      <c r="A2562" s="5">
        <v>2501</v>
      </c>
      <c r="B2562" s="138">
        <f>'Acct Summary 7-8'!C20</f>
        <v>881332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149878</v>
      </c>
      <c r="C2564" s="2" t="s">
        <v>573</v>
      </c>
      <c r="D2564" s="2" t="str">
        <f t="shared" si="39"/>
        <v>Error?</v>
      </c>
    </row>
    <row r="2565" spans="1:4" x14ac:dyDescent="0.2">
      <c r="A2565" s="10">
        <v>2504</v>
      </c>
      <c r="D2565" s="2" t="str">
        <f t="shared" si="39"/>
        <v>OK</v>
      </c>
    </row>
    <row r="2566" spans="1:4" x14ac:dyDescent="0.2">
      <c r="A2566" s="5">
        <v>2505</v>
      </c>
      <c r="B2566" s="138">
        <f>'Acct Summary 7-8'!D6</f>
        <v>120000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269878</v>
      </c>
      <c r="C2568" s="2" t="s">
        <v>573</v>
      </c>
      <c r="D2568" s="2" t="str">
        <f t="shared" si="39"/>
        <v>Error?</v>
      </c>
    </row>
    <row r="2569" spans="1:4" x14ac:dyDescent="0.2">
      <c r="A2569" s="5">
        <v>2508</v>
      </c>
      <c r="B2569" s="138">
        <f>'Acct Summary 7-8'!D13</f>
        <v>218121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218121</v>
      </c>
      <c r="C2573" s="2" t="s">
        <v>573</v>
      </c>
      <c r="D2573" s="2" t="str">
        <f t="shared" si="39"/>
        <v>Error?</v>
      </c>
    </row>
    <row r="2574" spans="1:4" x14ac:dyDescent="0.2">
      <c r="A2574" s="5">
        <v>2513</v>
      </c>
      <c r="B2574" s="138">
        <f>'Acct Summary 7-8'!D20</f>
        <v>51757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59248</v>
      </c>
      <c r="C2591" s="2" t="s">
        <v>573</v>
      </c>
      <c r="D2591" s="2" t="str">
        <f t="shared" si="39"/>
        <v>Error?</v>
      </c>
    </row>
    <row r="2592" spans="1:4" x14ac:dyDescent="0.2">
      <c r="A2592" s="10">
        <v>2531</v>
      </c>
      <c r="D2592" s="2" t="str">
        <f t="shared" si="39"/>
        <v>OK</v>
      </c>
    </row>
    <row r="2593" spans="1:4" x14ac:dyDescent="0.2">
      <c r="A2593" s="5">
        <v>2532</v>
      </c>
      <c r="B2593" s="138">
        <f>'Acct Summary 7-8'!F6</f>
        <v>696442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755690</v>
      </c>
      <c r="C2595" s="2" t="s">
        <v>573</v>
      </c>
      <c r="D2595" s="2" t="str">
        <f t="shared" si="39"/>
        <v>Error?</v>
      </c>
    </row>
    <row r="2596" spans="1:4" x14ac:dyDescent="0.2">
      <c r="A2596" s="5">
        <v>2535</v>
      </c>
      <c r="B2596" s="138">
        <f>'Acct Summary 7-8'!F13</f>
        <v>680240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680240</v>
      </c>
      <c r="C2600" s="2" t="s">
        <v>573</v>
      </c>
      <c r="D2600" s="2" t="str">
        <f t="shared" si="39"/>
        <v>Error?</v>
      </c>
    </row>
    <row r="2601" spans="1:4" x14ac:dyDescent="0.2">
      <c r="A2601" s="5">
        <v>2540</v>
      </c>
      <c r="B2601" s="138">
        <f>'Acct Summary 7-8'!F20</f>
        <v>75450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127808</v>
      </c>
      <c r="C2603" s="2" t="s">
        <v>573</v>
      </c>
      <c r="D2603" s="2" t="str">
        <f t="shared" si="39"/>
        <v>Error?</v>
      </c>
    </row>
    <row r="2604" spans="1:4" x14ac:dyDescent="0.2">
      <c r="A2604" s="5">
        <v>2543</v>
      </c>
      <c r="B2604" s="138">
        <f>'Acct Summary 7-8'!G6</f>
        <v>700</v>
      </c>
      <c r="C2604" s="2" t="s">
        <v>573</v>
      </c>
      <c r="D2604" s="2" t="str">
        <f t="shared" si="39"/>
        <v>Error?</v>
      </c>
    </row>
    <row r="2605" spans="1:4" x14ac:dyDescent="0.2">
      <c r="A2605" s="5">
        <v>2544</v>
      </c>
      <c r="B2605" s="138">
        <f>'Acct Summary 7-8'!G7</f>
        <v>8879</v>
      </c>
      <c r="C2605" s="2" t="s">
        <v>573</v>
      </c>
      <c r="D2605" s="2" t="str">
        <f t="shared" si="39"/>
        <v>Error?</v>
      </c>
    </row>
    <row r="2606" spans="1:4" x14ac:dyDescent="0.2">
      <c r="A2606" s="5">
        <v>2545</v>
      </c>
      <c r="B2606" s="138">
        <f>'Acct Summary 7-8'!G8</f>
        <v>137387</v>
      </c>
      <c r="C2606" s="2" t="s">
        <v>573</v>
      </c>
      <c r="D2606" s="2" t="str">
        <f t="shared" si="39"/>
        <v>Error?</v>
      </c>
    </row>
    <row r="2607" spans="1:4" x14ac:dyDescent="0.2">
      <c r="A2607" s="5">
        <v>2546</v>
      </c>
      <c r="B2607" s="138">
        <f>'Acct Summary 7-8'!G12</f>
        <v>45439</v>
      </c>
      <c r="C2607" s="2" t="s">
        <v>573</v>
      </c>
      <c r="D2607" s="2" t="str">
        <f t="shared" si="39"/>
        <v>Error?</v>
      </c>
    </row>
    <row r="2608" spans="1:4" x14ac:dyDescent="0.2">
      <c r="A2608" s="5">
        <v>2547</v>
      </c>
      <c r="B2608" s="138">
        <f>'Acct Summary 7-8'!G13</f>
        <v>67345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112784</v>
      </c>
      <c r="C2612" s="2" t="s">
        <v>573</v>
      </c>
      <c r="D2612" s="2" t="str">
        <f t="shared" si="39"/>
        <v>Error?</v>
      </c>
    </row>
    <row r="2613" spans="1:4" x14ac:dyDescent="0.2">
      <c r="A2613" s="5">
        <v>2552</v>
      </c>
      <c r="B2613" s="138">
        <f>'Acct Summary 7-8'!G20</f>
        <v>24603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132682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132682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132991</v>
      </c>
      <c r="C2634" s="2" t="s">
        <v>573</v>
      </c>
      <c r="D2634" s="2" t="str">
        <f t="shared" si="40"/>
        <v>Error?</v>
      </c>
    </row>
    <row r="2635" spans="1:4" x14ac:dyDescent="0.2">
      <c r="A2635" s="5">
        <v>2574</v>
      </c>
      <c r="B2635" s="138">
        <f>'Acct Summary 7-8'!E17</f>
        <v>132991</v>
      </c>
      <c r="C2635" s="2" t="s">
        <v>573</v>
      </c>
      <c r="D2635" s="2" t="str">
        <f t="shared" si="40"/>
        <v>Error?</v>
      </c>
    </row>
    <row r="2636" spans="1:4" x14ac:dyDescent="0.2">
      <c r="A2636" s="5">
        <v>2575</v>
      </c>
      <c r="B2636" s="138">
        <f>'Acct Summary 7-8'!E20</f>
        <v>-309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106375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106375</v>
      </c>
      <c r="C2658" s="2" t="s">
        <v>573</v>
      </c>
      <c r="D2658" s="2" t="str">
        <f t="shared" si="40"/>
        <v>Error?</v>
      </c>
    </row>
    <row r="2659" spans="1:4" x14ac:dyDescent="0.2">
      <c r="A2659" s="5">
        <v>2598</v>
      </c>
      <c r="B2659" s="138">
        <f>'Acct Summary 7-8'!H13</f>
        <v>30536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30536</v>
      </c>
      <c r="C2661" s="2" t="s">
        <v>573</v>
      </c>
      <c r="D2661" s="2" t="str">
        <f t="shared" si="40"/>
        <v>Error?</v>
      </c>
    </row>
    <row r="2662" spans="1:4" x14ac:dyDescent="0.2">
      <c r="A2662" s="5">
        <v>2601</v>
      </c>
      <c r="B2662" s="138">
        <f>'Acct Summary 7-8'!H20</f>
        <v>75839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14533</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14533</v>
      </c>
      <c r="C2724" s="2" t="s">
        <v>573</v>
      </c>
      <c r="D2724" s="2" t="str">
        <f t="shared" si="41"/>
        <v>Error?</v>
      </c>
    </row>
    <row r="2725" spans="1:4" x14ac:dyDescent="0.2">
      <c r="A2725" s="5">
        <v>2664</v>
      </c>
      <c r="B2725" s="138">
        <f>'Expenditures 15-22'!D247</f>
        <v>211</v>
      </c>
      <c r="D2725" s="2" t="str">
        <f t="shared" si="41"/>
        <v>Error?</v>
      </c>
    </row>
    <row r="2726" spans="1:4" x14ac:dyDescent="0.2">
      <c r="A2726" s="5">
        <v>2665</v>
      </c>
      <c r="B2726" s="138">
        <f>'Expenditures 15-22'!K247</f>
        <v>211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102998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6014</v>
      </c>
      <c r="D2912" s="2" t="str">
        <f t="shared" si="44"/>
        <v>Error?</v>
      </c>
    </row>
    <row r="2913" spans="1:4" x14ac:dyDescent="0.2">
      <c r="A2913" s="5">
        <v>2852</v>
      </c>
      <c r="B2913" s="138">
        <f>'Assets-Liab 5-6'!I41</f>
        <v>6014</v>
      </c>
      <c r="C2913" s="2" t="s">
        <v>573</v>
      </c>
      <c r="D2913" s="2" t="str">
        <f t="shared" si="44"/>
        <v>Error?</v>
      </c>
    </row>
    <row r="2914" spans="1:4" x14ac:dyDescent="0.2">
      <c r="A2914" s="5">
        <v>2853</v>
      </c>
      <c r="B2914" s="138">
        <f>'Assets-Liab 5-6'!L33</f>
        <v>102998</v>
      </c>
      <c r="D2914" s="2" t="str">
        <f t="shared" si="44"/>
        <v>Error?</v>
      </c>
    </row>
    <row r="2915" spans="1:4" x14ac:dyDescent="0.2">
      <c r="A2915" s="10">
        <v>2854</v>
      </c>
      <c r="D2915" s="2" t="str">
        <f t="shared" si="44"/>
        <v>OK</v>
      </c>
    </row>
    <row r="2916" spans="1:4" x14ac:dyDescent="0.2">
      <c r="A2916" s="5">
        <v>2855</v>
      </c>
      <c r="B2916" s="138">
        <f>'Assets-Liab 5-6'!L34</f>
        <v>102998</v>
      </c>
      <c r="C2916" s="2" t="s">
        <v>573</v>
      </c>
      <c r="D2916" s="2" t="str">
        <f t="shared" si="44"/>
        <v>Error?</v>
      </c>
    </row>
    <row r="2917" spans="1:4" x14ac:dyDescent="0.2">
      <c r="A2917" s="5">
        <v>2856</v>
      </c>
      <c r="B2917" s="138">
        <f>'Assets-Liab 5-6'!L41</f>
        <v>102998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94592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94592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168720</v>
      </c>
      <c r="D3055" s="2" t="str">
        <f t="shared" si="46"/>
        <v>Error?</v>
      </c>
    </row>
    <row r="3056" spans="1:4" x14ac:dyDescent="0.2">
      <c r="A3056" s="5">
        <v>2995</v>
      </c>
      <c r="B3056" s="138">
        <f>'Expenditures 15-22'!D10</f>
        <v>51240</v>
      </c>
      <c r="D3056" s="2" t="str">
        <f t="shared" si="46"/>
        <v>Error?</v>
      </c>
    </row>
    <row r="3057" spans="1:4" x14ac:dyDescent="0.2">
      <c r="A3057" s="5">
        <v>2996</v>
      </c>
      <c r="B3057" s="138">
        <f>'Expenditures 15-22'!E10</f>
        <v>20655</v>
      </c>
      <c r="D3057" s="2" t="str">
        <f t="shared" si="46"/>
        <v>Error?</v>
      </c>
    </row>
    <row r="3058" spans="1:4" x14ac:dyDescent="0.2">
      <c r="A3058" s="5">
        <v>2997</v>
      </c>
      <c r="B3058" s="138">
        <f>'Expenditures 15-22'!F10</f>
        <v>48020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288635</v>
      </c>
      <c r="C3062" s="2" t="s">
        <v>573</v>
      </c>
      <c r="D3062" s="2" t="str">
        <f t="shared" si="46"/>
        <v>Error?</v>
      </c>
    </row>
    <row r="3063" spans="1:4" x14ac:dyDescent="0.2">
      <c r="A3063" s="10">
        <v>3002</v>
      </c>
      <c r="D3063" s="2" t="str">
        <f t="shared" si="46"/>
        <v>OK</v>
      </c>
    </row>
    <row r="3064" spans="1:4" x14ac:dyDescent="0.2">
      <c r="A3064" s="5">
        <v>3003</v>
      </c>
      <c r="B3064" s="138">
        <f>'Expenditures 15-22'!D219</f>
        <v>7284</v>
      </c>
      <c r="D3064" s="2" t="str">
        <f t="shared" si="46"/>
        <v>Error?</v>
      </c>
    </row>
    <row r="3065" spans="1:4" x14ac:dyDescent="0.2">
      <c r="A3065" s="5">
        <v>3004</v>
      </c>
      <c r="B3065" s="138">
        <f>'Expenditures 15-22'!K219</f>
        <v>7284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2006</v>
      </c>
      <c r="C3225" s="2" t="s">
        <v>573</v>
      </c>
      <c r="D3225" s="2" t="str">
        <f t="shared" si="49"/>
        <v>Error?</v>
      </c>
    </row>
    <row r="3226" spans="1:4" x14ac:dyDescent="0.2">
      <c r="A3226" s="5">
        <v>3165</v>
      </c>
      <c r="B3226" s="138">
        <f>'Acct Summary 7-8'!I8</f>
        <v>2006</v>
      </c>
      <c r="C3226" s="2" t="s">
        <v>573</v>
      </c>
      <c r="D3226" s="2" t="str">
        <f t="shared" si="49"/>
        <v>Error?</v>
      </c>
    </row>
    <row r="3227" spans="1:4" x14ac:dyDescent="0.2">
      <c r="A3227" s="5">
        <v>3166</v>
      </c>
      <c r="B3227" s="138">
        <f>'Acct Summary 7-8'!I20</f>
        <v>2006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920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920</v>
      </c>
      <c r="C3232" s="2" t="s">
        <v>573</v>
      </c>
      <c r="D3232" s="2" t="str">
        <f t="shared" si="49"/>
        <v>Error?</v>
      </c>
    </row>
    <row r="3233" spans="1:4" x14ac:dyDescent="0.2">
      <c r="A3233" s="5">
        <v>3172</v>
      </c>
      <c r="B3233" s="138">
        <f>'Acct Summary 7-8'!C78</f>
        <v>882252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51757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75450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24603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75839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2006</v>
      </c>
      <c r="C3320" s="2" t="s">
        <v>573</v>
      </c>
      <c r="D3320" s="2" t="str">
        <f t="shared" si="50"/>
        <v>Error?</v>
      </c>
    </row>
    <row r="3321" spans="1:4" x14ac:dyDescent="0.2">
      <c r="A3321" s="5">
        <v>3260</v>
      </c>
      <c r="B3321" s="138">
        <f>'Acct Summary 7-8'!I79</f>
        <v>4008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6014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395725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53974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453571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16480</v>
      </c>
      <c r="D3387" s="2" t="str">
        <f t="shared" si="51"/>
        <v>Error?</v>
      </c>
    </row>
    <row r="3388" spans="1:4" x14ac:dyDescent="0.2">
      <c r="A3388" s="5">
        <v>3327</v>
      </c>
      <c r="B3388" s="138">
        <f>'Expenditures 15-22'!D217</f>
        <v>16844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16480</v>
      </c>
      <c r="C3390" s="2" t="s">
        <v>573</v>
      </c>
      <c r="D3390" s="2" t="str">
        <f t="shared" si="51"/>
        <v>Error?</v>
      </c>
    </row>
    <row r="3391" spans="1:4" x14ac:dyDescent="0.2">
      <c r="A3391" s="5">
        <v>3330</v>
      </c>
      <c r="B3391" s="138">
        <f>'Expenditures 15-22'!K217</f>
        <v>16844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2419980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159003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86907</v>
      </c>
      <c r="D3417" s="2" t="str">
        <f t="shared" si="52"/>
        <v>Error?</v>
      </c>
    </row>
    <row r="3418" spans="1:4" x14ac:dyDescent="0.2">
      <c r="A3418" s="10">
        <v>3357</v>
      </c>
      <c r="D3418" s="2" t="str">
        <f t="shared" si="52"/>
        <v>OK</v>
      </c>
    </row>
    <row r="3419" spans="1:4" x14ac:dyDescent="0.2">
      <c r="A3419" s="5">
        <v>3358</v>
      </c>
      <c r="B3419" s="138">
        <f>'Assets-Liab 5-6'!F4</f>
        <v>289854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171943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122608</v>
      </c>
      <c r="D3425" s="2" t="str">
        <f t="shared" si="52"/>
        <v>Error?</v>
      </c>
    </row>
    <row r="3426" spans="1:4" x14ac:dyDescent="0.2">
      <c r="A3426" s="10">
        <v>3365</v>
      </c>
      <c r="D3426" s="2" t="str">
        <f t="shared" si="52"/>
        <v>OK</v>
      </c>
    </row>
    <row r="3427" spans="1:4" x14ac:dyDescent="0.2">
      <c r="A3427" s="5">
        <v>3366</v>
      </c>
      <c r="B3427" s="138">
        <f>'Assets-Liab 5-6'!I4</f>
        <v>6014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61672</v>
      </c>
      <c r="C3446" s="2" t="s">
        <v>573</v>
      </c>
      <c r="D3446" s="2" t="str">
        <f t="shared" si="52"/>
        <v>Error?</v>
      </c>
    </row>
    <row r="3447" spans="1:4" x14ac:dyDescent="0.2">
      <c r="A3447" s="5">
        <v>3386</v>
      </c>
      <c r="B3447" s="138">
        <f>'Tax Sched 23'!D16</f>
        <v>61672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62963</v>
      </c>
      <c r="C3449" s="2" t="s">
        <v>573</v>
      </c>
      <c r="D3449" s="2" t="str">
        <f t="shared" si="52"/>
        <v>Error?</v>
      </c>
    </row>
    <row r="3450" spans="1:4" x14ac:dyDescent="0.2">
      <c r="A3450" s="5">
        <v>3389</v>
      </c>
      <c r="B3450" s="138">
        <f>'Tax Sched 23'!E16</f>
        <v>62963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920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15727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15727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15727</v>
      </c>
      <c r="D3567" s="2" t="str">
        <f t="shared" si="54"/>
        <v>Error?</v>
      </c>
    </row>
    <row r="3568" spans="1:4" x14ac:dyDescent="0.2">
      <c r="A3568" s="5">
        <v>3507</v>
      </c>
      <c r="B3568" s="138">
        <f>'Assets-Liab 5-6'!K41</f>
        <v>15727</v>
      </c>
      <c r="C3568" s="2" t="s">
        <v>573</v>
      </c>
      <c r="D3568" s="2" t="str">
        <f t="shared" si="54"/>
        <v>Error?</v>
      </c>
    </row>
    <row r="3569" spans="1:4" x14ac:dyDescent="0.2">
      <c r="A3569" s="5">
        <v>3508</v>
      </c>
      <c r="B3569" s="138">
        <f>'Acct Summary 7-8'!K4</f>
        <v>5015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5015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5015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5015</v>
      </c>
      <c r="C3588" s="2" t="s">
        <v>573</v>
      </c>
      <c r="D3588" s="2" t="str">
        <f t="shared" si="55"/>
        <v>Error?</v>
      </c>
    </row>
    <row r="3589" spans="1:4" x14ac:dyDescent="0.2">
      <c r="A3589" s="5">
        <v>3528</v>
      </c>
      <c r="B3589" s="138">
        <f>'Acct Summary 7-8'!K79</f>
        <v>10712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15727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240014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1357149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5984584</v>
      </c>
      <c r="C4122" s="2" t="s">
        <v>573</v>
      </c>
      <c r="D4122" s="2" t="str">
        <f t="shared" si="63"/>
        <v>Error?</v>
      </c>
    </row>
    <row r="4123" spans="1:4" x14ac:dyDescent="0.2">
      <c r="A4123" s="5">
        <v>4062</v>
      </c>
      <c r="B4123" s="138">
        <f>'Acct Summary 7-8'!D10</f>
        <v>269878</v>
      </c>
      <c r="C4123" s="2" t="s">
        <v>573</v>
      </c>
      <c r="D4123" s="2" t="str">
        <f t="shared" si="63"/>
        <v>Error?</v>
      </c>
    </row>
    <row r="4124" spans="1:4" x14ac:dyDescent="0.2">
      <c r="A4124" s="5">
        <v>4063</v>
      </c>
      <c r="B4124" s="138">
        <f>'Acct Summary 7-8'!E10</f>
        <v>132682</v>
      </c>
      <c r="C4124" s="2" t="s">
        <v>573</v>
      </c>
      <c r="D4124" s="2" t="str">
        <f t="shared" si="63"/>
        <v>Error?</v>
      </c>
    </row>
    <row r="4125" spans="1:4" x14ac:dyDescent="0.2">
      <c r="A4125" s="5">
        <v>4064</v>
      </c>
      <c r="B4125" s="138">
        <f>'Acct Summary 7-8'!F10</f>
        <v>755690</v>
      </c>
      <c r="C4125" s="2" t="s">
        <v>573</v>
      </c>
      <c r="D4125" s="2" t="str">
        <f t="shared" si="63"/>
        <v>Error?</v>
      </c>
    </row>
    <row r="4126" spans="1:4" x14ac:dyDescent="0.2">
      <c r="A4126" s="5">
        <v>4065</v>
      </c>
      <c r="B4126" s="138">
        <f>'Acct Summary 7-8'!G10</f>
        <v>137387</v>
      </c>
      <c r="C4126" s="2" t="s">
        <v>573</v>
      </c>
      <c r="D4126" s="2" t="str">
        <f t="shared" si="63"/>
        <v>Error?</v>
      </c>
    </row>
    <row r="4127" spans="1:4" x14ac:dyDescent="0.2">
      <c r="A4127" s="5">
        <v>4066</v>
      </c>
      <c r="B4127" s="138">
        <f>'Acct Summary 7-8'!H10</f>
        <v>106375</v>
      </c>
      <c r="C4127" s="2" t="s">
        <v>573</v>
      </c>
      <c r="D4127" s="2" t="str">
        <f t="shared" si="63"/>
        <v>Error?</v>
      </c>
    </row>
    <row r="4128" spans="1:4" x14ac:dyDescent="0.2">
      <c r="A4128" s="5">
        <v>4067</v>
      </c>
      <c r="B4128" s="138">
        <f>'Acct Summary 7-8'!I10</f>
        <v>2006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5015</v>
      </c>
      <c r="C4130" s="2" t="s">
        <v>573</v>
      </c>
      <c r="D4130" s="2" t="str">
        <f t="shared" si="63"/>
        <v>Error?</v>
      </c>
    </row>
    <row r="4131" spans="1:4" x14ac:dyDescent="0.2">
      <c r="A4131" s="5">
        <v>4070</v>
      </c>
      <c r="B4131" s="138">
        <f>'Acct Summary 7-8'!C18</f>
        <v>1357149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5103252</v>
      </c>
      <c r="C4136" s="2" t="s">
        <v>573</v>
      </c>
      <c r="D4136" s="2" t="str">
        <f t="shared" si="63"/>
        <v>Error?</v>
      </c>
    </row>
    <row r="4137" spans="1:4" x14ac:dyDescent="0.2">
      <c r="A4137" s="5">
        <v>4076</v>
      </c>
      <c r="B4137" s="138">
        <f>'Acct Summary 7-8'!D19</f>
        <v>218121</v>
      </c>
      <c r="C4137" s="2" t="s">
        <v>573</v>
      </c>
      <c r="D4137" s="2" t="str">
        <f t="shared" si="63"/>
        <v>Error?</v>
      </c>
    </row>
    <row r="4138" spans="1:4" x14ac:dyDescent="0.2">
      <c r="A4138" s="5">
        <v>4077</v>
      </c>
      <c r="B4138" s="138">
        <f>'Acct Summary 7-8'!E19</f>
        <v>132991</v>
      </c>
      <c r="C4138" s="2" t="s">
        <v>573</v>
      </c>
      <c r="D4138" s="2" t="str">
        <f t="shared" si="63"/>
        <v>Error?</v>
      </c>
    </row>
    <row r="4139" spans="1:4" x14ac:dyDescent="0.2">
      <c r="A4139" s="5">
        <v>4078</v>
      </c>
      <c r="B4139" s="138">
        <f>'Acct Summary 7-8'!F19</f>
        <v>680240</v>
      </c>
      <c r="C4139" s="2" t="s">
        <v>573</v>
      </c>
      <c r="D4139" s="2" t="str">
        <f t="shared" si="63"/>
        <v>Error?</v>
      </c>
    </row>
    <row r="4140" spans="1:4" x14ac:dyDescent="0.2">
      <c r="A4140" s="5">
        <v>4079</v>
      </c>
      <c r="B4140" s="138">
        <f>'Acct Summary 7-8'!G19</f>
        <v>112784</v>
      </c>
      <c r="C4140" s="2" t="s">
        <v>573</v>
      </c>
      <c r="D4140" s="2" t="str">
        <f t="shared" si="63"/>
        <v>Error?</v>
      </c>
    </row>
    <row r="4141" spans="1:4" x14ac:dyDescent="0.2">
      <c r="A4141" s="5">
        <v>4080</v>
      </c>
      <c r="B4141" s="138">
        <f>'Acct Summary 7-8'!H19</f>
        <v>30536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496000</v>
      </c>
      <c r="C4171" s="2" t="s">
        <v>573</v>
      </c>
      <c r="D4171" s="2" t="str">
        <f t="shared" si="64"/>
        <v>Error?</v>
      </c>
    </row>
    <row r="4172" spans="1:4" x14ac:dyDescent="0.2">
      <c r="A4172" s="5">
        <v>4111</v>
      </c>
      <c r="B4172" s="138">
        <f>'Short-Term Long-Term Debt 24'!J49</f>
        <v>409093</v>
      </c>
      <c r="C4172" s="2" t="s">
        <v>573</v>
      </c>
      <c r="D4172" s="2" t="str">
        <f t="shared" si="64"/>
        <v>Error?</v>
      </c>
    </row>
    <row r="4173" spans="1:4" x14ac:dyDescent="0.2">
      <c r="A4173" s="5">
        <v>4112</v>
      </c>
      <c r="B4173" s="138">
        <f>'Short-Term Long-Term Debt 24'!H49</f>
        <v>121000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1331.39</v>
      </c>
      <c r="C4265" s="2" t="s">
        <v>573</v>
      </c>
      <c r="D4265" s="2" t="str">
        <f t="shared" si="65"/>
        <v>Error?</v>
      </c>
      <c r="E4265" s="128"/>
    </row>
    <row r="4266" spans="1:5" x14ac:dyDescent="0.2">
      <c r="A4266" s="12">
        <v>4205</v>
      </c>
      <c r="B4266" s="138">
        <f>('FP Info 3'!F10)*100000</f>
        <v>325.91000000000003</v>
      </c>
      <c r="C4266" s="2" t="s">
        <v>573</v>
      </c>
      <c r="D4266" s="2" t="str">
        <f t="shared" si="65"/>
        <v>Error?</v>
      </c>
      <c r="E4266" s="128"/>
    </row>
    <row r="4267" spans="1:5" x14ac:dyDescent="0.2">
      <c r="A4267" s="12">
        <v>4206</v>
      </c>
      <c r="B4267" s="138">
        <f>('FP Info 3'!H10)*100000</f>
        <v>176.41</v>
      </c>
      <c r="C4267" s="2" t="s">
        <v>573</v>
      </c>
      <c r="D4267" s="2" t="str">
        <f t="shared" si="65"/>
        <v>Error?</v>
      </c>
      <c r="E4267" s="128"/>
    </row>
    <row r="4268" spans="1:5" x14ac:dyDescent="0.2">
      <c r="A4268" s="12">
        <v>4207</v>
      </c>
      <c r="B4268" s="138">
        <f>('FP Info 3'!J10)*100000</f>
        <v>1833.9999999999998</v>
      </c>
      <c r="C4268" s="2" t="s">
        <v>573</v>
      </c>
      <c r="D4268" s="2" t="str">
        <f t="shared" si="65"/>
        <v>Error?</v>
      </c>
    </row>
    <row r="4269" spans="1:5" x14ac:dyDescent="0.2">
      <c r="A4269" s="12">
        <v>4208</v>
      </c>
      <c r="B4269" s="138">
        <f>'FP Info 3'!J16</f>
        <v>2874851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54620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53672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277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41.86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33462463</v>
      </c>
      <c r="D4995" s="2" t="str">
        <f t="shared" si="77"/>
        <v>Error?</v>
      </c>
    </row>
    <row r="4996" spans="1:4" x14ac:dyDescent="0.2">
      <c r="A4996" s="12">
        <v>4935</v>
      </c>
      <c r="B4996" s="138">
        <f>'FP Info 3'!H31</f>
        <v>4617819.8940000003</v>
      </c>
      <c r="D4996" s="2" t="str">
        <f t="shared" si="77"/>
        <v>Error?</v>
      </c>
    </row>
    <row r="4997" spans="1:4" x14ac:dyDescent="0.2">
      <c r="A4997" s="12">
        <v>4936</v>
      </c>
      <c r="B4997" s="138">
        <f>'FP Info 3'!H37</f>
        <v>496000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430497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430497</v>
      </c>
      <c r="C5066" s="2" t="s">
        <v>573</v>
      </c>
      <c r="D5066" s="2" t="str">
        <f t="shared" si="78"/>
        <v>Error?</v>
      </c>
    </row>
    <row r="5067" spans="1:4" x14ac:dyDescent="0.2">
      <c r="A5067" s="5">
        <v>5006</v>
      </c>
      <c r="B5067" s="138">
        <f>'Revenues 9-14'!C14</f>
        <v>6621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268937</v>
      </c>
      <c r="D5069" s="2" t="str">
        <f t="shared" si="78"/>
        <v>Error?</v>
      </c>
    </row>
    <row r="5070" spans="1:4" x14ac:dyDescent="0.2">
      <c r="A5070" s="5">
        <v>5009</v>
      </c>
      <c r="B5070" s="138">
        <f>'Revenues 9-14'!C17</f>
        <v>999</v>
      </c>
      <c r="D5070" s="2" t="str">
        <f t="shared" si="78"/>
        <v>Error?</v>
      </c>
    </row>
    <row r="5071" spans="1:4" x14ac:dyDescent="0.2">
      <c r="A5071" s="5">
        <v>5010</v>
      </c>
      <c r="B5071" s="138">
        <f>'Revenues 9-14'!C18</f>
        <v>276557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1104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7106</v>
      </c>
      <c r="D5094" s="2" t="str">
        <f t="shared" si="78"/>
        <v>Error?</v>
      </c>
    </row>
    <row r="5095" spans="1:4" x14ac:dyDescent="0.2">
      <c r="A5095" s="5">
        <v>5034</v>
      </c>
      <c r="B5095" s="138">
        <f>'Revenues 9-14'!C74</f>
        <v>13886</v>
      </c>
      <c r="D5095" s="2" t="str">
        <f t="shared" si="78"/>
        <v>Error?</v>
      </c>
    </row>
    <row r="5096" spans="1:4" x14ac:dyDescent="0.2">
      <c r="A5096" s="5">
        <v>5035</v>
      </c>
      <c r="B5096" s="138">
        <f>'Revenues 9-14'!C75</f>
        <v>21295</v>
      </c>
      <c r="C5096" s="2" t="s">
        <v>573</v>
      </c>
      <c r="D5096" s="2" t="str">
        <f t="shared" si="78"/>
        <v>Error?</v>
      </c>
    </row>
    <row r="5097" spans="1:4" x14ac:dyDescent="0.2">
      <c r="A5097" s="5">
        <v>5036</v>
      </c>
      <c r="B5097" s="138">
        <f>'Revenues 9-14'!C77</f>
        <v>10056</v>
      </c>
      <c r="D5097" s="2" t="str">
        <f t="shared" si="78"/>
        <v>Error?</v>
      </c>
    </row>
    <row r="5098" spans="1:4" x14ac:dyDescent="0.2">
      <c r="A5098" s="5">
        <v>5037</v>
      </c>
      <c r="B5098" s="138">
        <f>'Revenues 9-14'!C78</f>
        <v>416</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10472</v>
      </c>
      <c r="C5102" s="2" t="s">
        <v>573</v>
      </c>
      <c r="D5102" s="2" t="str">
        <f t="shared" si="78"/>
        <v>Error?</v>
      </c>
    </row>
    <row r="5103" spans="1:4" x14ac:dyDescent="0.2">
      <c r="A5103" s="5">
        <v>5042</v>
      </c>
      <c r="B5103" s="138">
        <f>'Revenues 9-14'!C84</f>
        <v>6710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8056</v>
      </c>
      <c r="D5119" s="2" t="str">
        <f t="shared" ref="D5119:D5182" si="79">IF(ISBLANK(B5119),"OK",IF(A5119-B5119=0,"OK","Error?"))</f>
        <v>Error?</v>
      </c>
    </row>
    <row r="5120" spans="1:4" x14ac:dyDescent="0.2">
      <c r="A5120" s="5">
        <v>5059</v>
      </c>
      <c r="B5120" s="138">
        <f>'Revenues 9-14'!C108</f>
        <v>13144</v>
      </c>
      <c r="C5120" s="2" t="s">
        <v>573</v>
      </c>
      <c r="D5120" s="2" t="str">
        <f t="shared" si="79"/>
        <v>Error?</v>
      </c>
    </row>
    <row r="5121" spans="1:4" x14ac:dyDescent="0.2">
      <c r="A5121" s="5">
        <v>5060</v>
      </c>
      <c r="B5121" s="138">
        <f>'Revenues 9-14'!C109</f>
        <v>759779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2952511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2952511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25841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33770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7282</v>
      </c>
      <c r="D5167" s="2" t="str">
        <f t="shared" si="79"/>
        <v>Error?</v>
      </c>
    </row>
    <row r="5168" spans="1:4" x14ac:dyDescent="0.2">
      <c r="A5168" s="5">
        <v>5107</v>
      </c>
      <c r="B5168" s="138">
        <f>'Revenues 9-14'!C148</f>
        <v>8381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68316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123892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3076403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233185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98761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331946</v>
      </c>
      <c r="C5246" s="2" t="s">
        <v>573</v>
      </c>
      <c r="D5246" s="2" t="str">
        <f t="shared" si="80"/>
        <v>Error?</v>
      </c>
    </row>
    <row r="5247" spans="1:4" x14ac:dyDescent="0.2">
      <c r="A5247" s="5">
        <v>5186</v>
      </c>
      <c r="B5247" s="138">
        <f>'Revenues 9-14'!C200</f>
        <v>341185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341185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791253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791253</v>
      </c>
      <c r="C5326" s="2" t="s">
        <v>573</v>
      </c>
      <c r="D5326" s="2" t="str">
        <f t="shared" si="82"/>
        <v>Error?</v>
      </c>
    </row>
    <row r="5327" spans="1:5" x14ac:dyDescent="0.2">
      <c r="A5327" s="5">
        <v>5266</v>
      </c>
      <c r="B5327" s="138">
        <f>'Revenues 9-14'!C268</f>
        <v>4627435</v>
      </c>
      <c r="C5327" s="2" t="s">
        <v>573</v>
      </c>
      <c r="D5327" s="2" t="str">
        <f t="shared" si="82"/>
        <v>Error?</v>
      </c>
    </row>
    <row r="5328" spans="1:5" x14ac:dyDescent="0.2">
      <c r="A5328" s="5">
        <v>5267</v>
      </c>
      <c r="B5328" s="138">
        <f>'Revenues 9-14'!D5</f>
        <v>90387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90387</v>
      </c>
      <c r="C5334" s="2" t="s">
        <v>573</v>
      </c>
      <c r="D5334" s="2" t="str">
        <f t="shared" si="82"/>
        <v>Error?</v>
      </c>
    </row>
    <row r="5335" spans="1:4" x14ac:dyDescent="0.2">
      <c r="A5335" s="5">
        <v>5274</v>
      </c>
      <c r="B5335" s="138">
        <f>'Revenues 9-14'!D14</f>
        <v>1391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51391</v>
      </c>
      <c r="C5339" s="2" t="s">
        <v>573</v>
      </c>
      <c r="D5339" s="2" t="str">
        <f t="shared" si="82"/>
        <v>Error?</v>
      </c>
    </row>
    <row r="5340" spans="1:4" x14ac:dyDescent="0.2">
      <c r="A5340" s="5">
        <v>5279</v>
      </c>
      <c r="B5340" s="138">
        <f>'Revenues 9-14'!D65</f>
        <v>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8020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8020</v>
      </c>
      <c r="C5355" s="2" t="s">
        <v>573</v>
      </c>
      <c r="D5355" s="2" t="str">
        <f t="shared" si="82"/>
        <v>Error?</v>
      </c>
    </row>
    <row r="5356" spans="1:4" x14ac:dyDescent="0.2">
      <c r="A5356" s="5">
        <v>5295</v>
      </c>
      <c r="B5356" s="138">
        <f>'Revenues 9-14'!D109</f>
        <v>149878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269878</v>
      </c>
      <c r="C5508" s="2" t="s">
        <v>573</v>
      </c>
      <c r="D5508" s="2" t="str">
        <f t="shared" si="85"/>
        <v>Error?</v>
      </c>
    </row>
    <row r="5509" spans="1:4" x14ac:dyDescent="0.2">
      <c r="A5509" s="5">
        <v>5448</v>
      </c>
      <c r="B5509" s="138">
        <f>'Revenues 9-14'!E5</f>
        <v>130618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130618</v>
      </c>
      <c r="C5513" s="2" t="s">
        <v>573</v>
      </c>
      <c r="D5513" s="2" t="str">
        <f t="shared" si="85"/>
        <v>Error?</v>
      </c>
    </row>
    <row r="5514" spans="1:4" x14ac:dyDescent="0.2">
      <c r="A5514" s="5">
        <v>5453</v>
      </c>
      <c r="B5514" s="138">
        <f>'Revenues 9-14'!E14</f>
        <v>2012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2012</v>
      </c>
      <c r="C5518" s="2" t="s">
        <v>573</v>
      </c>
      <c r="D5518" s="2" t="str">
        <f t="shared" si="85"/>
        <v>Error?</v>
      </c>
    </row>
    <row r="5519" spans="1:4" x14ac:dyDescent="0.2">
      <c r="A5519" s="5">
        <v>5458</v>
      </c>
      <c r="B5519" s="138">
        <f>'Revenues 9-14'!E65</f>
        <v>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132682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132682</v>
      </c>
      <c r="C5552" s="2" t="s">
        <v>573</v>
      </c>
      <c r="D5552" s="2" t="str">
        <f t="shared" si="85"/>
        <v>Error?</v>
      </c>
    </row>
    <row r="5553" spans="1:4" x14ac:dyDescent="0.2">
      <c r="A5553" s="5">
        <v>5492</v>
      </c>
      <c r="B5553" s="138">
        <f>'Revenues 9-14'!F5</f>
        <v>58217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58217</v>
      </c>
      <c r="C5557" s="2" t="s">
        <v>573</v>
      </c>
      <c r="D5557" s="2" t="str">
        <f t="shared" si="85"/>
        <v>Error?</v>
      </c>
    </row>
    <row r="5558" spans="1:4" x14ac:dyDescent="0.2">
      <c r="A5558" s="5">
        <v>5497</v>
      </c>
      <c r="B5558" s="138">
        <f>'Revenues 9-14'!F14</f>
        <v>895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895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59248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209932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209932</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316101</v>
      </c>
      <c r="D5615" s="2" t="str">
        <f t="shared" si="86"/>
        <v>Error?</v>
      </c>
    </row>
    <row r="5616" spans="1:4" x14ac:dyDescent="0.2">
      <c r="A5616" s="10">
        <v>5555</v>
      </c>
      <c r="D5616" s="2" t="str">
        <f t="shared" si="86"/>
        <v>OK</v>
      </c>
    </row>
    <row r="5617" spans="1:5" x14ac:dyDescent="0.2">
      <c r="A5617" s="5">
        <v>5556</v>
      </c>
      <c r="B5617" s="138">
        <f>'Revenues 9-14'!F153</f>
        <v>161109</v>
      </c>
      <c r="D5617" s="2" t="str">
        <f t="shared" si="86"/>
        <v>Error?</v>
      </c>
    </row>
    <row r="5618" spans="1:5" x14ac:dyDescent="0.2">
      <c r="A5618" s="5">
        <v>5557</v>
      </c>
      <c r="B5618" s="138">
        <f>'Revenues 9-14'!F155</f>
        <v>477210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9300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486510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696442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755690</v>
      </c>
      <c r="C5720" s="2" t="s">
        <v>573</v>
      </c>
      <c r="D5720" s="2" t="str">
        <f t="shared" si="88"/>
        <v>Error?</v>
      </c>
    </row>
    <row r="5721" spans="1:4" x14ac:dyDescent="0.2">
      <c r="A5721" s="5">
        <v>5660</v>
      </c>
      <c r="B5721" s="138">
        <f>'Revenues 9-14'!G5</f>
        <v>49337</v>
      </c>
      <c r="D5721" s="2" t="str">
        <f t="shared" si="88"/>
        <v>Error?</v>
      </c>
    </row>
    <row r="5722" spans="1:4" x14ac:dyDescent="0.2">
      <c r="A5722" s="5">
        <v>5661</v>
      </c>
      <c r="B5722" s="138">
        <f>'Revenues 9-14'!G7</f>
        <v>0</v>
      </c>
      <c r="D5722" s="2" t="str">
        <f t="shared" si="88"/>
        <v>Error?</v>
      </c>
    </row>
    <row r="5723" spans="1:4" x14ac:dyDescent="0.2">
      <c r="A5723" s="5">
        <v>5662</v>
      </c>
      <c r="B5723" s="138">
        <f>'Revenues 9-14'!G8</f>
        <v>61672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111009</v>
      </c>
      <c r="C5725" s="2" t="s">
        <v>573</v>
      </c>
      <c r="D5725" s="2" t="str">
        <f t="shared" si="88"/>
        <v>Error?</v>
      </c>
    </row>
    <row r="5726" spans="1:4" x14ac:dyDescent="0.2">
      <c r="A5726" s="5">
        <v>5665</v>
      </c>
      <c r="B5726" s="138">
        <f>'Revenues 9-14'!G14</f>
        <v>1707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16707</v>
      </c>
      <c r="C5730" s="2" t="s">
        <v>573</v>
      </c>
      <c r="D5730" s="2" t="str">
        <f t="shared" si="88"/>
        <v>Error?</v>
      </c>
    </row>
    <row r="5731" spans="1:4" x14ac:dyDescent="0.2">
      <c r="A5731" s="5">
        <v>5670</v>
      </c>
      <c r="B5731" s="138">
        <f>'Revenues 9-14'!G65</f>
        <v>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700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700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8602</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8602</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8879</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8879</v>
      </c>
      <c r="C5869" s="2" t="s">
        <v>573</v>
      </c>
      <c r="D5869" s="2" t="str">
        <f t="shared" si="90"/>
        <v>Error?</v>
      </c>
    </row>
    <row r="5870" spans="1:4" x14ac:dyDescent="0.2">
      <c r="A5870" s="5">
        <v>5809</v>
      </c>
      <c r="B5870" s="138">
        <f>'Revenues 9-14'!G268</f>
        <v>137387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106375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106375</v>
      </c>
      <c r="C5915" s="2" t="s">
        <v>573</v>
      </c>
      <c r="D5915" s="2" t="str">
        <f t="shared" si="91"/>
        <v>Error?</v>
      </c>
    </row>
    <row r="5916" spans="1:4" x14ac:dyDescent="0.2">
      <c r="A5916" s="5">
        <v>5855</v>
      </c>
      <c r="B5916" s="138">
        <f>'Revenues 9-14'!I5</f>
        <v>1973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1973</v>
      </c>
      <c r="C5918" s="2" t="s">
        <v>573</v>
      </c>
      <c r="D5918" s="2" t="str">
        <f t="shared" si="91"/>
        <v>Error?</v>
      </c>
    </row>
    <row r="5919" spans="1:4" x14ac:dyDescent="0.2">
      <c r="A5919" s="5">
        <v>5858</v>
      </c>
      <c r="B5919" s="138">
        <f>'Revenues 9-14'!I14</f>
        <v>30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30</v>
      </c>
      <c r="C5923" s="2" t="s">
        <v>573</v>
      </c>
      <c r="D5923" s="2" t="str">
        <f t="shared" si="91"/>
        <v>Error?</v>
      </c>
    </row>
    <row r="5924" spans="1:4" x14ac:dyDescent="0.2">
      <c r="A5924" s="5">
        <v>5863</v>
      </c>
      <c r="B5924" s="138">
        <f>'Revenues 9-14'!I65</f>
        <v>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2006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4934</v>
      </c>
      <c r="C5987" s="2" t="s">
        <v>573</v>
      </c>
      <c r="D5987" s="2" t="str">
        <f t="shared" si="92"/>
        <v>Error?</v>
      </c>
    </row>
    <row r="5988" spans="1:4" x14ac:dyDescent="0.2">
      <c r="A5988" s="5">
        <v>5927</v>
      </c>
      <c r="B5988" s="138">
        <f>'Revenues 9-14'!K14</f>
        <v>76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76</v>
      </c>
      <c r="C5992" s="2" t="s">
        <v>573</v>
      </c>
      <c r="D5992" s="2" t="str">
        <f t="shared" si="92"/>
        <v>Error?</v>
      </c>
    </row>
    <row r="5993" spans="1:4" x14ac:dyDescent="0.2">
      <c r="A5993" s="5">
        <v>5932</v>
      </c>
      <c r="B5993" s="138">
        <f>'Revenues 9-14'!K65</f>
        <v>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5015</v>
      </c>
      <c r="C6023" s="2" t="s">
        <v>573</v>
      </c>
      <c r="D6023" s="2" t="str">
        <f t="shared" si="93"/>
        <v>Error?</v>
      </c>
    </row>
    <row r="6024" spans="1:5" x14ac:dyDescent="0.2">
      <c r="A6024" s="5">
        <v>5963</v>
      </c>
      <c r="B6024" s="138">
        <f>'Revenues 9-14'!G109</f>
        <v>127808</v>
      </c>
      <c r="C6024" s="2" t="s">
        <v>573</v>
      </c>
      <c r="D6024" s="2" t="str">
        <f t="shared" si="93"/>
        <v>Error?</v>
      </c>
    </row>
    <row r="6025" spans="1:5" x14ac:dyDescent="0.2">
      <c r="A6025" s="5">
        <v>5964</v>
      </c>
      <c r="B6025" s="138">
        <f>'Revenues 9-14'!H109</f>
        <v>106375</v>
      </c>
      <c r="C6025" s="2" t="s">
        <v>573</v>
      </c>
      <c r="D6025" s="2" t="str">
        <f t="shared" si="93"/>
        <v>Error?</v>
      </c>
    </row>
    <row r="6026" spans="1:5" x14ac:dyDescent="0.2">
      <c r="A6026" s="5">
        <v>5965</v>
      </c>
      <c r="B6026" s="138">
        <f>'Revenues 9-14'!I109</f>
        <v>2006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5015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476.5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158499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158499</v>
      </c>
      <c r="D6215" s="2" t="str">
        <f t="shared" si="96"/>
        <v>Error?</v>
      </c>
      <c r="E6215" s="2" t="s">
        <v>190</v>
      </c>
    </row>
    <row r="6216" spans="1:5" x14ac:dyDescent="0.2">
      <c r="A6216">
        <v>6155</v>
      </c>
      <c r="B6216" s="138">
        <f>'Assets-Liab 5-6'!J41</f>
        <v>158499</v>
      </c>
      <c r="D6216" s="2" t="str">
        <f t="shared" si="96"/>
        <v>Error?</v>
      </c>
      <c r="E6216" s="2" t="s">
        <v>190</v>
      </c>
    </row>
    <row r="6217" spans="1:5" x14ac:dyDescent="0.2">
      <c r="A6217">
        <v>6156</v>
      </c>
      <c r="B6217" s="138">
        <f>'Assets-Liab 5-6'!J4</f>
        <v>158499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95272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95272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95272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68440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68440</v>
      </c>
      <c r="D6229" s="2" t="str">
        <f t="shared" si="96"/>
        <v>Error?</v>
      </c>
      <c r="E6229" s="2" t="s">
        <v>190</v>
      </c>
    </row>
    <row r="6230" spans="1:5" x14ac:dyDescent="0.2">
      <c r="A6230">
        <v>6169</v>
      </c>
      <c r="B6230" s="138">
        <f>'Acct Summary 7-8'!J20</f>
        <v>26832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26832</v>
      </c>
      <c r="D6263" s="2" t="str">
        <f t="shared" si="96"/>
        <v>Error?</v>
      </c>
      <c r="E6263" s="2" t="s">
        <v>190</v>
      </c>
    </row>
    <row r="6264" spans="1:5" x14ac:dyDescent="0.2">
      <c r="A6264">
        <v>6203</v>
      </c>
      <c r="B6264" s="138">
        <f>'Acct Summary 7-8'!J79</f>
        <v>131667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158499</v>
      </c>
      <c r="D6266" s="2" t="str">
        <f t="shared" si="96"/>
        <v>Error?</v>
      </c>
      <c r="E6266" s="2" t="s">
        <v>190</v>
      </c>
    </row>
    <row r="6267" spans="1:5" x14ac:dyDescent="0.2">
      <c r="A6267">
        <v>6206</v>
      </c>
      <c r="B6267" s="138">
        <f>'Acct Summary 7-8'!C82</f>
        <v>882252</v>
      </c>
      <c r="D6267" s="2" t="str">
        <f t="shared" si="96"/>
        <v>Error?</v>
      </c>
      <c r="E6267" s="2" t="s">
        <v>190</v>
      </c>
    </row>
    <row r="6268" spans="1:5" x14ac:dyDescent="0.2">
      <c r="A6268">
        <v>6207</v>
      </c>
      <c r="B6268" s="138">
        <f>'Acct Summary 7-8'!D82</f>
        <v>51757</v>
      </c>
      <c r="D6268" s="2" t="str">
        <f t="shared" si="96"/>
        <v>Error?</v>
      </c>
      <c r="E6268" s="2" t="s">
        <v>190</v>
      </c>
    </row>
    <row r="6269" spans="1:5" x14ac:dyDescent="0.2">
      <c r="A6269">
        <v>6208</v>
      </c>
      <c r="B6269" s="138">
        <f>'Acct Summary 7-8'!E82</f>
        <v>-309</v>
      </c>
      <c r="D6269" s="2" t="str">
        <f t="shared" si="96"/>
        <v>Error?</v>
      </c>
      <c r="E6269" s="2" t="s">
        <v>190</v>
      </c>
    </row>
    <row r="6270" spans="1:5" x14ac:dyDescent="0.2">
      <c r="A6270">
        <v>6209</v>
      </c>
      <c r="B6270" s="138">
        <f>'Acct Summary 7-8'!F82</f>
        <v>75450</v>
      </c>
      <c r="D6270" s="2" t="str">
        <f t="shared" si="96"/>
        <v>Error?</v>
      </c>
      <c r="E6270" s="2" t="s">
        <v>190</v>
      </c>
    </row>
    <row r="6271" spans="1:5" x14ac:dyDescent="0.2">
      <c r="A6271">
        <v>6210</v>
      </c>
      <c r="B6271" s="138">
        <f>'Acct Summary 7-8'!G82</f>
        <v>24603</v>
      </c>
      <c r="D6271" s="2" t="str">
        <f t="shared" ref="D6271:D6334" si="97">IF(ISBLANK(B6271),"OK",IF(A6271-B6271=0,"OK","Error?"))</f>
        <v>Error?</v>
      </c>
      <c r="E6271" s="2" t="s">
        <v>190</v>
      </c>
    </row>
    <row r="6272" spans="1:5" x14ac:dyDescent="0.2">
      <c r="A6272">
        <v>6211</v>
      </c>
      <c r="B6272" s="138">
        <f>'Acct Summary 7-8'!H82</f>
        <v>75839</v>
      </c>
      <c r="D6272" s="2" t="str">
        <f t="shared" si="97"/>
        <v>Error?</v>
      </c>
      <c r="E6272" s="2" t="s">
        <v>190</v>
      </c>
    </row>
    <row r="6273" spans="1:5" x14ac:dyDescent="0.2">
      <c r="A6273">
        <v>6212</v>
      </c>
      <c r="B6273" s="138">
        <f>'Acct Summary 7-8'!I82</f>
        <v>2006</v>
      </c>
      <c r="D6273" s="2" t="str">
        <f t="shared" si="97"/>
        <v>Error?</v>
      </c>
      <c r="E6273" s="2" t="s">
        <v>190</v>
      </c>
    </row>
    <row r="6274" spans="1:5" x14ac:dyDescent="0.2">
      <c r="A6274">
        <v>6213</v>
      </c>
      <c r="B6274" s="138">
        <f>'Acct Summary 7-8'!J82</f>
        <v>26832</v>
      </c>
      <c r="D6274" s="2" t="str">
        <f t="shared" si="97"/>
        <v>Error?</v>
      </c>
      <c r="E6274" s="2" t="s">
        <v>190</v>
      </c>
    </row>
    <row r="6275" spans="1:5" x14ac:dyDescent="0.2">
      <c r="A6275">
        <v>6214</v>
      </c>
      <c r="B6275" s="138">
        <f>'Acct Summary 7-8'!K82</f>
        <v>5015</v>
      </c>
      <c r="D6275" s="2" t="str">
        <f t="shared" si="97"/>
        <v>Error?</v>
      </c>
      <c r="E6275" s="2" t="s">
        <v>190</v>
      </c>
    </row>
    <row r="6276" spans="1:5" x14ac:dyDescent="0.2">
      <c r="A6276">
        <v>6215</v>
      </c>
      <c r="B6276" s="138">
        <f>'Acct Summary 7-8'!C83</f>
        <v>0.36456995512359608</v>
      </c>
      <c r="D6276" s="2" t="str">
        <f t="shared" si="97"/>
        <v>Error?</v>
      </c>
      <c r="E6276" s="2" t="s">
        <v>190</v>
      </c>
    </row>
    <row r="6277" spans="1:5" x14ac:dyDescent="0.2">
      <c r="A6277">
        <v>6216</v>
      </c>
      <c r="B6277" s="138">
        <f>'Acct Summary 7-8'!D83</f>
        <v>0.32550958158022175</v>
      </c>
      <c r="D6277" s="2" t="str">
        <f t="shared" si="97"/>
        <v>Error?</v>
      </c>
      <c r="E6277" s="2" t="s">
        <v>190</v>
      </c>
    </row>
    <row r="6278" spans="1:5" x14ac:dyDescent="0.2">
      <c r="A6278">
        <v>6217</v>
      </c>
      <c r="B6278" s="138">
        <f>'Acct Summary 7-8'!E83</f>
        <v>-3.5555248714142706E-3</v>
      </c>
      <c r="D6278" s="2" t="str">
        <f t="shared" si="97"/>
        <v>Error?</v>
      </c>
      <c r="E6278" s="2" t="s">
        <v>190</v>
      </c>
    </row>
    <row r="6279" spans="1:5" x14ac:dyDescent="0.2">
      <c r="A6279">
        <v>6218</v>
      </c>
      <c r="B6279" s="138">
        <f>'Acct Summary 7-8'!F83</f>
        <v>0.26030346312281355</v>
      </c>
      <c r="D6279" s="2" t="str">
        <f t="shared" si="97"/>
        <v>Error?</v>
      </c>
      <c r="E6279" s="2" t="s">
        <v>190</v>
      </c>
    </row>
    <row r="6280" spans="1:5" x14ac:dyDescent="0.2">
      <c r="A6280">
        <v>6219</v>
      </c>
      <c r="B6280" s="138">
        <f>'Acct Summary 7-8'!G83</f>
        <v>0.14308811641067098</v>
      </c>
      <c r="D6280" s="2" t="str">
        <f t="shared" si="97"/>
        <v>Error?</v>
      </c>
      <c r="E6280" s="2" t="s">
        <v>190</v>
      </c>
    </row>
    <row r="6281" spans="1:5" x14ac:dyDescent="0.2">
      <c r="A6281">
        <v>6220</v>
      </c>
      <c r="B6281" s="138">
        <f>'Acct Summary 7-8'!H83</f>
        <v>0.61854854495628342</v>
      </c>
      <c r="D6281" s="2" t="str">
        <f t="shared" si="97"/>
        <v>Error?</v>
      </c>
      <c r="E6281" s="2" t="s">
        <v>190</v>
      </c>
    </row>
    <row r="6282" spans="1:5" x14ac:dyDescent="0.2">
      <c r="A6282">
        <v>6221</v>
      </c>
      <c r="B6282" s="138">
        <f>'Acct Summary 7-8'!I83</f>
        <v>0.3335550382440971</v>
      </c>
      <c r="D6282" s="2" t="str">
        <f t="shared" si="97"/>
        <v>Error?</v>
      </c>
      <c r="E6282" s="2" t="s">
        <v>190</v>
      </c>
    </row>
    <row r="6283" spans="1:5" x14ac:dyDescent="0.2">
      <c r="A6283">
        <v>6222</v>
      </c>
      <c r="B6283" s="138">
        <f>'Acct Summary 7-8'!J83</f>
        <v>0.16928813430999565</v>
      </c>
      <c r="D6283" s="2" t="str">
        <f t="shared" si="97"/>
        <v>Error?</v>
      </c>
      <c r="E6283" s="2" t="s">
        <v>190</v>
      </c>
    </row>
    <row r="6284" spans="1:5" x14ac:dyDescent="0.2">
      <c r="A6284">
        <v>6223</v>
      </c>
      <c r="B6284" s="138">
        <f>'Acct Summary 7-8'!K83</f>
        <v>0.31887836205252112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93741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93741</v>
      </c>
      <c r="D6301" s="2" t="str">
        <f t="shared" si="97"/>
        <v>Error?</v>
      </c>
      <c r="E6301" s="2" t="s">
        <v>190</v>
      </c>
    </row>
    <row r="6302" spans="1:5" x14ac:dyDescent="0.2">
      <c r="A6302">
        <v>6241</v>
      </c>
      <c r="B6302" s="138">
        <f>'Revenues 9-14'!J14</f>
        <v>1442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1442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260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95272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7929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25827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38566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29501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68440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95272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1227</v>
      </c>
      <c r="D7073" s="2" t="str">
        <f t="shared" si="109"/>
        <v>Error?</v>
      </c>
    </row>
    <row r="7074" spans="1:4" x14ac:dyDescent="0.2">
      <c r="A7074">
        <v>7013</v>
      </c>
      <c r="B7074" s="138">
        <f>'Expenditures 15-22'!K216</f>
        <v>1227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304</v>
      </c>
      <c r="D7079" s="2" t="str">
        <f t="shared" si="109"/>
        <v>Error?</v>
      </c>
    </row>
    <row r="7080" spans="1:4" x14ac:dyDescent="0.2">
      <c r="A7080">
        <v>7019</v>
      </c>
      <c r="B7080" s="138">
        <f>'Expenditures 15-22'!K226</f>
        <v>304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38195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38195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30245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30245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68440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68440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68440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68440</v>
      </c>
      <c r="D7224" s="2" t="str">
        <f t="shared" si="111"/>
        <v>Error?</v>
      </c>
    </row>
    <row r="7225" spans="1:4" x14ac:dyDescent="0.2">
      <c r="A7225">
        <v>7164</v>
      </c>
      <c r="B7225" s="138">
        <f>'Expenditures 15-22'!K343</f>
        <v>26832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2502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10237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21525</v>
      </c>
      <c r="D7263" s="2" t="str">
        <f t="shared" si="112"/>
        <v>Error?</v>
      </c>
    </row>
    <row r="7264" spans="1:4" x14ac:dyDescent="0.2">
      <c r="A7264">
        <f t="shared" si="113"/>
        <v>7203</v>
      </c>
      <c r="B7264" s="138">
        <f>'Expenditures 15-22'!D17</f>
        <v>5677</v>
      </c>
      <c r="D7264" s="2" t="str">
        <f t="shared" si="112"/>
        <v>Error?</v>
      </c>
    </row>
    <row r="7265" spans="1:5" x14ac:dyDescent="0.2">
      <c r="A7265">
        <f t="shared" si="113"/>
        <v>7204</v>
      </c>
      <c r="B7265" s="138">
        <f>'Expenditures 15-22'!E17</f>
        <v>815</v>
      </c>
      <c r="D7265" s="2" t="str">
        <f t="shared" si="112"/>
        <v>Error?</v>
      </c>
    </row>
    <row r="7266" spans="1:5" x14ac:dyDescent="0.2">
      <c r="A7266">
        <f t="shared" si="113"/>
        <v>7205</v>
      </c>
      <c r="B7266" s="138">
        <f>'Expenditures 15-22'!F17</f>
        <v>1484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216720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46769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260</v>
      </c>
      <c r="D7712" s="2" t="str">
        <f t="shared" si="126"/>
        <v>Error?</v>
      </c>
      <c r="E7712" s="2" t="s">
        <v>827</v>
      </c>
    </row>
    <row r="7713" spans="1:6" x14ac:dyDescent="0.2">
      <c r="A7713">
        <v>7652</v>
      </c>
      <c r="B7713" s="138">
        <f>'Rest Tax Levies-Tort Im 25'!J8</f>
        <v>106375</v>
      </c>
      <c r="D7713" s="2" t="str">
        <f t="shared" si="126"/>
        <v>Error?</v>
      </c>
      <c r="E7713" s="2" t="s">
        <v>827</v>
      </c>
    </row>
    <row r="7714" spans="1:6" x14ac:dyDescent="0.2">
      <c r="A7714">
        <v>7653</v>
      </c>
      <c r="B7714" s="138">
        <f>'Rest Tax Levies-Tort Im 25'!K9</f>
        <v>8381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106375</v>
      </c>
      <c r="D7718" s="2" t="str">
        <f t="shared" si="126"/>
        <v>Error?</v>
      </c>
      <c r="E7718" s="2" t="s">
        <v>827</v>
      </c>
    </row>
    <row r="7719" spans="1:6" x14ac:dyDescent="0.2">
      <c r="A7719">
        <v>7658</v>
      </c>
      <c r="B7719" s="138">
        <f>'Rest Tax Levies-Tort Im 25'!K12</f>
        <v>8641</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8641</v>
      </c>
      <c r="D7721" s="2" t="str">
        <f t="shared" si="126"/>
        <v>Error?</v>
      </c>
      <c r="E7721" s="2" t="s">
        <v>827</v>
      </c>
    </row>
    <row r="7722" spans="1:6" x14ac:dyDescent="0.2">
      <c r="A7722">
        <v>7661</v>
      </c>
      <c r="B7722" s="138">
        <f>'Rest Tax Levies-Tort Im 25'!J15</f>
        <v>30536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30536</v>
      </c>
      <c r="D7730" s="2" t="str">
        <f t="shared" si="126"/>
        <v>Error?</v>
      </c>
      <c r="E7730" s="2" t="s">
        <v>827</v>
      </c>
    </row>
    <row r="7731" spans="1:6" x14ac:dyDescent="0.2">
      <c r="A7731">
        <v>7670</v>
      </c>
      <c r="B7731" s="138">
        <f>'Revenues 9-14'!H103</f>
        <v>106375</v>
      </c>
      <c r="D7731" s="2" t="str">
        <f t="shared" si="126"/>
        <v>Error?</v>
      </c>
      <c r="E7731" s="2" t="s">
        <v>827</v>
      </c>
    </row>
    <row r="7732" spans="1:6" x14ac:dyDescent="0.2">
      <c r="A7732">
        <v>7671</v>
      </c>
      <c r="B7732" s="138">
        <f>'Rest Tax Levies-Tort Im 25'!J24</f>
        <v>122608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122608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763082</v>
      </c>
      <c r="D7797" s="2" t="str">
        <f t="shared" si="127"/>
        <v>Error?</v>
      </c>
      <c r="E7797" s="4" t="s">
        <v>1904</v>
      </c>
    </row>
    <row r="7798" spans="1:5" x14ac:dyDescent="0.2">
      <c r="A7798">
        <v>7737</v>
      </c>
      <c r="B7798" s="138">
        <f>'Contracts Paid in CY 29'!F141</f>
        <v>164534</v>
      </c>
      <c r="D7798" s="2" t="str">
        <f t="shared" si="127"/>
        <v>Error?</v>
      </c>
      <c r="E7798" s="4" t="s">
        <v>1904</v>
      </c>
    </row>
    <row r="7799" spans="1:5" x14ac:dyDescent="0.2">
      <c r="A7799">
        <v>7738</v>
      </c>
      <c r="B7799" s="138">
        <f>'Contracts Paid in CY 29'!G141</f>
        <v>598548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1989</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Hardin County CUSD 1</v>
      </c>
      <c r="B7" s="2409"/>
      <c r="C7" s="2409"/>
      <c r="D7" s="2410"/>
      <c r="E7" s="2411">
        <f>COVER!A13</f>
        <v>20035001026</v>
      </c>
      <c r="F7" s="2412"/>
      <c r="G7" s="2418" t="str">
        <f>COVER!T23</f>
        <v>060-009547</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Greg M. McCalley &amp; Associates, P.C.</v>
      </c>
      <c r="H9" s="2424"/>
      <c r="I9" s="2424"/>
      <c r="J9" s="2424"/>
      <c r="K9" s="2424"/>
      <c r="L9" s="2425"/>
    </row>
    <row r="10" spans="1:29" ht="13.5" customHeight="1" x14ac:dyDescent="0.2">
      <c r="A10" s="2398">
        <f>COVER!A38</f>
        <v>0</v>
      </c>
      <c r="B10" s="2399"/>
      <c r="C10" s="2399"/>
      <c r="D10" s="2399"/>
      <c r="E10" s="2399"/>
      <c r="F10" s="2400"/>
      <c r="G10" s="2392" t="str">
        <f>COVER!T17</f>
        <v>855 E. Ferguson Ave.</v>
      </c>
      <c r="H10" s="2393"/>
      <c r="I10" s="2393"/>
      <c r="J10" s="2393"/>
      <c r="K10" s="2393"/>
      <c r="L10" s="2394"/>
    </row>
    <row r="11" spans="1:29" ht="13.5" customHeight="1" x14ac:dyDescent="0.2">
      <c r="A11" s="1184" t="s">
        <v>1519</v>
      </c>
      <c r="B11" s="1185"/>
      <c r="C11" s="1186"/>
      <c r="D11" s="1191"/>
      <c r="E11" s="1186"/>
      <c r="F11" s="1190"/>
      <c r="G11" s="2392" t="str">
        <f>COVER!T19</f>
        <v>Wood River</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Greg@dmacpa.com</v>
      </c>
      <c r="J13" s="2405"/>
      <c r="K13" s="2405"/>
      <c r="L13" s="2406"/>
    </row>
    <row r="14" spans="1:29" ht="13.5" customHeight="1" x14ac:dyDescent="0.2">
      <c r="A14" s="2392" t="str">
        <f>COVER!A19</f>
        <v>Box 218</v>
      </c>
      <c r="B14" s="2393"/>
      <c r="C14" s="2393"/>
      <c r="D14" s="2393"/>
      <c r="E14" s="2393"/>
      <c r="F14" s="2394"/>
      <c r="G14" s="1195" t="s">
        <v>1185</v>
      </c>
      <c r="H14" s="1193"/>
      <c r="I14" s="1193"/>
      <c r="J14" s="1193"/>
      <c r="K14" s="1193"/>
      <c r="L14" s="1194"/>
    </row>
    <row r="15" spans="1:29" ht="13.5" customHeight="1" x14ac:dyDescent="0.2">
      <c r="A15" s="2392" t="str">
        <f>COVER!A21</f>
        <v>Elizabethtown</v>
      </c>
      <c r="B15" s="2393"/>
      <c r="C15" s="2393"/>
      <c r="D15" s="2393"/>
      <c r="E15" s="2393"/>
      <c r="F15" s="2394"/>
      <c r="G15" s="2389" t="str">
        <f>COVER!T15</f>
        <v xml:space="preserve">Greg M. McCalley  </v>
      </c>
      <c r="H15" s="2390"/>
      <c r="I15" s="2390"/>
      <c r="J15" s="2390"/>
      <c r="K15" s="2390"/>
      <c r="L15" s="2391"/>
    </row>
    <row r="16" spans="1:29" ht="12.2" customHeight="1" x14ac:dyDescent="0.2">
      <c r="A16" s="2414">
        <f>COVER!A25</f>
        <v>0</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(618)254-8188</v>
      </c>
      <c r="H18" s="2409"/>
      <c r="I18" s="2409"/>
      <c r="J18" s="2409"/>
      <c r="K18" s="2408" t="str">
        <f>COVER!X21</f>
        <v>(618)254-8680</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Hardin County CUSD 1</v>
      </c>
      <c r="B1" s="2407"/>
      <c r="C1" s="2407"/>
      <c r="D1" s="2407"/>
    </row>
    <row r="2" spans="1:11" s="1212" customFormat="1" ht="12.75" x14ac:dyDescent="0.2">
      <c r="A2" s="2431">
        <f>'Single Audit Cover'!E7</f>
        <v>20035001026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Hardin County CUSD 1</v>
      </c>
      <c r="B1" s="2434"/>
      <c r="C1" s="2434"/>
      <c r="D1" s="2434"/>
      <c r="E1" s="2434"/>
    </row>
    <row r="2" spans="1:5" x14ac:dyDescent="0.2">
      <c r="A2" s="2435">
        <f>'Single Audit Cover'!E7</f>
        <v>20035001026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800132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-54620</v>
      </c>
    </row>
    <row r="19" spans="1:4" ht="13.5" thickBot="1" x14ac:dyDescent="0.25">
      <c r="A19" s="1262" t="s">
        <v>1235</v>
      </c>
      <c r="D19" s="1263">
        <f>SUM(D10:D17)</f>
        <v>745512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745512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745512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Hardin County CUSD 1</v>
      </c>
      <c r="C1" s="2438"/>
      <c r="D1" s="2438"/>
      <c r="E1" s="2438"/>
      <c r="F1" s="2438"/>
      <c r="G1" s="2438"/>
      <c r="H1" s="2438"/>
      <c r="I1" s="2438"/>
      <c r="J1" s="2438"/>
      <c r="K1" s="2438"/>
      <c r="L1" s="2438"/>
      <c r="M1" s="2438"/>
    </row>
    <row r="2" spans="2:14" ht="15" x14ac:dyDescent="0.2">
      <c r="B2" s="2439">
        <f>'Single Audit Cover'!E7</f>
        <v>20035001026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Hardin County CUSD 1</v>
      </c>
      <c r="B1" s="2451"/>
      <c r="C1" s="2451"/>
      <c r="D1" s="2451"/>
      <c r="E1" s="2451"/>
      <c r="F1" s="2451"/>
    </row>
    <row r="2" spans="1:7" ht="13.5" customHeight="1" x14ac:dyDescent="0.2">
      <c r="A2" s="2439">
        <f>'Single Audit Cover'!E7</f>
        <v>20035001026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2069</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Hardin County CUSD 1</v>
      </c>
      <c r="C1" s="2466"/>
      <c r="D1" s="2466"/>
      <c r="E1" s="2466"/>
      <c r="F1" s="2466"/>
      <c r="G1" s="2466"/>
      <c r="H1" s="2466"/>
      <c r="I1" s="2466"/>
      <c r="J1" s="1406"/>
    </row>
    <row r="2" spans="2:10" s="317" customFormat="1" ht="12.75" customHeight="1" x14ac:dyDescent="0.2">
      <c r="B2" s="2467">
        <f>'Single Audit Cover'!E7</f>
        <v>20035001026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1841</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Hardin County CUSD 1</v>
      </c>
      <c r="C1" s="2465"/>
      <c r="D1" s="2465"/>
      <c r="E1" s="2465"/>
      <c r="F1" s="2465"/>
      <c r="G1" s="2465"/>
      <c r="H1" s="2465"/>
      <c r="I1" s="2465"/>
      <c r="J1" s="2465"/>
      <c r="K1" s="2465"/>
      <c r="L1" s="1371"/>
      <c r="M1" s="1371"/>
    </row>
    <row r="2" spans="1:13" ht="12" customHeight="1" x14ac:dyDescent="0.2">
      <c r="B2" s="2467">
        <f>'Single Audit Cover'!E7</f>
        <v>20035001026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Hardin County CUSD 1</v>
      </c>
      <c r="C1" s="2488"/>
      <c r="D1" s="2488"/>
      <c r="E1" s="2488"/>
      <c r="F1" s="2488"/>
      <c r="G1" s="2488"/>
      <c r="H1" s="2488"/>
      <c r="I1" s="2488"/>
      <c r="J1" s="2488"/>
      <c r="K1" s="2488"/>
      <c r="L1" s="1449"/>
    </row>
    <row r="2" spans="1:12" ht="12.75" customHeight="1" x14ac:dyDescent="0.2">
      <c r="B2" s="2489">
        <f>'Single Audit Cover'!E7</f>
        <v>20035001026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Hardin County CUSD 1</v>
      </c>
      <c r="C1" s="2465"/>
      <c r="D1" s="2465"/>
      <c r="E1" s="1469"/>
    </row>
    <row r="2" spans="2:5" s="1279" customFormat="1" ht="12.75" customHeight="1" x14ac:dyDescent="0.2">
      <c r="B2" s="2467">
        <f>'Single Audit Cover'!E7</f>
        <v>20035001026</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6" colorId="8" zoomScale="110" zoomScaleNormal="110" workbookViewId="0">
      <selection activeCell="B44" sqref="B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33462463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1.33139E-2</v>
      </c>
      <c r="E10" s="356" t="s">
        <v>1005</v>
      </c>
      <c r="F10" s="355">
        <v>3.2591E-3</v>
      </c>
      <c r="G10" s="356" t="s">
        <v>1005</v>
      </c>
      <c r="H10" s="355">
        <v>1.7641E-3</v>
      </c>
      <c r="I10" s="356" t="s">
        <v>1006</v>
      </c>
      <c r="J10" s="1732">
        <f>ROUND(D10+F10+H10,5)</f>
        <v>1.8339999999999999E-2</v>
      </c>
      <c r="K10" s="222"/>
      <c r="L10" s="355">
        <v>4.1859999999999998E-4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5655009</v>
      </c>
      <c r="E16" s="356"/>
      <c r="F16" s="1733">
        <f>SUM('Acct Summary 7-8'!C17,'Acct Summary 7-8'!D17,'Acct Summary 7-8'!F17)</f>
        <v>4644464</v>
      </c>
      <c r="G16" s="356"/>
      <c r="H16" s="1733">
        <f>SUM(D16-F16)</f>
        <v>1010545</v>
      </c>
      <c r="I16" s="222"/>
      <c r="J16" s="1733">
        <f>SUM('Acct Summary 7-8'!C81,'Acct Summary 7-8'!D81,'Acct Summary 7-8'!F81,'Acct Summary 7-8'!I81)</f>
        <v>2874851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4617819.8940000003</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496000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Hardin County CUSD 1</v>
      </c>
      <c r="E7" s="391"/>
      <c r="G7" s="252"/>
      <c r="H7" s="387"/>
      <c r="I7" s="387"/>
      <c r="J7" s="387"/>
      <c r="K7" s="387"/>
      <c r="L7" s="329"/>
      <c r="M7" s="329"/>
      <c r="N7" s="329"/>
      <c r="O7" s="329"/>
      <c r="P7" s="329"/>
    </row>
    <row r="8" spans="1:18" ht="12.75" x14ac:dyDescent="0.2">
      <c r="A8" s="329"/>
      <c r="B8" s="329"/>
      <c r="C8" s="389" t="s">
        <v>1125</v>
      </c>
      <c r="D8" s="392">
        <f>COVER!A13</f>
        <v>20035001026</v>
      </c>
      <c r="E8" s="393"/>
      <c r="G8" s="329"/>
      <c r="H8" s="329"/>
      <c r="I8" s="329"/>
      <c r="J8" s="329"/>
      <c r="K8" s="329"/>
      <c r="L8" s="329"/>
      <c r="M8" s="329"/>
      <c r="N8" s="329"/>
      <c r="O8" s="329"/>
      <c r="P8" s="329"/>
    </row>
    <row r="9" spans="1:18" ht="12.75" x14ac:dyDescent="0.2">
      <c r="A9" s="329"/>
      <c r="B9" s="329"/>
      <c r="C9" s="389" t="s">
        <v>713</v>
      </c>
      <c r="D9" s="394" t="str">
        <f>COVER!A15</f>
        <v>Hardin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2874851</v>
      </c>
      <c r="I12" s="404"/>
      <c r="J12" s="404"/>
      <c r="K12" s="405">
        <f>TRUNC((H12/H13*100000),5)/100000</f>
        <v>0.50837248879999997</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5655009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4644464</v>
      </c>
      <c r="I17" s="404"/>
      <c r="J17" s="416"/>
      <c r="K17" s="405">
        <f>TRUNC((H17/H18*100000),5)/100000</f>
        <v>0.82130090330000005</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5655009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2874851</v>
      </c>
      <c r="I24" s="422"/>
      <c r="J24" s="422"/>
      <c r="K24" s="423">
        <f>TRUNC(((H24/H25*100000)/100000),2)</f>
        <v>222.83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12901.28889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521646.33571000001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496000</v>
      </c>
      <c r="I32" s="420"/>
      <c r="J32" s="420"/>
      <c r="K32" s="423">
        <f>TRUNC(100-((((H32/H33*100))*100)/100),2)</f>
        <v>89.25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4617819.8940000003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F40" sqref="F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2419980</v>
      </c>
      <c r="D4" s="466">
        <v>159003</v>
      </c>
      <c r="E4" s="466">
        <v>86907</v>
      </c>
      <c r="F4" s="466">
        <v>289854</v>
      </c>
      <c r="G4" s="466">
        <v>171943</v>
      </c>
      <c r="H4" s="466">
        <v>122608</v>
      </c>
      <c r="I4" s="466">
        <v>6014</v>
      </c>
      <c r="J4" s="467">
        <v>158499</v>
      </c>
      <c r="K4" s="466">
        <v>15727</v>
      </c>
      <c r="L4" s="466">
        <v>102998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2419980</v>
      </c>
      <c r="D13" s="1737">
        <f t="shared" ref="D13:L13" si="0">SUM(D4:D12)</f>
        <v>159003</v>
      </c>
      <c r="E13" s="1737">
        <f t="shared" si="0"/>
        <v>86907</v>
      </c>
      <c r="F13" s="1737">
        <f t="shared" si="0"/>
        <v>289854</v>
      </c>
      <c r="G13" s="1737">
        <f t="shared" si="0"/>
        <v>171943</v>
      </c>
      <c r="H13" s="1737">
        <f t="shared" si="0"/>
        <v>122608</v>
      </c>
      <c r="I13" s="1737">
        <f t="shared" si="0"/>
        <v>6014</v>
      </c>
      <c r="J13" s="1737">
        <f t="shared" si="0"/>
        <v>158499</v>
      </c>
      <c r="K13" s="1737">
        <f t="shared" si="0"/>
        <v>15727</v>
      </c>
      <c r="L13" s="1737">
        <f t="shared" si="0"/>
        <v>102998</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80245</v>
      </c>
      <c r="N16" s="484"/>
    </row>
    <row r="17" spans="1:14" s="485" customFormat="1" ht="12.75" customHeight="1" x14ac:dyDescent="0.2">
      <c r="A17" s="482" t="s">
        <v>1403</v>
      </c>
      <c r="B17" s="483">
        <v>230</v>
      </c>
      <c r="C17" s="477"/>
      <c r="D17" s="477"/>
      <c r="E17" s="477"/>
      <c r="F17" s="477"/>
      <c r="G17" s="477"/>
      <c r="H17" s="477"/>
      <c r="I17" s="477"/>
      <c r="J17" s="477"/>
      <c r="K17" s="477"/>
      <c r="L17" s="477"/>
      <c r="M17" s="467">
        <v>9312004</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2056889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86907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409093</v>
      </c>
    </row>
    <row r="23" spans="1:14" ht="13.5" customHeight="1" thickBot="1" x14ac:dyDescent="0.25">
      <c r="A23" s="1736" t="s">
        <v>643</v>
      </c>
      <c r="B23" s="1741"/>
      <c r="C23" s="468"/>
      <c r="D23" s="468"/>
      <c r="E23" s="468"/>
      <c r="F23" s="468"/>
      <c r="G23" s="468"/>
      <c r="H23" s="468"/>
      <c r="I23" s="468"/>
      <c r="J23" s="468"/>
      <c r="K23" s="468"/>
      <c r="L23" s="468"/>
      <c r="M23" s="1688">
        <f>SUM(M15:M22)</f>
        <v>11449138</v>
      </c>
      <c r="N23" s="1688">
        <f>SUM(N21:N22)</f>
        <v>496000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102998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102998</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496000</v>
      </c>
    </row>
    <row r="37" spans="1:14" ht="13.5" thickBot="1" x14ac:dyDescent="0.25">
      <c r="A37" s="1736" t="s">
        <v>653</v>
      </c>
      <c r="B37" s="1741"/>
      <c r="C37" s="477"/>
      <c r="D37" s="477"/>
      <c r="E37" s="477"/>
      <c r="F37" s="477"/>
      <c r="G37" s="477"/>
      <c r="H37" s="477"/>
      <c r="I37" s="477"/>
      <c r="J37" s="477"/>
      <c r="K37" s="477"/>
      <c r="L37" s="480"/>
      <c r="M37" s="468"/>
      <c r="N37" s="1688">
        <f>SUM(N36:N36)</f>
        <v>496000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2419980</v>
      </c>
      <c r="D39" s="466">
        <v>159003</v>
      </c>
      <c r="E39" s="466">
        <v>86907</v>
      </c>
      <c r="F39" s="466">
        <v>289854</v>
      </c>
      <c r="G39" s="466">
        <v>171943</v>
      </c>
      <c r="H39" s="466">
        <v>122608</v>
      </c>
      <c r="I39" s="466">
        <v>6014</v>
      </c>
      <c r="J39" s="467">
        <v>158499</v>
      </c>
      <c r="K39" s="466">
        <v>15727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11449138</v>
      </c>
      <c r="N40" s="497"/>
    </row>
    <row r="41" spans="1:14" ht="13.5" customHeight="1" thickBot="1" x14ac:dyDescent="0.25">
      <c r="A41" s="1736" t="s">
        <v>655</v>
      </c>
      <c r="B41" s="1706"/>
      <c r="C41" s="1688">
        <f>(SUM(C34,C37,C38,C39))</f>
        <v>2419980</v>
      </c>
      <c r="D41" s="1688">
        <f t="shared" ref="D41:L41" si="2">SUM(D34,D37,D38:D39)</f>
        <v>159003</v>
      </c>
      <c r="E41" s="1688">
        <f t="shared" si="2"/>
        <v>86907</v>
      </c>
      <c r="F41" s="1688">
        <f t="shared" si="2"/>
        <v>289854</v>
      </c>
      <c r="G41" s="1688">
        <f t="shared" si="2"/>
        <v>171943</v>
      </c>
      <c r="H41" s="1688">
        <f t="shared" si="2"/>
        <v>122608</v>
      </c>
      <c r="I41" s="1688">
        <f t="shared" si="2"/>
        <v>6014</v>
      </c>
      <c r="J41" s="1688">
        <f t="shared" si="2"/>
        <v>158499</v>
      </c>
      <c r="K41" s="1688">
        <f t="shared" si="2"/>
        <v>15727</v>
      </c>
      <c r="L41" s="1688">
        <f t="shared" si="2"/>
        <v>102998</v>
      </c>
      <c r="M41" s="1688">
        <f>SUM(M40)</f>
        <v>11449138</v>
      </c>
      <c r="N41" s="1688">
        <f>SUM(N37)</f>
        <v>496000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G80" sqref="G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759779</v>
      </c>
      <c r="D4" s="1742">
        <f>'Revenues 9-14'!D109</f>
        <v>149878</v>
      </c>
      <c r="E4" s="1742">
        <f>'Revenues 9-14'!E109</f>
        <v>132682</v>
      </c>
      <c r="F4" s="1742">
        <f>'Revenues 9-14'!F109</f>
        <v>59248</v>
      </c>
      <c r="G4" s="1742">
        <f>'Revenues 9-14'!G109</f>
        <v>127808</v>
      </c>
      <c r="H4" s="1742">
        <f>'Revenues 9-14'!H109</f>
        <v>106375</v>
      </c>
      <c r="I4" s="1742">
        <f>'Revenues 9-14'!I109</f>
        <v>2006</v>
      </c>
      <c r="J4" s="1742">
        <f>'Revenues 9-14'!J109</f>
        <v>95272</v>
      </c>
      <c r="K4" s="1742">
        <f>'Revenues 9-14'!K109</f>
        <v>5015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3076403</v>
      </c>
      <c r="D6" s="1743">
        <f>'Revenues 9-14'!D170</f>
        <v>120000</v>
      </c>
      <c r="E6" s="1743">
        <f>'Revenues 9-14'!E170</f>
        <v>0</v>
      </c>
      <c r="F6" s="1743">
        <f>'Revenues 9-14'!F170</f>
        <v>696442</v>
      </c>
      <c r="G6" s="1743">
        <f>'Revenues 9-14'!G170</f>
        <v>700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791253</v>
      </c>
      <c r="D7" s="1743">
        <f>'Revenues 9-14'!D267</f>
        <v>0</v>
      </c>
      <c r="E7" s="1743">
        <f>'Revenues 9-14'!E267</f>
        <v>0</v>
      </c>
      <c r="F7" s="1743">
        <f>'Revenues 9-14'!F267</f>
        <v>0</v>
      </c>
      <c r="G7" s="1743">
        <f>'Revenues 9-14'!G267</f>
        <v>8879</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4627435</v>
      </c>
      <c r="D8" s="1688">
        <f t="shared" ref="D8:K8" si="0">SUM(D4:D7)</f>
        <v>269878</v>
      </c>
      <c r="E8" s="1688">
        <f t="shared" si="0"/>
        <v>132682</v>
      </c>
      <c r="F8" s="1688">
        <f t="shared" si="0"/>
        <v>755690</v>
      </c>
      <c r="G8" s="1688">
        <f t="shared" si="0"/>
        <v>137387</v>
      </c>
      <c r="H8" s="1688">
        <f t="shared" si="0"/>
        <v>106375</v>
      </c>
      <c r="I8" s="1688">
        <f t="shared" si="0"/>
        <v>2006</v>
      </c>
      <c r="J8" s="1688">
        <f t="shared" si="0"/>
        <v>95272</v>
      </c>
      <c r="K8" s="1688">
        <f t="shared" si="0"/>
        <v>5015</v>
      </c>
      <c r="L8" s="347"/>
    </row>
    <row r="9" spans="1:13" ht="15.75" thickTop="1" x14ac:dyDescent="0.2">
      <c r="A9" s="514" t="s">
        <v>1653</v>
      </c>
      <c r="B9" s="515">
        <v>3998</v>
      </c>
      <c r="C9" s="481">
        <v>1357149</v>
      </c>
      <c r="D9" s="516"/>
      <c r="E9" s="481"/>
      <c r="F9" s="481"/>
      <c r="G9" s="517"/>
      <c r="H9" s="481"/>
      <c r="I9" s="509" t="s">
        <v>1169</v>
      </c>
      <c r="J9" s="478"/>
      <c r="K9" s="481"/>
      <c r="L9" s="347"/>
    </row>
    <row r="10" spans="1:13" s="519" customFormat="1" ht="13.5" thickBot="1" x14ac:dyDescent="0.25">
      <c r="A10" s="1736" t="s">
        <v>1173</v>
      </c>
      <c r="B10" s="1709"/>
      <c r="C10" s="1688">
        <f>SUM(C8:C9)</f>
        <v>5984584</v>
      </c>
      <c r="D10" s="1688">
        <f t="shared" ref="D10:K10" si="1">SUM(D8:D9)</f>
        <v>269878</v>
      </c>
      <c r="E10" s="1688">
        <f t="shared" si="1"/>
        <v>132682</v>
      </c>
      <c r="F10" s="1688">
        <f t="shared" si="1"/>
        <v>755690</v>
      </c>
      <c r="G10" s="1688">
        <f t="shared" si="1"/>
        <v>137387</v>
      </c>
      <c r="H10" s="1688">
        <f t="shared" si="1"/>
        <v>106375</v>
      </c>
      <c r="I10" s="1688">
        <f t="shared" si="1"/>
        <v>2006</v>
      </c>
      <c r="J10" s="1688">
        <f t="shared" si="1"/>
        <v>95272</v>
      </c>
      <c r="K10" s="1688">
        <f t="shared" si="1"/>
        <v>5015</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2407678</v>
      </c>
      <c r="D12" s="520" t="s">
        <v>1169</v>
      </c>
      <c r="E12" s="468" t="s">
        <v>1169</v>
      </c>
      <c r="F12" s="468" t="s">
        <v>1169</v>
      </c>
      <c r="G12" s="1742">
        <f>'Expenditures 15-22'!K229</f>
        <v>45439</v>
      </c>
      <c r="H12" s="521"/>
      <c r="I12" s="468" t="s">
        <v>1169</v>
      </c>
      <c r="J12" s="468" t="s">
        <v>1169</v>
      </c>
      <c r="K12" s="521" t="s">
        <v>1169</v>
      </c>
      <c r="L12" s="347"/>
    </row>
    <row r="13" spans="1:13" ht="15.75" customHeight="1" x14ac:dyDescent="0.2">
      <c r="A13" s="1576" t="s">
        <v>457</v>
      </c>
      <c r="B13" s="1578">
        <v>2000</v>
      </c>
      <c r="C13" s="1743">
        <f>'Expenditures 15-22'!K74</f>
        <v>1241758</v>
      </c>
      <c r="D13" s="1743">
        <f>'Expenditures 15-22'!K129</f>
        <v>218121</v>
      </c>
      <c r="E13" s="469" t="s">
        <v>1169</v>
      </c>
      <c r="F13" s="1743">
        <f>'Expenditures 15-22'!K184</f>
        <v>680240</v>
      </c>
      <c r="G13" s="1743">
        <f>'Expenditures 15-22'!K279</f>
        <v>67345</v>
      </c>
      <c r="H13" s="1743">
        <f>'Expenditures 15-22'!K303</f>
        <v>30536</v>
      </c>
      <c r="I13" s="468" t="s">
        <v>1169</v>
      </c>
      <c r="J13" s="1743">
        <f>'Expenditures 15-22'!K330</f>
        <v>68440</v>
      </c>
      <c r="K13" s="1747">
        <f>'Expenditures 15-22'!K352</f>
        <v>0</v>
      </c>
      <c r="L13" s="347"/>
    </row>
    <row r="14" spans="1:13" ht="15.75" customHeight="1" x14ac:dyDescent="0.2">
      <c r="A14" s="1576" t="s">
        <v>449</v>
      </c>
      <c r="B14" s="1578">
        <v>3000</v>
      </c>
      <c r="C14" s="1743">
        <f>'Expenditures 15-22'!K75</f>
        <v>2075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94592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132991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3746103</v>
      </c>
      <c r="D17" s="1688">
        <f t="shared" si="2"/>
        <v>218121</v>
      </c>
      <c r="E17" s="1688">
        <f t="shared" si="2"/>
        <v>132991</v>
      </c>
      <c r="F17" s="1688">
        <f t="shared" si="2"/>
        <v>680240</v>
      </c>
      <c r="G17" s="1688">
        <f t="shared" si="2"/>
        <v>112784</v>
      </c>
      <c r="H17" s="1688">
        <f t="shared" si="2"/>
        <v>30536</v>
      </c>
      <c r="I17" s="468"/>
      <c r="J17" s="1688">
        <f>SUM(J12:J16)</f>
        <v>68440</v>
      </c>
      <c r="K17" s="1688">
        <f>SUM(K12:K16)</f>
        <v>0</v>
      </c>
      <c r="L17" s="347"/>
    </row>
    <row r="18" spans="1:12" ht="15" customHeight="1" thickTop="1" x14ac:dyDescent="0.2">
      <c r="A18" s="1744" t="s">
        <v>1654</v>
      </c>
      <c r="B18" s="1745">
        <v>4180</v>
      </c>
      <c r="C18" s="1742">
        <f t="shared" ref="C18:H18" si="3">C9</f>
        <v>1357149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5103252</v>
      </c>
      <c r="D19" s="1688">
        <f t="shared" si="4"/>
        <v>218121</v>
      </c>
      <c r="E19" s="1688">
        <f t="shared" si="4"/>
        <v>132991</v>
      </c>
      <c r="F19" s="1688">
        <f t="shared" si="4"/>
        <v>680240</v>
      </c>
      <c r="G19" s="1688">
        <f t="shared" si="4"/>
        <v>112784</v>
      </c>
      <c r="H19" s="1688">
        <f t="shared" si="4"/>
        <v>30536</v>
      </c>
      <c r="I19" s="468"/>
      <c r="J19" s="1688">
        <f>SUM(J17:J18)</f>
        <v>68440</v>
      </c>
      <c r="K19" s="1688">
        <f>SUM(K17:K18)</f>
        <v>0</v>
      </c>
      <c r="L19" s="347"/>
    </row>
    <row r="20" spans="1:12" ht="16.5" thickTop="1" thickBot="1" x14ac:dyDescent="0.25">
      <c r="A20" s="2131" t="s">
        <v>1655</v>
      </c>
      <c r="B20" s="2132"/>
      <c r="C20" s="1746">
        <f>C8-C17</f>
        <v>881332</v>
      </c>
      <c r="D20" s="1746">
        <f t="shared" ref="D20:K20" si="5">D8-D17</f>
        <v>51757</v>
      </c>
      <c r="E20" s="1746">
        <f t="shared" si="5"/>
        <v>-309</v>
      </c>
      <c r="F20" s="1746">
        <f t="shared" si="5"/>
        <v>75450</v>
      </c>
      <c r="G20" s="1746">
        <f t="shared" si="5"/>
        <v>24603</v>
      </c>
      <c r="H20" s="1746">
        <f t="shared" si="5"/>
        <v>75839</v>
      </c>
      <c r="I20" s="1746">
        <f t="shared" si="5"/>
        <v>2006</v>
      </c>
      <c r="J20" s="1746">
        <f t="shared" si="5"/>
        <v>26832</v>
      </c>
      <c r="K20" s="1746">
        <f t="shared" si="5"/>
        <v>5015</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920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920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920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882252</v>
      </c>
      <c r="D78" s="1702">
        <f t="shared" si="9"/>
        <v>51757</v>
      </c>
      <c r="E78" s="1702">
        <f t="shared" si="9"/>
        <v>-309</v>
      </c>
      <c r="F78" s="1702">
        <f t="shared" si="9"/>
        <v>75450</v>
      </c>
      <c r="G78" s="1702">
        <f t="shared" si="9"/>
        <v>24603</v>
      </c>
      <c r="H78" s="1702">
        <f t="shared" si="9"/>
        <v>75839</v>
      </c>
      <c r="I78" s="1702">
        <f t="shared" si="9"/>
        <v>2006</v>
      </c>
      <c r="J78" s="1702">
        <f t="shared" si="9"/>
        <v>26832</v>
      </c>
      <c r="K78" s="1702">
        <f t="shared" si="9"/>
        <v>5015</v>
      </c>
      <c r="L78" s="533"/>
    </row>
    <row r="79" spans="1:12" ht="13.5" thickTop="1" x14ac:dyDescent="0.2">
      <c r="A79" s="1494" t="s">
        <v>1949</v>
      </c>
      <c r="B79" s="534"/>
      <c r="C79" s="478">
        <v>1537728</v>
      </c>
      <c r="D79" s="535">
        <v>107246</v>
      </c>
      <c r="E79" s="535">
        <v>87216</v>
      </c>
      <c r="F79" s="535">
        <v>214404</v>
      </c>
      <c r="G79" s="535">
        <v>147340</v>
      </c>
      <c r="H79" s="535">
        <v>46769</v>
      </c>
      <c r="I79" s="535">
        <v>4008</v>
      </c>
      <c r="J79" s="535">
        <v>131667</v>
      </c>
      <c r="K79" s="535">
        <v>10712</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2419980</v>
      </c>
      <c r="D81" s="1688">
        <f>SUM(D78:D80)</f>
        <v>159003</v>
      </c>
      <c r="E81" s="1688">
        <f t="shared" ref="E81:K81" si="10">SUM(E78:E80)</f>
        <v>86907</v>
      </c>
      <c r="F81" s="1688">
        <f t="shared" si="10"/>
        <v>289854</v>
      </c>
      <c r="G81" s="1688">
        <f t="shared" si="10"/>
        <v>171943</v>
      </c>
      <c r="H81" s="1688">
        <f t="shared" si="10"/>
        <v>122608</v>
      </c>
      <c r="I81" s="1688">
        <f t="shared" si="10"/>
        <v>6014</v>
      </c>
      <c r="J81" s="1688">
        <f t="shared" si="10"/>
        <v>158499</v>
      </c>
      <c r="K81" s="1688">
        <f t="shared" si="10"/>
        <v>15727</v>
      </c>
      <c r="L81" s="347"/>
    </row>
    <row r="82" spans="1:12" ht="0.75" customHeight="1" thickTop="1" thickBot="1" x14ac:dyDescent="0.25">
      <c r="A82" s="536" t="s">
        <v>343</v>
      </c>
      <c r="B82" s="537"/>
      <c r="C82" s="538">
        <f>(C81-C79)</f>
        <v>882252</v>
      </c>
      <c r="D82" s="538">
        <f t="shared" ref="D82:K82" si="11">(D81-D79)</f>
        <v>51757</v>
      </c>
      <c r="E82" s="538">
        <f t="shared" si="11"/>
        <v>-309</v>
      </c>
      <c r="F82" s="538">
        <f t="shared" si="11"/>
        <v>75450</v>
      </c>
      <c r="G82" s="538">
        <f t="shared" si="11"/>
        <v>24603</v>
      </c>
      <c r="H82" s="538">
        <f t="shared" si="11"/>
        <v>75839</v>
      </c>
      <c r="I82" s="538">
        <f t="shared" si="11"/>
        <v>2006</v>
      </c>
      <c r="J82" s="538">
        <f t="shared" si="11"/>
        <v>26832</v>
      </c>
      <c r="K82" s="538">
        <f t="shared" si="11"/>
        <v>5015</v>
      </c>
    </row>
    <row r="83" spans="1:12" ht="14.25" hidden="1" thickTop="1" thickBot="1" x14ac:dyDescent="0.25">
      <c r="A83" s="539" t="s">
        <v>344</v>
      </c>
      <c r="B83" s="464"/>
      <c r="C83" s="540">
        <f>C82/C81</f>
        <v>0.36456995512359608</v>
      </c>
      <c r="D83" s="540">
        <f t="shared" ref="D83:K83" si="12">D82/D81</f>
        <v>0.32550958158022175</v>
      </c>
      <c r="E83" s="540">
        <f t="shared" si="12"/>
        <v>-3.5555248714142706E-3</v>
      </c>
      <c r="F83" s="540">
        <f t="shared" si="12"/>
        <v>0.26030346312281355</v>
      </c>
      <c r="G83" s="540">
        <f t="shared" si="12"/>
        <v>0.14308811641067098</v>
      </c>
      <c r="H83" s="540">
        <f t="shared" si="12"/>
        <v>0.61854854495628342</v>
      </c>
      <c r="I83" s="540">
        <f t="shared" si="12"/>
        <v>0.3335550382440971</v>
      </c>
      <c r="J83" s="540">
        <f t="shared" si="12"/>
        <v>0.16928813430999565</v>
      </c>
      <c r="K83" s="540">
        <f t="shared" si="12"/>
        <v>0.31887836205252112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2"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430497</v>
      </c>
      <c r="D5" s="481">
        <v>90387</v>
      </c>
      <c r="E5" s="466">
        <v>130618</v>
      </c>
      <c r="F5" s="548">
        <v>58217</v>
      </c>
      <c r="G5" s="466">
        <v>49337</v>
      </c>
      <c r="H5" s="466"/>
      <c r="I5" s="466">
        <v>1973</v>
      </c>
      <c r="J5" s="467">
        <v>93741</v>
      </c>
      <c r="K5" s="466">
        <v>4934</v>
      </c>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61672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430497</v>
      </c>
      <c r="D12" s="1707">
        <f t="shared" si="0"/>
        <v>90387</v>
      </c>
      <c r="E12" s="1707">
        <f t="shared" si="0"/>
        <v>130618</v>
      </c>
      <c r="F12" s="1707">
        <f t="shared" si="0"/>
        <v>58217</v>
      </c>
      <c r="G12" s="1707">
        <f t="shared" si="0"/>
        <v>111009</v>
      </c>
      <c r="H12" s="1707">
        <f t="shared" si="0"/>
        <v>0</v>
      </c>
      <c r="I12" s="1707">
        <f t="shared" si="0"/>
        <v>1973</v>
      </c>
      <c r="J12" s="1707">
        <f t="shared" si="0"/>
        <v>93741</v>
      </c>
      <c r="K12" s="1688">
        <f t="shared" si="0"/>
        <v>4934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6621</v>
      </c>
      <c r="D14" s="466">
        <v>1391</v>
      </c>
      <c r="E14" s="466">
        <v>2012</v>
      </c>
      <c r="F14" s="466">
        <v>895</v>
      </c>
      <c r="G14" s="466">
        <v>1707</v>
      </c>
      <c r="H14" s="466"/>
      <c r="I14" s="466">
        <v>30</v>
      </c>
      <c r="J14" s="467">
        <v>1442</v>
      </c>
      <c r="K14" s="466">
        <v>76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268937</v>
      </c>
      <c r="D16" s="466">
        <v>50000</v>
      </c>
      <c r="E16" s="466"/>
      <c r="F16" s="466"/>
      <c r="G16" s="466">
        <v>15000</v>
      </c>
      <c r="H16" s="466"/>
      <c r="I16" s="466"/>
      <c r="J16" s="467"/>
      <c r="K16" s="466"/>
    </row>
    <row r="17" spans="1:11" ht="12.75" customHeight="1" x14ac:dyDescent="0.2">
      <c r="A17" s="463" t="s">
        <v>807</v>
      </c>
      <c r="B17" s="470">
        <v>1290</v>
      </c>
      <c r="C17" s="551">
        <v>999</v>
      </c>
      <c r="D17" s="466"/>
      <c r="E17" s="466"/>
      <c r="F17" s="466"/>
      <c r="G17" s="466"/>
      <c r="H17" s="466"/>
      <c r="I17" s="466"/>
      <c r="J17" s="467"/>
      <c r="K17" s="466"/>
    </row>
    <row r="18" spans="1:11" ht="12.75" customHeight="1" thickBot="1" x14ac:dyDescent="0.25">
      <c r="A18" s="1708" t="s">
        <v>537</v>
      </c>
      <c r="B18" s="1709"/>
      <c r="C18" s="1710">
        <f>SUM(C14:C17)</f>
        <v>276557</v>
      </c>
      <c r="D18" s="1710">
        <f t="shared" ref="D18:K18" si="1">SUM(D14:D17)</f>
        <v>51391</v>
      </c>
      <c r="E18" s="1710">
        <f t="shared" si="1"/>
        <v>2012</v>
      </c>
      <c r="F18" s="1710">
        <f t="shared" si="1"/>
        <v>895</v>
      </c>
      <c r="G18" s="1710">
        <f t="shared" si="1"/>
        <v>16707</v>
      </c>
      <c r="H18" s="1710">
        <f t="shared" si="1"/>
        <v>0</v>
      </c>
      <c r="I18" s="1710">
        <f t="shared" si="1"/>
        <v>30</v>
      </c>
      <c r="J18" s="1710">
        <f t="shared" si="1"/>
        <v>1442</v>
      </c>
      <c r="K18" s="1711">
        <f t="shared" si="1"/>
        <v>76</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1104</v>
      </c>
      <c r="D65" s="466">
        <v>80</v>
      </c>
      <c r="E65" s="466">
        <v>52</v>
      </c>
      <c r="F65" s="467">
        <v>136</v>
      </c>
      <c r="G65" s="466">
        <v>92</v>
      </c>
      <c r="H65" s="466"/>
      <c r="I65" s="466">
        <v>3</v>
      </c>
      <c r="J65" s="467">
        <v>89</v>
      </c>
      <c r="K65" s="466">
        <v>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1104</v>
      </c>
      <c r="D67" s="1688">
        <f t="shared" ref="D67:K67" si="2">SUM(D65:D66)</f>
        <v>80</v>
      </c>
      <c r="E67" s="1688">
        <f t="shared" si="2"/>
        <v>52</v>
      </c>
      <c r="F67" s="1688">
        <f t="shared" si="2"/>
        <v>136</v>
      </c>
      <c r="G67" s="1688">
        <f t="shared" si="2"/>
        <v>92</v>
      </c>
      <c r="H67" s="1688">
        <f t="shared" si="2"/>
        <v>0</v>
      </c>
      <c r="I67" s="1688">
        <f t="shared" si="2"/>
        <v>3</v>
      </c>
      <c r="J67" s="1688">
        <f t="shared" si="2"/>
        <v>89</v>
      </c>
      <c r="K67" s="1688">
        <f t="shared" si="2"/>
        <v>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303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7106</v>
      </c>
      <c r="D73" s="468"/>
      <c r="E73" s="468"/>
      <c r="F73" s="468"/>
      <c r="G73" s="468"/>
      <c r="H73" s="468"/>
      <c r="I73" s="468"/>
      <c r="J73" s="468"/>
      <c r="K73" s="468"/>
    </row>
    <row r="74" spans="1:11" ht="12.75" customHeight="1" x14ac:dyDescent="0.2">
      <c r="A74" s="463" t="s">
        <v>25</v>
      </c>
      <c r="B74" s="470">
        <v>1690</v>
      </c>
      <c r="C74" s="551">
        <v>13886</v>
      </c>
      <c r="D74" s="468"/>
      <c r="E74" s="468"/>
      <c r="F74" s="468"/>
      <c r="G74" s="468"/>
      <c r="H74" s="468"/>
      <c r="I74" s="468"/>
      <c r="J74" s="468"/>
      <c r="K74" s="468"/>
    </row>
    <row r="75" spans="1:11" ht="12.75" customHeight="1" thickBot="1" x14ac:dyDescent="0.25">
      <c r="A75" s="1708" t="s">
        <v>548</v>
      </c>
      <c r="B75" s="1709"/>
      <c r="C75" s="1688">
        <f>SUM(C69:C74)</f>
        <v>21295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10056</v>
      </c>
      <c r="D77" s="466"/>
      <c r="E77" s="468"/>
      <c r="F77" s="468"/>
      <c r="G77" s="468"/>
      <c r="H77" s="468"/>
      <c r="I77" s="468"/>
      <c r="J77" s="468"/>
      <c r="K77" s="468"/>
    </row>
    <row r="78" spans="1:11" ht="12.75" customHeight="1" x14ac:dyDescent="0.2">
      <c r="A78" s="463" t="s">
        <v>76</v>
      </c>
      <c r="B78" s="470">
        <v>1719</v>
      </c>
      <c r="C78" s="551">
        <v>416</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10472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6710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6710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8020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4828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260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106375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8056</v>
      </c>
      <c r="D107" s="466"/>
      <c r="E107" s="466"/>
      <c r="F107" s="466"/>
      <c r="G107" s="466"/>
      <c r="H107" s="466"/>
      <c r="I107" s="466"/>
      <c r="J107" s="467"/>
      <c r="K107" s="466"/>
    </row>
    <row r="108" spans="1:12" ht="12.75" customHeight="1" thickBot="1" x14ac:dyDescent="0.25">
      <c r="A108" s="1708" t="s">
        <v>487</v>
      </c>
      <c r="B108" s="1712"/>
      <c r="C108" s="1707">
        <f>SUM(C95:C107)</f>
        <v>13144</v>
      </c>
      <c r="D108" s="1707">
        <f t="shared" ref="D108:K108" si="3">SUM(D95:D107)</f>
        <v>8020</v>
      </c>
      <c r="E108" s="1707">
        <f t="shared" si="3"/>
        <v>0</v>
      </c>
      <c r="F108" s="1707">
        <f t="shared" si="3"/>
        <v>0</v>
      </c>
      <c r="G108" s="1707">
        <f t="shared" si="3"/>
        <v>0</v>
      </c>
      <c r="H108" s="1707">
        <f t="shared" si="3"/>
        <v>106375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759779</v>
      </c>
      <c r="D109" s="1715">
        <f t="shared" si="4"/>
        <v>149878</v>
      </c>
      <c r="E109" s="1715">
        <f t="shared" si="4"/>
        <v>132682</v>
      </c>
      <c r="F109" s="1715">
        <f t="shared" si="4"/>
        <v>59248</v>
      </c>
      <c r="G109" s="1715">
        <f t="shared" si="4"/>
        <v>127808</v>
      </c>
      <c r="H109" s="1715">
        <f t="shared" si="4"/>
        <v>106375</v>
      </c>
      <c r="I109" s="1715">
        <f t="shared" si="4"/>
        <v>2006</v>
      </c>
      <c r="J109" s="1715">
        <f t="shared" si="4"/>
        <v>95272</v>
      </c>
      <c r="K109" s="1702">
        <f t="shared" si="4"/>
        <v>5015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2952511</v>
      </c>
      <c r="D117" s="481">
        <v>120000</v>
      </c>
      <c r="E117" s="466"/>
      <c r="F117" s="481">
        <v>209932</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2952511</v>
      </c>
      <c r="D122" s="1707">
        <f t="shared" si="5"/>
        <v>120000</v>
      </c>
      <c r="E122" s="1707">
        <f t="shared" si="5"/>
        <v>0</v>
      </c>
      <c r="F122" s="1707">
        <f t="shared" si="5"/>
        <v>209932</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6143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25841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7929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33770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7282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8381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316101</v>
      </c>
      <c r="G152" s="467"/>
      <c r="H152" s="468"/>
      <c r="I152" s="468"/>
      <c r="J152" s="468"/>
      <c r="K152" s="468"/>
    </row>
    <row r="153" spans="1:11" ht="12.75" customHeight="1" x14ac:dyDescent="0.2">
      <c r="A153" s="463" t="s">
        <v>1057</v>
      </c>
      <c r="B153" s="562">
        <v>3510</v>
      </c>
      <c r="C153" s="551"/>
      <c r="D153" s="466"/>
      <c r="E153" s="561"/>
      <c r="F153" s="466">
        <v>161109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477210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68316</v>
      </c>
      <c r="D159" s="578"/>
      <c r="E159" s="561"/>
      <c r="F159" s="576">
        <v>9300</v>
      </c>
      <c r="G159" s="576">
        <v>700</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123892</v>
      </c>
      <c r="D169" s="1722">
        <f t="shared" si="6"/>
        <v>0</v>
      </c>
      <c r="E169" s="1722">
        <f t="shared" si="6"/>
        <v>0</v>
      </c>
      <c r="F169" s="1722">
        <f t="shared" si="6"/>
        <v>486510</v>
      </c>
      <c r="G169" s="1722">
        <f t="shared" si="6"/>
        <v>700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3076403</v>
      </c>
      <c r="D170" s="1715">
        <f t="shared" si="7"/>
        <v>120000</v>
      </c>
      <c r="E170" s="1715">
        <f t="shared" si="7"/>
        <v>0</v>
      </c>
      <c r="F170" s="1715">
        <f t="shared" si="7"/>
        <v>696442</v>
      </c>
      <c r="G170" s="1715">
        <f t="shared" si="7"/>
        <v>700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233185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98761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331946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341185</v>
      </c>
      <c r="D200" s="466"/>
      <c r="E200" s="468"/>
      <c r="F200" s="466"/>
      <c r="G200" s="466">
        <v>8602</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341185</v>
      </c>
      <c r="D204" s="1707">
        <f>SUM(D200:D203)</f>
        <v>0</v>
      </c>
      <c r="E204" s="468"/>
      <c r="F204" s="1707">
        <f>SUM(F200:F203)</f>
        <v>0</v>
      </c>
      <c r="G204" s="1707">
        <f>SUM(G200:G203)</f>
        <v>8602</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82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82</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53672</v>
      </c>
      <c r="D259" s="576"/>
      <c r="E259" s="468"/>
      <c r="F259" s="576"/>
      <c r="G259" s="576">
        <v>277</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9748</v>
      </c>
      <c r="D263" s="576"/>
      <c r="E263" s="468"/>
      <c r="F263" s="576"/>
      <c r="G263" s="576"/>
      <c r="H263" s="468"/>
      <c r="I263" s="468"/>
      <c r="J263" s="468"/>
      <c r="K263" s="468"/>
    </row>
    <row r="264" spans="1:11" ht="12.75" customHeight="1" thickTop="1" thickBot="1" x14ac:dyDescent="0.25">
      <c r="A264" s="463" t="s">
        <v>377</v>
      </c>
      <c r="B264" s="470">
        <v>4992</v>
      </c>
      <c r="C264" s="575">
        <v>54620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791253</v>
      </c>
      <c r="D266" s="1715">
        <f t="shared" si="10"/>
        <v>0</v>
      </c>
      <c r="E266" s="1715">
        <f t="shared" si="10"/>
        <v>0</v>
      </c>
      <c r="F266" s="1715">
        <f t="shared" si="10"/>
        <v>0</v>
      </c>
      <c r="G266" s="1715">
        <f t="shared" si="10"/>
        <v>8879</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791253</v>
      </c>
      <c r="D267" s="1715">
        <f>SUM(D175,D181,D266)</f>
        <v>0</v>
      </c>
      <c r="E267" s="1715">
        <f>SUM(E175,E266)</f>
        <v>0</v>
      </c>
      <c r="F267" s="1715">
        <f t="shared" ref="F267:K267" si="11">SUM(F175,F181,F266)</f>
        <v>0</v>
      </c>
      <c r="G267" s="1715">
        <f t="shared" si="11"/>
        <v>8879</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4627435</v>
      </c>
      <c r="D268" s="1715">
        <f t="shared" si="12"/>
        <v>269878</v>
      </c>
      <c r="E268" s="1715">
        <f t="shared" si="12"/>
        <v>132682</v>
      </c>
      <c r="F268" s="1715">
        <f t="shared" si="12"/>
        <v>755690</v>
      </c>
      <c r="G268" s="1715">
        <f t="shared" si="12"/>
        <v>137387</v>
      </c>
      <c r="H268" s="1715">
        <f t="shared" si="12"/>
        <v>106375</v>
      </c>
      <c r="I268" s="1715">
        <f t="shared" si="12"/>
        <v>2006</v>
      </c>
      <c r="J268" s="1715">
        <f t="shared" si="12"/>
        <v>95272</v>
      </c>
      <c r="K268" s="1702">
        <f t="shared" si="12"/>
        <v>5015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intregal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1" activePane="bottomLeft" state="frozen"/>
      <selection pane="bottomLeft" activeCell="J378" sqref="J37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1099090</v>
      </c>
      <c r="D5" s="466">
        <v>240390</v>
      </c>
      <c r="E5" s="466">
        <v>9648</v>
      </c>
      <c r="F5" s="466">
        <v>44595</v>
      </c>
      <c r="G5" s="466">
        <v>8879</v>
      </c>
      <c r="H5" s="466">
        <v>1051</v>
      </c>
      <c r="I5" s="467"/>
      <c r="J5" s="467"/>
      <c r="K5" s="1671">
        <f>SUM(C5:J5)</f>
        <v>1403653</v>
      </c>
      <c r="L5" s="466">
        <v>1365614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25827</v>
      </c>
      <c r="D7" s="467">
        <v>2502</v>
      </c>
      <c r="E7" s="467"/>
      <c r="F7" s="467">
        <v>10237</v>
      </c>
      <c r="G7" s="467"/>
      <c r="H7" s="467"/>
      <c r="I7" s="467"/>
      <c r="J7" s="467"/>
      <c r="K7" s="1671">
        <f t="shared" ref="K7:K32" si="0">SUM(C7:J7)</f>
        <v>38566</v>
      </c>
      <c r="L7" s="466">
        <v>44004</v>
      </c>
    </row>
    <row r="8" spans="1:14" x14ac:dyDescent="0.2">
      <c r="A8" s="1504" t="s">
        <v>164</v>
      </c>
      <c r="B8" s="614">
        <v>1200</v>
      </c>
      <c r="C8" s="466">
        <v>395725</v>
      </c>
      <c r="D8" s="466">
        <v>53974</v>
      </c>
      <c r="E8" s="466">
        <v>3379</v>
      </c>
      <c r="F8" s="466">
        <v>268</v>
      </c>
      <c r="G8" s="466"/>
      <c r="H8" s="466">
        <v>225</v>
      </c>
      <c r="I8" s="467"/>
      <c r="J8" s="467"/>
      <c r="K8" s="1671">
        <f t="shared" si="0"/>
        <v>453571</v>
      </c>
      <c r="L8" s="466">
        <v>482565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168720</v>
      </c>
      <c r="D10" s="466">
        <v>51240</v>
      </c>
      <c r="E10" s="466">
        <v>20655</v>
      </c>
      <c r="F10" s="466">
        <v>48020</v>
      </c>
      <c r="G10" s="466"/>
      <c r="H10" s="466"/>
      <c r="I10" s="467"/>
      <c r="J10" s="467"/>
      <c r="K10" s="1671">
        <f t="shared" si="0"/>
        <v>288635</v>
      </c>
      <c r="L10" s="466">
        <v>236197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113058</v>
      </c>
      <c r="D13" s="466">
        <v>29676</v>
      </c>
      <c r="E13" s="466">
        <v>808</v>
      </c>
      <c r="F13" s="466">
        <v>5073</v>
      </c>
      <c r="G13" s="466">
        <v>845</v>
      </c>
      <c r="H13" s="466">
        <v>1030</v>
      </c>
      <c r="I13" s="467"/>
      <c r="J13" s="467"/>
      <c r="K13" s="1671">
        <f t="shared" si="0"/>
        <v>150490</v>
      </c>
      <c r="L13" s="466">
        <v>156748</v>
      </c>
    </row>
    <row r="14" spans="1:14" x14ac:dyDescent="0.2">
      <c r="A14" s="1504" t="s">
        <v>963</v>
      </c>
      <c r="B14" s="614">
        <v>1500</v>
      </c>
      <c r="C14" s="466">
        <v>19956</v>
      </c>
      <c r="D14" s="466">
        <v>295</v>
      </c>
      <c r="E14" s="466">
        <v>15536</v>
      </c>
      <c r="F14" s="466">
        <v>3488</v>
      </c>
      <c r="G14" s="466"/>
      <c r="H14" s="466">
        <v>870</v>
      </c>
      <c r="I14" s="467"/>
      <c r="J14" s="467"/>
      <c r="K14" s="1671">
        <f t="shared" si="0"/>
        <v>40145</v>
      </c>
      <c r="L14" s="466">
        <v>38958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1304</v>
      </c>
      <c r="D16" s="466">
        <v>182</v>
      </c>
      <c r="E16" s="466">
        <v>1000</v>
      </c>
      <c r="F16" s="466"/>
      <c r="G16" s="466"/>
      <c r="H16" s="466">
        <v>631</v>
      </c>
      <c r="I16" s="467"/>
      <c r="J16" s="467"/>
      <c r="K16" s="1671">
        <f t="shared" si="0"/>
        <v>3117</v>
      </c>
      <c r="L16" s="466">
        <v>3610</v>
      </c>
    </row>
    <row r="17" spans="1:12" x14ac:dyDescent="0.2">
      <c r="A17" s="1504" t="s">
        <v>724</v>
      </c>
      <c r="B17" s="614" t="s">
        <v>162</v>
      </c>
      <c r="C17" s="467">
        <v>21525</v>
      </c>
      <c r="D17" s="467">
        <v>5677</v>
      </c>
      <c r="E17" s="467">
        <v>815</v>
      </c>
      <c r="F17" s="467">
        <v>1484</v>
      </c>
      <c r="G17" s="467"/>
      <c r="H17" s="467"/>
      <c r="I17" s="467"/>
      <c r="J17" s="467"/>
      <c r="K17" s="1671">
        <f t="shared" si="0"/>
        <v>29501</v>
      </c>
      <c r="L17" s="466">
        <v>22100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1845205</v>
      </c>
      <c r="D33" s="1670">
        <f t="shared" ref="D33:L33" si="1">SUM(D5:D32)</f>
        <v>383936</v>
      </c>
      <c r="E33" s="1670">
        <f t="shared" si="1"/>
        <v>51841</v>
      </c>
      <c r="F33" s="1670">
        <f t="shared" si="1"/>
        <v>113165</v>
      </c>
      <c r="G33" s="1670">
        <f t="shared" si="1"/>
        <v>9724</v>
      </c>
      <c r="H33" s="1670">
        <f t="shared" si="1"/>
        <v>3807</v>
      </c>
      <c r="I33" s="1670">
        <f t="shared" si="1"/>
        <v>0</v>
      </c>
      <c r="J33" s="1670">
        <f t="shared" si="1"/>
        <v>0</v>
      </c>
      <c r="K33" s="1670">
        <f t="shared" si="1"/>
        <v>2407678</v>
      </c>
      <c r="L33" s="1670">
        <f t="shared" si="1"/>
        <v>2349796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41170</v>
      </c>
      <c r="D37" s="466">
        <v>13169</v>
      </c>
      <c r="E37" s="466">
        <v>155</v>
      </c>
      <c r="F37" s="466">
        <v>135</v>
      </c>
      <c r="G37" s="466"/>
      <c r="H37" s="466"/>
      <c r="I37" s="467"/>
      <c r="J37" s="467"/>
      <c r="K37" s="1671">
        <f t="shared" si="2"/>
        <v>54629</v>
      </c>
      <c r="L37" s="466">
        <v>26875</v>
      </c>
    </row>
    <row r="38" spans="1:14" x14ac:dyDescent="0.2">
      <c r="A38" s="1504" t="s">
        <v>198</v>
      </c>
      <c r="B38" s="614">
        <v>2130</v>
      </c>
      <c r="C38" s="466">
        <v>22184</v>
      </c>
      <c r="D38" s="466">
        <v>3737</v>
      </c>
      <c r="E38" s="466">
        <v>3115</v>
      </c>
      <c r="F38" s="466">
        <v>990</v>
      </c>
      <c r="G38" s="466"/>
      <c r="H38" s="466"/>
      <c r="I38" s="467"/>
      <c r="J38" s="467"/>
      <c r="K38" s="1671">
        <f t="shared" si="2"/>
        <v>30026</v>
      </c>
      <c r="L38" s="466">
        <v>34532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63354</v>
      </c>
      <c r="D42" s="1670">
        <f t="shared" ref="D42:L42" si="3">SUM(D36:D41)</f>
        <v>16906</v>
      </c>
      <c r="E42" s="1670">
        <f t="shared" si="3"/>
        <v>3270</v>
      </c>
      <c r="F42" s="1670">
        <f t="shared" si="3"/>
        <v>1125</v>
      </c>
      <c r="G42" s="1670">
        <f t="shared" si="3"/>
        <v>0</v>
      </c>
      <c r="H42" s="1670">
        <f t="shared" si="3"/>
        <v>0</v>
      </c>
      <c r="I42" s="1670">
        <f t="shared" si="3"/>
        <v>0</v>
      </c>
      <c r="J42" s="1670">
        <f t="shared" si="3"/>
        <v>0</v>
      </c>
      <c r="K42" s="1670">
        <f t="shared" si="3"/>
        <v>84655</v>
      </c>
      <c r="L42" s="1670">
        <f t="shared" si="3"/>
        <v>61407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4147</v>
      </c>
      <c r="D44" s="481">
        <v>487</v>
      </c>
      <c r="E44" s="481">
        <v>14530</v>
      </c>
      <c r="F44" s="481"/>
      <c r="G44" s="481"/>
      <c r="H44" s="481"/>
      <c r="I44" s="467"/>
      <c r="J44" s="467"/>
      <c r="K44" s="1672">
        <f>SUM(C44:J44)</f>
        <v>19164</v>
      </c>
      <c r="L44" s="481">
        <v>9801</v>
      </c>
    </row>
    <row r="45" spans="1:14" x14ac:dyDescent="0.2">
      <c r="A45" s="1504" t="s">
        <v>815</v>
      </c>
      <c r="B45" s="614">
        <v>2220</v>
      </c>
      <c r="C45" s="466">
        <v>14180</v>
      </c>
      <c r="D45" s="466">
        <v>4594</v>
      </c>
      <c r="E45" s="466"/>
      <c r="F45" s="466">
        <v>321</v>
      </c>
      <c r="G45" s="466"/>
      <c r="H45" s="466"/>
      <c r="I45" s="467"/>
      <c r="J45" s="467"/>
      <c r="K45" s="1672">
        <f>SUM(C45:J45)</f>
        <v>19095</v>
      </c>
      <c r="L45" s="466">
        <v>21264</v>
      </c>
    </row>
    <row r="46" spans="1:14" x14ac:dyDescent="0.2">
      <c r="A46" s="1504" t="s">
        <v>816</v>
      </c>
      <c r="B46" s="614">
        <v>2230</v>
      </c>
      <c r="C46" s="466"/>
      <c r="D46" s="466"/>
      <c r="E46" s="466"/>
      <c r="F46" s="466"/>
      <c r="G46" s="466"/>
      <c r="H46" s="466"/>
      <c r="I46" s="467"/>
      <c r="J46" s="467"/>
      <c r="K46" s="1672">
        <f>SUM(C46:J46)</f>
        <v>0</v>
      </c>
      <c r="L46" s="466">
        <v>2340</v>
      </c>
    </row>
    <row r="47" spans="1:14" ht="12.75" customHeight="1" thickBot="1" x14ac:dyDescent="0.25">
      <c r="A47" s="1668" t="s">
        <v>561</v>
      </c>
      <c r="B47" s="1669" t="s">
        <v>32</v>
      </c>
      <c r="C47" s="1670">
        <f>SUM(C44:C46)</f>
        <v>18327</v>
      </c>
      <c r="D47" s="1670">
        <f t="shared" ref="D47:K47" si="4">SUM(D44:D46)</f>
        <v>5081</v>
      </c>
      <c r="E47" s="1670">
        <f t="shared" si="4"/>
        <v>14530</v>
      </c>
      <c r="F47" s="1670">
        <f t="shared" si="4"/>
        <v>321</v>
      </c>
      <c r="G47" s="1670">
        <f t="shared" si="4"/>
        <v>0</v>
      </c>
      <c r="H47" s="1670">
        <f t="shared" si="4"/>
        <v>0</v>
      </c>
      <c r="I47" s="1670">
        <f t="shared" si="4"/>
        <v>0</v>
      </c>
      <c r="J47" s="1670">
        <f t="shared" si="4"/>
        <v>0</v>
      </c>
      <c r="K47" s="1670">
        <f t="shared" si="4"/>
        <v>38259</v>
      </c>
      <c r="L47" s="1670">
        <f>SUM(L44:L46)</f>
        <v>33405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11758</v>
      </c>
      <c r="F49" s="481">
        <v>1519</v>
      </c>
      <c r="G49" s="481"/>
      <c r="H49" s="481">
        <v>8362</v>
      </c>
      <c r="I49" s="467"/>
      <c r="J49" s="467"/>
      <c r="K49" s="1672">
        <f>SUM(C49:J49)</f>
        <v>21639</v>
      </c>
      <c r="L49" s="481">
        <v>21923</v>
      </c>
    </row>
    <row r="50" spans="1:14" x14ac:dyDescent="0.2">
      <c r="A50" s="1504" t="s">
        <v>818</v>
      </c>
      <c r="B50" s="614">
        <v>2320</v>
      </c>
      <c r="C50" s="466">
        <v>50139</v>
      </c>
      <c r="D50" s="466">
        <v>3260</v>
      </c>
      <c r="E50" s="466">
        <v>2845</v>
      </c>
      <c r="F50" s="466"/>
      <c r="G50" s="466">
        <v>530</v>
      </c>
      <c r="H50" s="466">
        <v>245</v>
      </c>
      <c r="I50" s="467"/>
      <c r="J50" s="467"/>
      <c r="K50" s="1672">
        <f>SUM(C50:J50)</f>
        <v>57019</v>
      </c>
      <c r="L50" s="466">
        <v>69307</v>
      </c>
    </row>
    <row r="51" spans="1:14" x14ac:dyDescent="0.2">
      <c r="A51" s="1504" t="s">
        <v>42</v>
      </c>
      <c r="B51" s="614">
        <v>2330</v>
      </c>
      <c r="C51" s="466">
        <v>14533</v>
      </c>
      <c r="D51" s="466"/>
      <c r="E51" s="466"/>
      <c r="F51" s="466"/>
      <c r="G51" s="466"/>
      <c r="H51" s="466"/>
      <c r="I51" s="467"/>
      <c r="J51" s="467"/>
      <c r="K51" s="1672">
        <f>SUM(C51:J51)</f>
        <v>14533</v>
      </c>
      <c r="L51" s="466">
        <v>12400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64672</v>
      </c>
      <c r="D53" s="1670">
        <f t="shared" ref="D53:L53" si="5">SUM(D49:D52)</f>
        <v>3260</v>
      </c>
      <c r="E53" s="1670">
        <f t="shared" si="5"/>
        <v>14603</v>
      </c>
      <c r="F53" s="1670">
        <f t="shared" si="5"/>
        <v>1519</v>
      </c>
      <c r="G53" s="1670">
        <f t="shared" si="5"/>
        <v>530</v>
      </c>
      <c r="H53" s="1670">
        <f t="shared" si="5"/>
        <v>8607</v>
      </c>
      <c r="I53" s="1670">
        <f t="shared" si="5"/>
        <v>0</v>
      </c>
      <c r="J53" s="1670">
        <f t="shared" si="5"/>
        <v>0</v>
      </c>
      <c r="K53" s="1670">
        <f t="shared" si="5"/>
        <v>93191</v>
      </c>
      <c r="L53" s="1670">
        <f t="shared" si="5"/>
        <v>103630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215407</v>
      </c>
      <c r="D55" s="481">
        <v>27665</v>
      </c>
      <c r="E55" s="481">
        <v>12462</v>
      </c>
      <c r="F55" s="481">
        <v>2317</v>
      </c>
      <c r="G55" s="481"/>
      <c r="H55" s="481">
        <v>860</v>
      </c>
      <c r="I55" s="467"/>
      <c r="J55" s="467"/>
      <c r="K55" s="1672">
        <f>SUM(C55:J55)</f>
        <v>258711</v>
      </c>
      <c r="L55" s="481">
        <v>224703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215407</v>
      </c>
      <c r="D57" s="1674">
        <f t="shared" ref="D57:K57" si="6">SUM(D55:D56)</f>
        <v>27665</v>
      </c>
      <c r="E57" s="1674">
        <f t="shared" si="6"/>
        <v>12462</v>
      </c>
      <c r="F57" s="1674">
        <f t="shared" si="6"/>
        <v>2317</v>
      </c>
      <c r="G57" s="1674">
        <f t="shared" si="6"/>
        <v>0</v>
      </c>
      <c r="H57" s="1674">
        <f t="shared" si="6"/>
        <v>860</v>
      </c>
      <c r="I57" s="1674">
        <f t="shared" si="6"/>
        <v>0</v>
      </c>
      <c r="J57" s="1674">
        <f t="shared" si="6"/>
        <v>0</v>
      </c>
      <c r="K57" s="1674">
        <f t="shared" si="6"/>
        <v>258711</v>
      </c>
      <c r="L57" s="1670">
        <f>SUM(L55:L56)</f>
        <v>224703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88240</v>
      </c>
      <c r="D60" s="466">
        <v>6674</v>
      </c>
      <c r="E60" s="466">
        <v>4543</v>
      </c>
      <c r="F60" s="466">
        <v>1170</v>
      </c>
      <c r="G60" s="466">
        <v>526</v>
      </c>
      <c r="H60" s="466"/>
      <c r="I60" s="467"/>
      <c r="J60" s="467"/>
      <c r="K60" s="1672">
        <f t="shared" si="7"/>
        <v>101153</v>
      </c>
      <c r="L60" s="466">
        <v>91979</v>
      </c>
      <c r="M60" s="609"/>
      <c r="N60" s="609"/>
    </row>
    <row r="61" spans="1:14" s="343" customFormat="1" x14ac:dyDescent="0.2">
      <c r="A61" s="1504" t="s">
        <v>197</v>
      </c>
      <c r="B61" s="614">
        <v>2540</v>
      </c>
      <c r="C61" s="466">
        <v>139902</v>
      </c>
      <c r="D61" s="466">
        <v>60</v>
      </c>
      <c r="E61" s="466">
        <v>58772</v>
      </c>
      <c r="F61" s="466">
        <v>61383</v>
      </c>
      <c r="G61" s="466">
        <v>13185</v>
      </c>
      <c r="H61" s="466"/>
      <c r="I61" s="467"/>
      <c r="J61" s="467"/>
      <c r="K61" s="1672">
        <f t="shared" si="7"/>
        <v>273302</v>
      </c>
      <c r="L61" s="466">
        <v>244582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79155</v>
      </c>
      <c r="D63" s="466">
        <v>13348</v>
      </c>
      <c r="E63" s="466">
        <v>3633</v>
      </c>
      <c r="F63" s="466">
        <v>236381</v>
      </c>
      <c r="G63" s="466">
        <v>13175</v>
      </c>
      <c r="H63" s="466"/>
      <c r="I63" s="467"/>
      <c r="J63" s="467"/>
      <c r="K63" s="1672">
        <f t="shared" si="7"/>
        <v>345692</v>
      </c>
      <c r="L63" s="466">
        <v>327406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307297</v>
      </c>
      <c r="D65" s="1670">
        <f t="shared" ref="D65:L65" si="8">SUM(D59:D64)</f>
        <v>20082</v>
      </c>
      <c r="E65" s="1670">
        <f t="shared" si="8"/>
        <v>66948</v>
      </c>
      <c r="F65" s="1670">
        <f t="shared" si="8"/>
        <v>298934</v>
      </c>
      <c r="G65" s="1670">
        <f t="shared" si="8"/>
        <v>26886</v>
      </c>
      <c r="H65" s="1670">
        <f t="shared" si="8"/>
        <v>0</v>
      </c>
      <c r="I65" s="1670">
        <f t="shared" si="8"/>
        <v>0</v>
      </c>
      <c r="J65" s="1670">
        <f t="shared" si="8"/>
        <v>0</v>
      </c>
      <c r="K65" s="1670">
        <f t="shared" si="8"/>
        <v>720147</v>
      </c>
      <c r="L65" s="1670">
        <f t="shared" si="8"/>
        <v>663967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v>4362</v>
      </c>
      <c r="G69" s="466"/>
      <c r="H69" s="466"/>
      <c r="I69" s="467"/>
      <c r="J69" s="467"/>
      <c r="K69" s="1672">
        <f>SUM(C69:J69)</f>
        <v>4362</v>
      </c>
      <c r="L69" s="466">
        <v>4205</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35771</v>
      </c>
      <c r="D71" s="466">
        <v>6662</v>
      </c>
      <c r="E71" s="466"/>
      <c r="F71" s="466"/>
      <c r="G71" s="466"/>
      <c r="H71" s="466"/>
      <c r="I71" s="467"/>
      <c r="J71" s="467"/>
      <c r="K71" s="1672">
        <f>SUM(C71:J71)</f>
        <v>42433</v>
      </c>
      <c r="L71" s="466">
        <v>37685</v>
      </c>
      <c r="M71" s="609"/>
      <c r="N71" s="609"/>
    </row>
    <row r="72" spans="1:14" s="343" customFormat="1" ht="12.75" customHeight="1" thickBot="1" x14ac:dyDescent="0.25">
      <c r="A72" s="1668" t="s">
        <v>37</v>
      </c>
      <c r="B72" s="1675" t="s">
        <v>36</v>
      </c>
      <c r="C72" s="1670">
        <f>SUM(C67:C71)</f>
        <v>35771</v>
      </c>
      <c r="D72" s="1670">
        <f t="shared" ref="D72:K72" si="9">SUM(D67:D71)</f>
        <v>6662</v>
      </c>
      <c r="E72" s="1670">
        <f t="shared" si="9"/>
        <v>0</v>
      </c>
      <c r="F72" s="1670">
        <f t="shared" si="9"/>
        <v>4362</v>
      </c>
      <c r="G72" s="1670">
        <f t="shared" si="9"/>
        <v>0</v>
      </c>
      <c r="H72" s="1670">
        <f t="shared" si="9"/>
        <v>0</v>
      </c>
      <c r="I72" s="1670">
        <f t="shared" si="9"/>
        <v>0</v>
      </c>
      <c r="J72" s="1670">
        <f t="shared" si="9"/>
        <v>0</v>
      </c>
      <c r="K72" s="1670">
        <f t="shared" si="9"/>
        <v>46795</v>
      </c>
      <c r="L72" s="1670">
        <f>SUM(L67:L71)</f>
        <v>41890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153</v>
      </c>
      <c r="M73" s="609"/>
      <c r="N73" s="609"/>
    </row>
    <row r="74" spans="1:14" ht="12.75" customHeight="1" thickTop="1" thickBot="1" x14ac:dyDescent="0.25">
      <c r="A74" s="1668" t="s">
        <v>811</v>
      </c>
      <c r="B74" s="1676">
        <v>2000</v>
      </c>
      <c r="C74" s="1677">
        <f>SUM(C42,C47,C53,C57,C65,C72,C73)</f>
        <v>704828</v>
      </c>
      <c r="D74" s="1677">
        <f t="shared" ref="D74:K74" si="10">SUM(D42,D47,D53,D57,D65,D72,D73)</f>
        <v>79656</v>
      </c>
      <c r="E74" s="1677">
        <f t="shared" si="10"/>
        <v>111813</v>
      </c>
      <c r="F74" s="1677">
        <f t="shared" si="10"/>
        <v>308578</v>
      </c>
      <c r="G74" s="1677">
        <f t="shared" si="10"/>
        <v>27416</v>
      </c>
      <c r="H74" s="1677">
        <f t="shared" si="10"/>
        <v>9467</v>
      </c>
      <c r="I74" s="1677">
        <f t="shared" si="10"/>
        <v>0</v>
      </c>
      <c r="J74" s="1677">
        <f t="shared" si="10"/>
        <v>0</v>
      </c>
      <c r="K74" s="1677">
        <f t="shared" si="10"/>
        <v>1241758</v>
      </c>
      <c r="L74" s="1677">
        <f>SUM(L42,L47,L53,L57,L65,L72,L73)</f>
        <v>1129155</v>
      </c>
    </row>
    <row r="75" spans="1:14" s="259" customFormat="1" ht="15.75" customHeight="1" thickTop="1" thickBot="1" x14ac:dyDescent="0.25">
      <c r="A75" s="1610" t="s">
        <v>47</v>
      </c>
      <c r="B75" s="1611" t="s">
        <v>575</v>
      </c>
      <c r="C75" s="573"/>
      <c r="D75" s="573"/>
      <c r="E75" s="573">
        <v>1475</v>
      </c>
      <c r="F75" s="573">
        <v>600</v>
      </c>
      <c r="G75" s="573"/>
      <c r="H75" s="573"/>
      <c r="I75" s="531"/>
      <c r="J75" s="531"/>
      <c r="K75" s="1670">
        <f>SUM(C75:J75)</f>
        <v>2075</v>
      </c>
      <c r="L75" s="576">
        <v>1704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94592</v>
      </c>
      <c r="I79" s="477"/>
      <c r="J79" s="477"/>
      <c r="K79" s="1671">
        <f t="shared" si="11"/>
        <v>94592</v>
      </c>
      <c r="L79" s="466">
        <v>145858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v>2367</v>
      </c>
    </row>
    <row r="84" spans="1:12" ht="13.5" thickBot="1" x14ac:dyDescent="0.25">
      <c r="A84" s="1668" t="s">
        <v>1485</v>
      </c>
      <c r="B84" s="1678">
        <v>4100</v>
      </c>
      <c r="C84" s="616"/>
      <c r="D84" s="616"/>
      <c r="E84" s="1670">
        <f>SUM(E78:E83)</f>
        <v>0</v>
      </c>
      <c r="F84" s="616"/>
      <c r="G84" s="616"/>
      <c r="H84" s="1670">
        <f>SUM(H78:H83)</f>
        <v>94592</v>
      </c>
      <c r="I84" s="477"/>
      <c r="J84" s="477"/>
      <c r="K84" s="1670">
        <f>SUM(K78:K83)</f>
        <v>94592</v>
      </c>
      <c r="L84" s="1670">
        <f>SUM(L78:L83)</f>
        <v>148225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94592</v>
      </c>
      <c r="I102" s="477"/>
      <c r="J102" s="477"/>
      <c r="K102" s="1677">
        <f>SUM(K84,K92,K100,K101)</f>
        <v>94592</v>
      </c>
      <c r="L102" s="1677">
        <f>SUM(L84,L92,L100,L101)</f>
        <v>148225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2550033</v>
      </c>
      <c r="D114" s="1670">
        <f t="shared" ref="D114:K114" si="13">SUM(D33,D74,D75,D102,D112,D113)</f>
        <v>463592</v>
      </c>
      <c r="E114" s="1670">
        <f t="shared" si="13"/>
        <v>165129</v>
      </c>
      <c r="F114" s="1670">
        <f t="shared" si="13"/>
        <v>422343</v>
      </c>
      <c r="G114" s="1670">
        <f t="shared" si="13"/>
        <v>37140</v>
      </c>
      <c r="H114" s="1670">
        <f>SUM(H33,H74,H75,H102,H112,H113)</f>
        <v>107866</v>
      </c>
      <c r="I114" s="1670">
        <f t="shared" si="13"/>
        <v>0</v>
      </c>
      <c r="J114" s="1670">
        <f t="shared" si="13"/>
        <v>0</v>
      </c>
      <c r="K114" s="1670">
        <f t="shared" si="13"/>
        <v>3746103</v>
      </c>
      <c r="L114" s="1670">
        <f>SUM(L33,L74,L75,L102,L112,L113)</f>
        <v>3628880</v>
      </c>
    </row>
    <row r="115" spans="1:14" ht="13.5" thickTop="1" x14ac:dyDescent="0.2">
      <c r="A115" s="2186" t="s">
        <v>996</v>
      </c>
      <c r="B115" s="2187"/>
      <c r="C115" s="618"/>
      <c r="D115" s="618"/>
      <c r="E115" s="618"/>
      <c r="F115" s="618"/>
      <c r="G115" s="618"/>
      <c r="H115" s="618"/>
      <c r="I115" s="618"/>
      <c r="J115" s="618"/>
      <c r="K115" s="1684">
        <f>'Revenues 9-14'!C268-'Expenditures 15-22'!K114</f>
        <v>881332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4084</v>
      </c>
      <c r="F124" s="466">
        <v>199037</v>
      </c>
      <c r="G124" s="466">
        <v>15000</v>
      </c>
      <c r="H124" s="466"/>
      <c r="I124" s="467"/>
      <c r="J124" s="467"/>
      <c r="K124" s="1670">
        <f>SUM(C124:J124)</f>
        <v>218121</v>
      </c>
      <c r="L124" s="466">
        <v>259447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4084</v>
      </c>
      <c r="F127" s="1670">
        <f t="shared" si="14"/>
        <v>199037</v>
      </c>
      <c r="G127" s="1670">
        <f t="shared" si="14"/>
        <v>15000</v>
      </c>
      <c r="H127" s="1670">
        <f t="shared" si="14"/>
        <v>0</v>
      </c>
      <c r="I127" s="1670">
        <f t="shared" si="14"/>
        <v>0</v>
      </c>
      <c r="J127" s="1670">
        <f t="shared" si="14"/>
        <v>0</v>
      </c>
      <c r="K127" s="1670">
        <f t="shared" si="14"/>
        <v>218121</v>
      </c>
      <c r="L127" s="1670">
        <f t="shared" si="14"/>
        <v>259447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4084</v>
      </c>
      <c r="F129" s="1677">
        <f t="shared" si="15"/>
        <v>199037</v>
      </c>
      <c r="G129" s="1677">
        <f t="shared" si="15"/>
        <v>15000</v>
      </c>
      <c r="H129" s="1677">
        <f t="shared" si="15"/>
        <v>0</v>
      </c>
      <c r="I129" s="1677">
        <f t="shared" si="15"/>
        <v>0</v>
      </c>
      <c r="J129" s="1677">
        <f t="shared" si="15"/>
        <v>0</v>
      </c>
      <c r="K129" s="1677">
        <f t="shared" si="15"/>
        <v>218121</v>
      </c>
      <c r="L129" s="1677">
        <f t="shared" si="15"/>
        <v>259447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8"/>
      <c r="C151" s="1670">
        <f>SUM(C129,C130,C139,C149,C150)</f>
        <v>0</v>
      </c>
      <c r="D151" s="1670">
        <f t="shared" ref="D151:K151" si="16">SUM(D129,D130,D139,D149,D150)</f>
        <v>0</v>
      </c>
      <c r="E151" s="1670">
        <f t="shared" si="16"/>
        <v>4084</v>
      </c>
      <c r="F151" s="1670">
        <f t="shared" si="16"/>
        <v>199037</v>
      </c>
      <c r="G151" s="1670">
        <f t="shared" si="16"/>
        <v>15000</v>
      </c>
      <c r="H151" s="1670">
        <f t="shared" si="16"/>
        <v>0</v>
      </c>
      <c r="I151" s="1670">
        <f t="shared" si="16"/>
        <v>0</v>
      </c>
      <c r="J151" s="1670">
        <f t="shared" si="16"/>
        <v>0</v>
      </c>
      <c r="K151" s="1670">
        <f t="shared" si="16"/>
        <v>218121</v>
      </c>
      <c r="L151" s="1670">
        <f>SUM(L129,L130,L139,L149,L150)</f>
        <v>259447</v>
      </c>
    </row>
    <row r="152" spans="1:14" ht="12.75" customHeight="1" thickTop="1" x14ac:dyDescent="0.2">
      <c r="A152" s="2179" t="s">
        <v>1178</v>
      </c>
      <c r="B152" s="2180"/>
      <c r="C152" s="618"/>
      <c r="D152" s="618"/>
      <c r="E152" s="618"/>
      <c r="F152" s="618"/>
      <c r="G152" s="618"/>
      <c r="H152" s="618"/>
      <c r="I152" s="618"/>
      <c r="J152" s="616"/>
      <c r="K152" s="1684">
        <f>'Revenues 9-14'!D268-'Expenditures 15-22'!K151</f>
        <v>51757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v>800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800</v>
      </c>
    </row>
    <row r="169" spans="1:14" ht="15.75" customHeight="1" thickTop="1" x14ac:dyDescent="0.2">
      <c r="A169" s="669" t="s">
        <v>83</v>
      </c>
      <c r="B169" s="670" t="s">
        <v>38</v>
      </c>
      <c r="C169" s="616"/>
      <c r="D169" s="616"/>
      <c r="E169" s="616"/>
      <c r="F169" s="616"/>
      <c r="G169" s="616"/>
      <c r="H169" s="656">
        <v>11241</v>
      </c>
      <c r="I169" s="616"/>
      <c r="J169" s="616"/>
      <c r="K169" s="1671">
        <f>SUM(C169:H169)</f>
        <v>11241</v>
      </c>
      <c r="L169" s="656">
        <v>13655</v>
      </c>
    </row>
    <row r="170" spans="1:14" ht="33.75" customHeight="1" x14ac:dyDescent="0.2">
      <c r="A170" s="669" t="s">
        <v>1670</v>
      </c>
      <c r="B170" s="671" t="s">
        <v>31</v>
      </c>
      <c r="C170" s="616"/>
      <c r="D170" s="616"/>
      <c r="E170" s="616"/>
      <c r="F170" s="616"/>
      <c r="G170" s="616"/>
      <c r="H170" s="569">
        <v>121000</v>
      </c>
      <c r="I170" s="616"/>
      <c r="J170" s="616"/>
      <c r="K170" s="1671">
        <f>SUM(C170:J170)</f>
        <v>121000</v>
      </c>
      <c r="L170" s="569">
        <v>118000</v>
      </c>
    </row>
    <row r="171" spans="1:14" ht="15.75" customHeight="1" x14ac:dyDescent="0.2">
      <c r="A171" s="621" t="s">
        <v>766</v>
      </c>
      <c r="B171" s="672" t="s">
        <v>84</v>
      </c>
      <c r="C171" s="616"/>
      <c r="D171" s="616"/>
      <c r="E171" s="466"/>
      <c r="F171" s="616"/>
      <c r="G171" s="616"/>
      <c r="H171" s="569">
        <v>750</v>
      </c>
      <c r="I171" s="477"/>
      <c r="J171" s="616"/>
      <c r="K171" s="1671">
        <f>SUM(C171:J171)</f>
        <v>750</v>
      </c>
      <c r="L171" s="569">
        <v>51032</v>
      </c>
    </row>
    <row r="172" spans="1:14" ht="12.75" customHeight="1" thickBot="1" x14ac:dyDescent="0.25">
      <c r="A172" s="1668" t="s">
        <v>638</v>
      </c>
      <c r="B172" s="1669" t="s">
        <v>492</v>
      </c>
      <c r="C172" s="616"/>
      <c r="D172" s="616"/>
      <c r="E172" s="1677">
        <f>SUM(E168,E169,E170,E171)</f>
        <v>0</v>
      </c>
      <c r="F172" s="616"/>
      <c r="G172" s="616"/>
      <c r="H172" s="1677">
        <f>SUM(H168,H169,H170,H171)</f>
        <v>132991</v>
      </c>
      <c r="I172" s="638"/>
      <c r="J172" s="616"/>
      <c r="K172" s="1677">
        <f>SUM(K168,K169,K170,K171)</f>
        <v>132991</v>
      </c>
      <c r="L172" s="1677">
        <f>SUM(L168,L169,L170,L171)</f>
        <v>183487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132991</v>
      </c>
      <c r="I174" s="638"/>
      <c r="J174" s="616"/>
      <c r="K174" s="1677">
        <f>SUM(K160,K172,K173)</f>
        <v>132991</v>
      </c>
      <c r="L174" s="1677">
        <f>SUM(L160,L172,L173)</f>
        <v>183487</v>
      </c>
    </row>
    <row r="175" spans="1:14" ht="13.5" thickTop="1" x14ac:dyDescent="0.2">
      <c r="A175" s="2186" t="s">
        <v>996</v>
      </c>
      <c r="B175" s="2187"/>
      <c r="C175" s="616"/>
      <c r="D175" s="616"/>
      <c r="E175" s="616"/>
      <c r="F175" s="616"/>
      <c r="G175" s="616"/>
      <c r="H175" s="618"/>
      <c r="I175" s="616"/>
      <c r="J175" s="616"/>
      <c r="K175" s="1684">
        <f>'Revenues 9-14'!E268-'Expenditures 15-22'!K174</f>
        <v>-309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10000</v>
      </c>
      <c r="D182" s="466"/>
      <c r="E182" s="466">
        <v>606276</v>
      </c>
      <c r="F182" s="466">
        <v>63964</v>
      </c>
      <c r="G182" s="466"/>
      <c r="H182" s="466"/>
      <c r="I182" s="467"/>
      <c r="J182" s="467"/>
      <c r="K182" s="1671">
        <f>SUM(C182:J182)</f>
        <v>680240</v>
      </c>
      <c r="L182" s="466">
        <v>684642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10000</v>
      </c>
      <c r="D184" s="1677">
        <f t="shared" ref="D184:J184" si="17">SUM(D180,D182,D183)</f>
        <v>0</v>
      </c>
      <c r="E184" s="1677">
        <f t="shared" si="17"/>
        <v>606276</v>
      </c>
      <c r="F184" s="1677">
        <f t="shared" si="17"/>
        <v>63964</v>
      </c>
      <c r="G184" s="1677">
        <f t="shared" si="17"/>
        <v>0</v>
      </c>
      <c r="H184" s="1677">
        <f t="shared" si="17"/>
        <v>0</v>
      </c>
      <c r="I184" s="1677">
        <f t="shared" si="17"/>
        <v>0</v>
      </c>
      <c r="J184" s="1677">
        <f t="shared" si="17"/>
        <v>0</v>
      </c>
      <c r="K184" s="1677">
        <f>SUM(K180,K182,K183)</f>
        <v>680240</v>
      </c>
      <c r="L184" s="1677">
        <f>SUM(L180, L182:L183)</f>
        <v>684642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10000</v>
      </c>
      <c r="D210" s="1670">
        <f>SUM(D184,D185)</f>
        <v>0</v>
      </c>
      <c r="E210" s="1670">
        <f>SUM(E184,E185,E196)</f>
        <v>606276</v>
      </c>
      <c r="F210" s="1670">
        <f>SUM(F184,F185)</f>
        <v>63964</v>
      </c>
      <c r="G210" s="1670">
        <f>SUM(G184,G185)</f>
        <v>0</v>
      </c>
      <c r="H210" s="1670">
        <f>SUM(H184,H185,H196,H208,H209)</f>
        <v>0</v>
      </c>
      <c r="I210" s="1670">
        <f>SUM(I184,I185)</f>
        <v>0</v>
      </c>
      <c r="J210" s="1670">
        <f>SUM(J184,J185)</f>
        <v>0</v>
      </c>
      <c r="K210" s="1671">
        <f>SUM(K184,K185,K196,K208,K209)</f>
        <v>680240</v>
      </c>
      <c r="L210" s="1670">
        <f>SUM(L184,L185,L196,L208,L209)</f>
        <v>684642</v>
      </c>
    </row>
    <row r="211" spans="1:14" ht="13.5" thickTop="1" x14ac:dyDescent="0.2">
      <c r="A211" s="2186" t="s">
        <v>996</v>
      </c>
      <c r="B211" s="2187"/>
      <c r="C211" s="618"/>
      <c r="D211" s="618"/>
      <c r="E211" s="618"/>
      <c r="F211" s="618"/>
      <c r="G211" s="618"/>
      <c r="H211" s="618"/>
      <c r="I211" s="616"/>
      <c r="J211" s="616"/>
      <c r="K211" s="1684">
        <f>'Revenues 9-14'!F268-'Expenditures 15-22'!K210</f>
        <v>75450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16480</v>
      </c>
      <c r="E215" s="616"/>
      <c r="F215" s="616"/>
      <c r="G215" s="616"/>
      <c r="H215" s="616"/>
      <c r="I215" s="616"/>
      <c r="J215" s="616"/>
      <c r="K215" s="1671">
        <f>D215</f>
        <v>16480</v>
      </c>
      <c r="L215" s="466">
        <v>14515</v>
      </c>
    </row>
    <row r="216" spans="1:14" x14ac:dyDescent="0.2">
      <c r="A216" s="1504" t="s">
        <v>163</v>
      </c>
      <c r="B216" s="614" t="s">
        <v>967</v>
      </c>
      <c r="C216" s="616"/>
      <c r="D216" s="467">
        <v>1227</v>
      </c>
      <c r="E216" s="616"/>
      <c r="F216" s="616"/>
      <c r="G216" s="616"/>
      <c r="H216" s="616"/>
      <c r="I216" s="616"/>
      <c r="J216" s="616"/>
      <c r="K216" s="1671">
        <f t="shared" ref="K216:K228" si="19">D216</f>
        <v>1227</v>
      </c>
      <c r="L216" s="466">
        <v>1093</v>
      </c>
    </row>
    <row r="217" spans="1:14" x14ac:dyDescent="0.2">
      <c r="A217" s="1504" t="s">
        <v>164</v>
      </c>
      <c r="B217" s="614">
        <v>1200</v>
      </c>
      <c r="C217" s="616"/>
      <c r="D217" s="466">
        <v>16844</v>
      </c>
      <c r="E217" s="616"/>
      <c r="F217" s="616"/>
      <c r="G217" s="616"/>
      <c r="H217" s="616"/>
      <c r="I217" s="616"/>
      <c r="J217" s="616"/>
      <c r="K217" s="1671">
        <f t="shared" si="19"/>
        <v>16844</v>
      </c>
      <c r="L217" s="466">
        <v>20185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7284</v>
      </c>
      <c r="E219" s="616"/>
      <c r="F219" s="616"/>
      <c r="G219" s="616"/>
      <c r="H219" s="616"/>
      <c r="I219" s="616"/>
      <c r="J219" s="616"/>
      <c r="K219" s="1671">
        <f t="shared" si="19"/>
        <v>7284</v>
      </c>
      <c r="L219" s="466">
        <v>7560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1529</v>
      </c>
      <c r="E222" s="616"/>
      <c r="F222" s="616"/>
      <c r="G222" s="616"/>
      <c r="H222" s="616"/>
      <c r="I222" s="616"/>
      <c r="J222" s="616"/>
      <c r="K222" s="1671">
        <f t="shared" si="19"/>
        <v>1529</v>
      </c>
      <c r="L222" s="466">
        <v>1703</v>
      </c>
    </row>
    <row r="223" spans="1:14" x14ac:dyDescent="0.2">
      <c r="A223" s="1504" t="s">
        <v>963</v>
      </c>
      <c r="B223" s="614">
        <v>1500</v>
      </c>
      <c r="C223" s="616"/>
      <c r="D223" s="466">
        <v>1764</v>
      </c>
      <c r="E223" s="616"/>
      <c r="F223" s="616"/>
      <c r="G223" s="616"/>
      <c r="H223" s="616"/>
      <c r="I223" s="616"/>
      <c r="J223" s="616"/>
      <c r="K223" s="1671">
        <f t="shared" si="19"/>
        <v>1764</v>
      </c>
      <c r="L223" s="466">
        <v>1322</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7</v>
      </c>
      <c r="E225" s="616"/>
      <c r="F225" s="616"/>
      <c r="G225" s="616"/>
      <c r="H225" s="616"/>
      <c r="I225" s="616"/>
      <c r="J225" s="616"/>
      <c r="K225" s="1671">
        <f t="shared" si="19"/>
        <v>7</v>
      </c>
      <c r="L225" s="466">
        <v>6</v>
      </c>
    </row>
    <row r="226" spans="1:12" x14ac:dyDescent="0.2">
      <c r="A226" s="1504" t="s">
        <v>724</v>
      </c>
      <c r="B226" s="614" t="s">
        <v>162</v>
      </c>
      <c r="C226" s="616"/>
      <c r="D226" s="467">
        <v>304</v>
      </c>
      <c r="E226" s="616"/>
      <c r="F226" s="616"/>
      <c r="G226" s="616"/>
      <c r="H226" s="616"/>
      <c r="I226" s="616"/>
      <c r="J226" s="616"/>
      <c r="K226" s="1671">
        <f t="shared" si="19"/>
        <v>304</v>
      </c>
      <c r="L226" s="466">
        <v>301</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45439</v>
      </c>
      <c r="E229" s="616"/>
      <c r="F229" s="616"/>
      <c r="G229" s="616"/>
      <c r="H229" s="616"/>
      <c r="I229" s="616"/>
      <c r="J229" s="616"/>
      <c r="K229" s="1670">
        <f>SUM(K215:K228)</f>
        <v>45439</v>
      </c>
      <c r="L229" s="1670">
        <f>SUM(L215:L228)</f>
        <v>46685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573</v>
      </c>
      <c r="E233" s="616"/>
      <c r="F233" s="616"/>
      <c r="G233" s="616"/>
      <c r="H233" s="616"/>
      <c r="I233" s="616"/>
      <c r="J233" s="616"/>
      <c r="K233" s="1671">
        <f t="shared" si="20"/>
        <v>573</v>
      </c>
      <c r="L233" s="466">
        <v>2369</v>
      </c>
    </row>
    <row r="234" spans="1:12" x14ac:dyDescent="0.2">
      <c r="A234" s="1504" t="s">
        <v>198</v>
      </c>
      <c r="B234" s="614">
        <v>2130</v>
      </c>
      <c r="C234" s="616"/>
      <c r="D234" s="466">
        <v>2663</v>
      </c>
      <c r="E234" s="616"/>
      <c r="F234" s="616"/>
      <c r="G234" s="616"/>
      <c r="H234" s="616"/>
      <c r="I234" s="616"/>
      <c r="J234" s="616"/>
      <c r="K234" s="1671">
        <f t="shared" si="20"/>
        <v>2663</v>
      </c>
      <c r="L234" s="466">
        <v>4167</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3236</v>
      </c>
      <c r="E238" s="616"/>
      <c r="F238" s="616"/>
      <c r="G238" s="616"/>
      <c r="H238" s="616"/>
      <c r="I238" s="616"/>
      <c r="J238" s="616"/>
      <c r="K238" s="1670">
        <f>SUM(K232:K237)</f>
        <v>3236</v>
      </c>
      <c r="L238" s="1670">
        <f>SUM(L232:L237)</f>
        <v>6536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115</v>
      </c>
      <c r="E240" s="616"/>
      <c r="F240" s="616"/>
      <c r="G240" s="616"/>
      <c r="H240" s="616"/>
      <c r="I240" s="616"/>
      <c r="J240" s="616"/>
      <c r="K240" s="1672">
        <f>D240</f>
        <v>115</v>
      </c>
      <c r="L240" s="481">
        <v>21</v>
      </c>
    </row>
    <row r="241" spans="1:12" x14ac:dyDescent="0.2">
      <c r="A241" s="1504" t="s">
        <v>815</v>
      </c>
      <c r="B241" s="614">
        <v>2220</v>
      </c>
      <c r="C241" s="616"/>
      <c r="D241" s="466">
        <v>1799</v>
      </c>
      <c r="E241" s="616"/>
      <c r="F241" s="616"/>
      <c r="G241" s="616"/>
      <c r="H241" s="616"/>
      <c r="I241" s="616"/>
      <c r="J241" s="616"/>
      <c r="K241" s="1672">
        <f>D241</f>
        <v>1799</v>
      </c>
      <c r="L241" s="466">
        <v>2352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1914</v>
      </c>
      <c r="E243" s="616"/>
      <c r="F243" s="616"/>
      <c r="G243" s="616"/>
      <c r="H243" s="616"/>
      <c r="I243" s="616"/>
      <c r="J243" s="616"/>
      <c r="K243" s="1670">
        <f>SUM(K240:K242)</f>
        <v>1914</v>
      </c>
      <c r="L243" s="1670">
        <f>SUM(L240:L242)</f>
        <v>2373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872</v>
      </c>
      <c r="E246" s="616"/>
      <c r="F246" s="616"/>
      <c r="G246" s="616"/>
      <c r="H246" s="616"/>
      <c r="I246" s="616"/>
      <c r="J246" s="616"/>
      <c r="K246" s="1672">
        <f t="shared" ref="K246:K256" si="21">D246</f>
        <v>872</v>
      </c>
      <c r="L246" s="466">
        <v>924</v>
      </c>
    </row>
    <row r="247" spans="1:12" x14ac:dyDescent="0.2">
      <c r="A247" s="1504" t="s">
        <v>819</v>
      </c>
      <c r="B247" s="614">
        <v>2330</v>
      </c>
      <c r="C247" s="616"/>
      <c r="D247" s="466">
        <v>211</v>
      </c>
      <c r="E247" s="616"/>
      <c r="F247" s="616"/>
      <c r="G247" s="616"/>
      <c r="H247" s="616"/>
      <c r="I247" s="616"/>
      <c r="J247" s="616"/>
      <c r="K247" s="1672">
        <f t="shared" si="21"/>
        <v>211</v>
      </c>
      <c r="L247" s="466">
        <v>180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1083</v>
      </c>
      <c r="E257" s="616"/>
      <c r="F257" s="616"/>
      <c r="G257" s="616"/>
      <c r="H257" s="616"/>
      <c r="I257" s="616"/>
      <c r="J257" s="616"/>
      <c r="K257" s="1670">
        <f>SUM(K245:K256)</f>
        <v>1083</v>
      </c>
      <c r="L257" s="1670">
        <f>SUM(L245:L256)</f>
        <v>1104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11926</v>
      </c>
      <c r="E259" s="616"/>
      <c r="F259" s="616"/>
      <c r="G259" s="616"/>
      <c r="H259" s="616"/>
      <c r="I259" s="616"/>
      <c r="J259" s="616"/>
      <c r="K259" s="1672">
        <f>D259</f>
        <v>11926</v>
      </c>
      <c r="L259" s="481">
        <v>16900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11926</v>
      </c>
      <c r="E261" s="616"/>
      <c r="F261" s="616"/>
      <c r="G261" s="616"/>
      <c r="H261" s="616"/>
      <c r="I261" s="616"/>
      <c r="J261" s="616"/>
      <c r="K261" s="1670">
        <f>SUM(K259:K260)</f>
        <v>11926</v>
      </c>
      <c r="L261" s="1670">
        <f>SUM(L259:L260)</f>
        <v>16900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13086</v>
      </c>
      <c r="E264" s="616"/>
      <c r="F264" s="616"/>
      <c r="G264" s="616"/>
      <c r="H264" s="616"/>
      <c r="I264" s="616"/>
      <c r="J264" s="616"/>
      <c r="K264" s="1672">
        <f t="shared" ref="K264:K269" si="22">D264</f>
        <v>13086</v>
      </c>
      <c r="L264" s="466">
        <v>13235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19397</v>
      </c>
      <c r="E266" s="616"/>
      <c r="F266" s="616"/>
      <c r="G266" s="616"/>
      <c r="H266" s="616"/>
      <c r="I266" s="616"/>
      <c r="J266" s="616"/>
      <c r="K266" s="1672">
        <f t="shared" si="22"/>
        <v>19397</v>
      </c>
      <c r="L266" s="466">
        <v>20152</v>
      </c>
    </row>
    <row r="267" spans="1:14" x14ac:dyDescent="0.2">
      <c r="A267" s="1504" t="s">
        <v>953</v>
      </c>
      <c r="B267" s="614">
        <v>2550</v>
      </c>
      <c r="C267" s="616"/>
      <c r="D267" s="466"/>
      <c r="E267" s="616"/>
      <c r="F267" s="616"/>
      <c r="G267" s="616"/>
      <c r="H267" s="616"/>
      <c r="I267" s="616"/>
      <c r="J267" s="616"/>
      <c r="K267" s="1672">
        <f t="shared" si="22"/>
        <v>0</v>
      </c>
      <c r="L267" s="466">
        <v>149</v>
      </c>
    </row>
    <row r="268" spans="1:14" x14ac:dyDescent="0.2">
      <c r="A268" s="1504" t="s">
        <v>100</v>
      </c>
      <c r="B268" s="614">
        <v>2560</v>
      </c>
      <c r="C268" s="616"/>
      <c r="D268" s="466">
        <v>11417</v>
      </c>
      <c r="E268" s="616"/>
      <c r="F268" s="616"/>
      <c r="G268" s="616"/>
      <c r="H268" s="616"/>
      <c r="I268" s="616"/>
      <c r="J268" s="616"/>
      <c r="K268" s="1672">
        <f t="shared" si="22"/>
        <v>11417</v>
      </c>
      <c r="L268" s="466">
        <v>12648</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43900</v>
      </c>
      <c r="E270" s="616"/>
      <c r="F270" s="616"/>
      <c r="G270" s="616"/>
      <c r="H270" s="616"/>
      <c r="I270" s="616"/>
      <c r="J270" s="616"/>
      <c r="K270" s="1670">
        <f>SUM(K263:K269)</f>
        <v>43900</v>
      </c>
      <c r="L270" s="1670">
        <f>SUM(L263:L269)</f>
        <v>46184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5286</v>
      </c>
      <c r="E276" s="616"/>
      <c r="F276" s="616"/>
      <c r="G276" s="616"/>
      <c r="H276" s="616"/>
      <c r="I276" s="616"/>
      <c r="J276" s="616"/>
      <c r="K276" s="1672">
        <f>D276</f>
        <v>5286</v>
      </c>
      <c r="L276" s="466">
        <v>5190</v>
      </c>
    </row>
    <row r="277" spans="1:12" ht="12.75" customHeight="1" thickBot="1" x14ac:dyDescent="0.25">
      <c r="A277" s="1691" t="s">
        <v>37</v>
      </c>
      <c r="B277" s="1669" t="s">
        <v>36</v>
      </c>
      <c r="C277" s="616"/>
      <c r="D277" s="1670">
        <f>SUM(D272:D276)</f>
        <v>5286</v>
      </c>
      <c r="E277" s="616"/>
      <c r="F277" s="616"/>
      <c r="G277" s="616"/>
      <c r="H277" s="616"/>
      <c r="I277" s="616"/>
      <c r="J277" s="616"/>
      <c r="K277" s="1670">
        <f>SUM(K272:K276)</f>
        <v>5286</v>
      </c>
      <c r="L277" s="1670">
        <f>SUM(L272:L276)</f>
        <v>5190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67345</v>
      </c>
      <c r="E279" s="616"/>
      <c r="F279" s="616"/>
      <c r="G279" s="616"/>
      <c r="H279" s="616"/>
      <c r="I279" s="616"/>
      <c r="J279" s="616"/>
      <c r="K279" s="1677">
        <f>SUM(K238,K243,K257,K261,K270,K277,K278)</f>
        <v>67345</v>
      </c>
      <c r="L279" s="1677">
        <f>SUM(L238,L243,L257,L261,L270,L277,L278)</f>
        <v>78287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112784</v>
      </c>
      <c r="E295" s="616"/>
      <c r="F295" s="616"/>
      <c r="G295" s="616"/>
      <c r="H295" s="1670">
        <f>H293</f>
        <v>0</v>
      </c>
      <c r="I295" s="616"/>
      <c r="J295" s="616"/>
      <c r="K295" s="1670">
        <f>SUM(K229,K279,K280,K285,K293,K294)</f>
        <v>112784</v>
      </c>
      <c r="L295" s="1670">
        <f>SUM(L229,L279,L280,L285,L293,L294)</f>
        <v>124972</v>
      </c>
    </row>
    <row r="296" spans="1:14" ht="13.5" thickTop="1" x14ac:dyDescent="0.2">
      <c r="A296" s="2186" t="s">
        <v>996</v>
      </c>
      <c r="B296" s="2187"/>
      <c r="C296" s="616"/>
      <c r="D296" s="618"/>
      <c r="E296" s="616"/>
      <c r="F296" s="616"/>
      <c r="G296" s="616"/>
      <c r="H296" s="687"/>
      <c r="I296" s="616"/>
      <c r="J296" s="616"/>
      <c r="K296" s="1684">
        <f>'Revenues 9-14'!G268-'Expenditures 15-22'!K295</f>
        <v>24603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750</v>
      </c>
      <c r="F301" s="466">
        <v>17548</v>
      </c>
      <c r="G301" s="466">
        <v>12238</v>
      </c>
      <c r="H301" s="466"/>
      <c r="I301" s="467"/>
      <c r="J301" s="467"/>
      <c r="K301" s="1671">
        <f>SUM(C301:J301)</f>
        <v>30536</v>
      </c>
      <c r="L301" s="467">
        <v>89893</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750</v>
      </c>
      <c r="F303" s="1677">
        <f t="shared" si="23"/>
        <v>17548</v>
      </c>
      <c r="G303" s="1677">
        <f t="shared" si="23"/>
        <v>12238</v>
      </c>
      <c r="H303" s="1677">
        <f t="shared" si="23"/>
        <v>0</v>
      </c>
      <c r="I303" s="1677">
        <f t="shared" si="23"/>
        <v>0</v>
      </c>
      <c r="J303" s="1677">
        <f t="shared" si="23"/>
        <v>0</v>
      </c>
      <c r="K303" s="1677">
        <f t="shared" si="23"/>
        <v>30536</v>
      </c>
      <c r="L303" s="1677">
        <f t="shared" si="23"/>
        <v>89893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750</v>
      </c>
      <c r="F312" s="1670">
        <f>SUM(F303)</f>
        <v>17548</v>
      </c>
      <c r="G312" s="1670">
        <f>SUM(G303)</f>
        <v>12238</v>
      </c>
      <c r="H312" s="1670">
        <f>SUM(H303,H310)</f>
        <v>0</v>
      </c>
      <c r="I312" s="1670">
        <f>SUM(I303)</f>
        <v>0</v>
      </c>
      <c r="J312" s="1670">
        <f>SUM(J303)</f>
        <v>0</v>
      </c>
      <c r="K312" s="1670">
        <f>SUM(K303,K310,K311)</f>
        <v>30536</v>
      </c>
      <c r="L312" s="1670">
        <f>SUM(L303,L310,L311)</f>
        <v>89893</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75839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38195</v>
      </c>
      <c r="F320" s="467"/>
      <c r="G320" s="467"/>
      <c r="H320" s="467"/>
      <c r="I320" s="467"/>
      <c r="J320" s="467"/>
      <c r="K320" s="1671">
        <f t="shared" ref="K320:K327" si="24">SUM(C320:J320)</f>
        <v>38195</v>
      </c>
      <c r="L320" s="467">
        <v>13024</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30245</v>
      </c>
      <c r="F322" s="467"/>
      <c r="G322" s="467"/>
      <c r="H322" s="467"/>
      <c r="I322" s="467"/>
      <c r="J322" s="467"/>
      <c r="K322" s="1671">
        <f t="shared" si="24"/>
        <v>30245</v>
      </c>
      <c r="L322" s="467">
        <v>58098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68440</v>
      </c>
      <c r="F330" s="1670">
        <f t="shared" si="25"/>
        <v>0</v>
      </c>
      <c r="G330" s="1670">
        <f t="shared" si="25"/>
        <v>0</v>
      </c>
      <c r="H330" s="1670">
        <f t="shared" si="25"/>
        <v>0</v>
      </c>
      <c r="I330" s="1670">
        <f t="shared" si="25"/>
        <v>0</v>
      </c>
      <c r="J330" s="1670">
        <f t="shared" si="25"/>
        <v>0</v>
      </c>
      <c r="K330" s="1670">
        <f>SUM(K319:K329)</f>
        <v>68440</v>
      </c>
      <c r="L330" s="1670">
        <f>SUM(L319:L329)</f>
        <v>71122</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68440</v>
      </c>
      <c r="F342" s="1670">
        <f>SUM(F330)</f>
        <v>0</v>
      </c>
      <c r="G342" s="1670">
        <f>SUM(G330)</f>
        <v>0</v>
      </c>
      <c r="H342" s="1670">
        <f>SUM(H330,H334,H340)</f>
        <v>0</v>
      </c>
      <c r="I342" s="1670">
        <f>SUM(I330)</f>
        <v>0</v>
      </c>
      <c r="J342" s="1670">
        <f>SUM(J330)</f>
        <v>0</v>
      </c>
      <c r="K342" s="1670">
        <f>SUM(K330,K334,K340)</f>
        <v>68440</v>
      </c>
      <c r="L342" s="1677">
        <f>SUM(L330,L340,L341)</f>
        <v>71122</v>
      </c>
    </row>
    <row r="343" spans="1:14" ht="12.75" customHeight="1" thickTop="1" x14ac:dyDescent="0.2">
      <c r="A343" s="2172" t="s">
        <v>996</v>
      </c>
      <c r="B343" s="2173"/>
      <c r="C343" s="616"/>
      <c r="D343" s="616"/>
      <c r="E343" s="616"/>
      <c r="F343" s="616"/>
      <c r="G343" s="616"/>
      <c r="H343" s="616"/>
      <c r="I343" s="616"/>
      <c r="J343" s="616"/>
      <c r="K343" s="1684">
        <f>'Revenues 9-14'!J268-'Expenditures 15-22'!K342</f>
        <v>26832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5015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intregal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schemas.microsoft.com/sharepoint/v3"/>
    <ds:schemaRef ds:uri="http://purl.org/dc/terms/"/>
    <ds:schemaRef ds:uri="http://schemas.microsoft.com/office/infopath/2007/PartnerControls"/>
    <ds:schemaRef ds:uri="http://purl.org/dc/dcmitype/"/>
    <ds:schemaRef ds:uri="http://schemas.openxmlformats.org/package/2006/metadata/core-properties"/>
    <ds:schemaRef ds:uri="4d435f69-8686-490b-bd6d-b153bf22ab50"/>
    <ds:schemaRef ds:uri="http://purl.org/dc/elements/1.1/"/>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2019-12-10T13:22:34Z</cp:lastPrinted>
  <dcterms:created xsi:type="dcterms:W3CDTF">2003-10-29T19:06:34Z</dcterms:created>
  <dcterms:modified xsi:type="dcterms:W3CDTF">2020-01-08T17:42:52Z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