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8AD6980-83D6-42F8-BC80-496023BF340D}" xr6:coauthVersionLast="36" xr6:coauthVersionMax="36" xr10:uidLastSave="{00000000-0000-0000-0000-000000000000}"/>
  <bookViews>
    <workbookView xWindow="-120" yWindow="-120" windowWidth="23280" windowHeight="12600" tabRatio="781"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6" i="127" l="1"/>
  <c r="D34" i="127"/>
  <c r="D29" i="127"/>
  <c r="D23" i="127"/>
  <c r="D16" i="127"/>
  <c r="M18" i="183" l="1"/>
  <c r="K18" i="183"/>
  <c r="I18" i="183"/>
  <c r="G18" i="183"/>
  <c r="F18" i="183"/>
  <c r="E18" i="183"/>
  <c r="M23" i="179"/>
  <c r="K23" i="179"/>
  <c r="I23" i="179"/>
  <c r="G23" i="179"/>
  <c r="F23" i="179"/>
  <c r="E23" i="179"/>
  <c r="L18" i="179"/>
  <c r="L20" i="179"/>
  <c r="L22" i="179"/>
  <c r="L27" i="179"/>
  <c r="I15" i="184" l="1"/>
  <c r="M13" i="184"/>
  <c r="M15" i="184" s="1"/>
  <c r="G13" i="184"/>
  <c r="G15" i="184" s="1"/>
  <c r="I13" i="184"/>
  <c r="K13" i="184"/>
  <c r="K15" i="184" s="1"/>
  <c r="F13" i="184"/>
  <c r="F15" i="184" s="1"/>
  <c r="E13" i="184"/>
  <c r="E15" i="184" s="1"/>
  <c r="L12" i="184"/>
  <c r="L11" i="184"/>
  <c r="B4" i="184"/>
  <c r="L25" i="183"/>
  <c r="L24" i="183"/>
  <c r="L23" i="183"/>
  <c r="L22" i="183"/>
  <c r="L17" i="183"/>
  <c r="L16" i="183"/>
  <c r="L15" i="183"/>
  <c r="L14" i="183"/>
  <c r="L13" i="183"/>
  <c r="L12" i="183"/>
  <c r="B4" i="183"/>
  <c r="L18" i="183" l="1"/>
  <c r="L13" i="184"/>
  <c r="F141" i="18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F28" i="181" s="1"/>
  <c r="G27" i="181"/>
  <c r="E27" i="181"/>
  <c r="F27" i="181" s="1"/>
  <c r="E26" i="181"/>
  <c r="F26" i="181" s="1"/>
  <c r="E25" i="181"/>
  <c r="E24" i="181"/>
  <c r="E23" i="181"/>
  <c r="E22" i="181"/>
  <c r="E21" i="181"/>
  <c r="E20" i="181"/>
  <c r="F20" i="181" s="1"/>
  <c r="E19" i="181"/>
  <c r="F19" i="181" s="1"/>
  <c r="F22" i="181" l="1"/>
  <c r="G22" i="181" s="1"/>
  <c r="F24" i="181"/>
  <c r="G24" i="181" s="1"/>
  <c r="F23" i="181"/>
  <c r="G23" i="181" s="1"/>
  <c r="F25" i="181"/>
  <c r="G25" i="181" s="1"/>
  <c r="F21" i="18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17" i="179" l="1"/>
  <c r="L16" i="179"/>
  <c r="L15" i="179"/>
  <c r="L14" i="179"/>
  <c r="L13" i="179"/>
  <c r="L23" i="179" l="1"/>
  <c r="L15" i="184" s="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84"/>
  <c r="B1" i="184"/>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31" i="108"/>
  <c r="G28" i="108"/>
  <c r="G30" i="108"/>
  <c r="D31" i="108"/>
  <c r="D36" i="108"/>
  <c r="E31" i="108"/>
  <c r="G31"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F56" i="34"/>
  <c r="C57" i="34"/>
  <c r="D57" i="34"/>
  <c r="C61" i="34"/>
  <c r="C62" i="34"/>
  <c r="C63" i="34"/>
  <c r="D63" i="34"/>
  <c r="C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J22" i="37"/>
  <c r="L22" i="37"/>
  <c r="D24" i="37"/>
  <c r="B4270" i="106" s="1"/>
  <c r="D4270" i="106" s="1"/>
  <c r="D22" i="37" l="1"/>
  <c r="G14" i="4"/>
  <c r="B2609" i="106" s="1"/>
  <c r="D2609" i="106" s="1"/>
  <c r="L342" i="29"/>
  <c r="F64" i="34"/>
  <c r="F52" i="34"/>
  <c r="F50" i="34"/>
  <c r="F42" i="34"/>
  <c r="E38" i="108"/>
  <c r="E33" i="108"/>
  <c r="G29" i="108"/>
  <c r="F36" i="108"/>
  <c r="B7047" i="106"/>
  <c r="D7047" i="106" s="1"/>
  <c r="J77" i="4"/>
  <c r="B6262" i="106" s="1"/>
  <c r="D6262" i="106" s="1"/>
  <c r="B2724" i="106"/>
  <c r="D2724" i="106" s="1"/>
  <c r="K184" i="29"/>
  <c r="F13" i="4" s="1"/>
  <c r="B2596" i="106" s="1"/>
  <c r="D2596" i="106" s="1"/>
  <c r="G210" i="29"/>
  <c r="F28" i="108"/>
  <c r="F34" i="34"/>
  <c r="L13" i="11"/>
  <c r="B2060" i="106" s="1"/>
  <c r="D2060" i="106" s="1"/>
  <c r="F19" i="7"/>
  <c r="B1807" i="106" s="1"/>
  <c r="D1807" i="106" s="1"/>
  <c r="H33" i="118"/>
  <c r="C342" i="29"/>
  <c r="B7216" i="106" s="1"/>
  <c r="D7216" i="106" s="1"/>
  <c r="J41" i="3"/>
  <c r="K76" i="4"/>
  <c r="B3586" i="106" s="1"/>
  <c r="D3586" i="106" s="1"/>
  <c r="L367" i="29"/>
  <c r="L5" i="11"/>
  <c r="B2056" i="106" s="1"/>
  <c r="D2056" i="106" s="1"/>
  <c r="J352" i="29"/>
  <c r="J367" i="29" s="1"/>
  <c r="B7245" i="106" s="1"/>
  <c r="D7245" i="106" s="1"/>
  <c r="D6103" i="106"/>
  <c r="H365" i="29"/>
  <c r="B7242" i="106" s="1"/>
  <c r="D7242" i="106" s="1"/>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F41" i="108" l="1"/>
  <c r="G43" i="108" s="1"/>
  <c r="B1365" i="106"/>
  <c r="D1365" i="106" s="1"/>
  <c r="F65" i="34"/>
  <c r="C114" i="29"/>
  <c r="B757" i="106" s="1"/>
  <c r="D757" i="106" s="1"/>
  <c r="B5527" i="106"/>
  <c r="D5527" i="106" s="1"/>
  <c r="L16" i="11"/>
  <c r="B2061" i="106" s="1"/>
  <c r="D2061" i="106" s="1"/>
  <c r="B2031" i="106"/>
  <c r="D2031" i="106" s="1"/>
  <c r="N23" i="3"/>
  <c r="B284" i="106" s="1"/>
  <c r="D284" i="106" s="1"/>
  <c r="K342" i="29"/>
  <c r="F13" i="34" s="1"/>
  <c r="D41" i="108"/>
  <c r="E43" i="108" s="1"/>
  <c r="D7250" i="106"/>
  <c r="L114" i="29"/>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D268" i="5" l="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B6230" i="106" s="1"/>
  <c r="D6230"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239" i="106" s="1"/>
  <c r="D3239"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l="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<sst xmlns="http://schemas.openxmlformats.org/spreadsheetml/2006/main" count="5332" uniqueCount="2207">
  <si>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</si>
  <si>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</si>
  <si>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</si>
  <si>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</si>
  <si>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</si>
  <si>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</si>
  <si>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</si>
  <si>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</si>
  <si>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</si>
  <si>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</si>
  <si>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</si>
  <si>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</si>
  <si>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</si>
  <si>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</si>
  <si>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</si>
  <si>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</si>
  <si>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</si>
  <si>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</si>
  <si>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</si>
  <si>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</si>
  <si>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</si>
  <si>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</si>
  <si>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</si>
  <si>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</si>
  <si>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</si>
  <si>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</si>
  <si>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</si>
  <si>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</si>
  <si>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</si>
  <si>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</si>
  <si>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</si>
  <si>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</si>
  <si>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</si>
  <si>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</si>
  <si>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</si>
  <si>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</si>
  <si>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</si>
  <si>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</si>
  <si>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</si>
  <si>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</si>
  <si>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</si>
  <si>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</si>
  <si>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</si>
  <si>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</si>
  <si>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</si>
  <si>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</si>
  <si>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</si>
  <si>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</si>
  <si>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</si>
  <si>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</si>
  <si>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</si>
  <si>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</si>
  <si>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</si>
  <si>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</si>
  <si>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</si>
  <si>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</si>
  <si>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</si>
  <si>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</si>
  <si>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</si>
  <si>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</si>
  <si>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</si>
  <si>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</si>
  <si>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</si>
  <si>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</si>
  <si>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</si>
  <si>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</si>
  <si>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</si>
  <si>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</si>
  <si>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</si>
  <si>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</si>
  <si>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</si>
  <si>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</si>
  <si>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</si>
  <si>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</si>
  <si>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</si>
  <si>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</si>
  <si>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</si>
  <si>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</si>
  <si>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</si>
  <si>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</si>
  <si>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</si>
  <si>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</si>
  <si>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</si>
  <si>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</si>
  <si>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</si>
  <si>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</si>
  <si>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</si>
  <si>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</si>
  <si>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</si>
  <si>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</si>
  <si>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</si>
  <si>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</si>
  <si>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</si>
  <si>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</si>
  <si>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</si>
  <si>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</si>
  <si>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</si>
  <si>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</si>
  <si>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</si>
  <si>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</si>
  <si>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</si>
  <si>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</si>
  <si>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</si>
  <si>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</si>
  <si>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</si>
  <si>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</si>
  <si>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</si>
  <si>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</si>
  <si>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</si>
  <si>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</si>
  <si>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</si>
  <si>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</si>
  <si>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</si>
  <si>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</si>
  <si>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</si>
  <si>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</si>
  <si>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</si>
  <si>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</si>
  <si>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</si>
  <si>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</si>
  <si>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</si>
  <si>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</si>
  <si>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</si>
  <si>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</si>
  <si>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</si>
  <si>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</si>
  <si>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</si>
  <si>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</si>
  <si>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</si>
  <si>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</si>
  <si>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</si>
  <si>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</si>
  <si>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</si>
  <si>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</si>
  <si>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</si>
  <si>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</si>
  <si>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</si>
  <si>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</si>
  <si>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</si>
  <si>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</si>
  <si>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</si>
  <si>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</si>
  <si>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</si>
  <si>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</si>
  <si>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</si>
  <si>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</si>
  <si>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</si>
  <si>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</si>
  <si>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</si>
  <si>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</si>
  <si>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</si>
  <si>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</si>
  <si>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</si>
  <si>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</si>
  <si>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</si>
  <si>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</si>
  <si>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</si>
  <si>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</si>
  <si>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</si>
  <si>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</si>
  <si>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</si>
  <si>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</si>
  <si>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</si>
  <si>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</si>
  <si>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</si>
  <si>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</si>
  <si>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</si>
  <si>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</si>
  <si>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</si>
  <si>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</si>
  <si>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</si>
  <si>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</si>
  <si>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</si>
  <si>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</si>
  <si>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</si>
  <si>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</si>
  <si>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</si>
  <si>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</si>
  <si>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</si>
  <si>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</si>
  <si>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</si>
  <si>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</si>
  <si>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</si>
  <si>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</si>
  <si>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</si>
  <si>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</si>
  <si>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</si>
  <si>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</si>
  <si>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</si>
  <si>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</si>
  <si>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</si>
  <si>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</si>
  <si>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</si>
  <si>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</si>
  <si>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</si>
  <si>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</si>
  <si>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</si>
  <si>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</si>
  <si>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</si>
  <si>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</si>
  <si>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</si>
  <si>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</si>
  <si>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</si>
  <si>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</si>
  <si>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</si>
  <si>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</si>
  <si>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</si>
  <si>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</si>
  <si>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</si>
  <si>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</si>
  <si>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</si>
  <si>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</si>
  <si>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</si>
  <si>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</si>
  <si>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</si>
  <si>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</si>
  <si>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</si>
  <si>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</si>
  <si>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</si>
  <si>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</si>
  <si>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</si>
  <si>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</si>
  <si>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</si>
  <si>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</si>
  <si>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</si>
  <si>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</si>
  <si>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</si>
  <si>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</si>
  <si>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</si>
  <si>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</si>
  <si>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</si>
  <si>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</si>
  <si>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</si>
  <si>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</si>
  <si>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</si>
  <si>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</si>
  <si>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</si>
  <si>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</si>
  <si>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</si>
  <si>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</si>
  <si>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</si>
  <si>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</si>
  <si>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</si>
  <si>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</si>
  <si>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</si>
  <si>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</si>
  <si>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</si>
  <si>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</si>
  <si>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</si>
  <si>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</si>
  <si>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</si>
  <si>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</si>
  <si>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</si>
  <si>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</si>
  <si>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</si>
  <si>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</si>
  <si>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</si>
  <si>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</si>
  <si>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</si>
  <si>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</si>
  <si>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</si>
  <si>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</si>
  <si>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</si>
  <si>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</si>
  <si>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</si>
  <si>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</si>
  <si>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</si>
  <si>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</si>
  <si>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</si>
  <si>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</si>
  <si>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</si>
  <si>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</si>
  <si>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</si>
  <si>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</si>
  <si>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</si>
  <si>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</si>
  <si>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</si>
  <si>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</si>
  <si>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</si>
  <si>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</si>
  <si>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</si>
  <si>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</si>
  <si>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</si>
  <si>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</si>
  <si>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</si>
  <si>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</si>
  <si>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</si>
  <si>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</si>
  <si>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</si>
  <si>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</si>
  <si>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</si>
  <si>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</si>
  <si>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</si>
  <si>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</si>
  <si>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</si>
  <si>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</si>
  <si>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</si>
  <si>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</si>
  <si>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</si>
  <si>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</si>
  <si>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</si>
  <si>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</si>
  <si>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</si>
  <si>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</si>
  <si>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</si>
  <si>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</si>
  <si>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</si>
  <si>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</si>
  <si>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</si>
  <si>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</si>
  <si>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</si>
  <si>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</si>
  <si>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</si>
  <si>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</si>
  <si>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</si>
  <si>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</si>
  <si>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</si>
  <si>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</si>
  <si>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</si>
  <si>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</si>
  <si>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</si>
  <si>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</si>
  <si>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</si>
  <si>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</si>
  <si>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</si>
  <si>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</si>
  <si>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</si>
  <si>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</si>
  <si>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</si>
  <si>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</si>
  <si>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</si>
  <si>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</si>
  <si>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</si>
  <si>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</si>
  <si>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</si>
  <si>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</si>
  <si>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</si>
  <si>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</si>
  <si>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</si>
  <si>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</si>
  <si>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</si>
  <si>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</si>
  <si>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</si>
  <si>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</si>
  <si>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</si>
  <si>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</si>
  <si>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</si>
  <si>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</si>
  <si>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</si>
  <si>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</si>
  <si>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</si>
  <si>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</si>
  <si>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</si>
  <si>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</si>
  <si>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</si>
  <si>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</si>
  <si>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</si>
  <si>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</si>
  <si>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</si>
  <si>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</si>
  <si>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</si>
  <si>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</si>
  <si>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</si>
  <si>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</si>
  <si>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</si>
  <si>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</si>
  <si>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</si>
  <si>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</si>
  <si>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</si>
  <si>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</si>
  <si>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</si>
  <si>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</si>
  <si>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</si>
  <si>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</si>
  <si>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</si>
  <si>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</si>
  <si>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</si>
  <si>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</si>
  <si>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</si>
  <si>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</si>
  <si>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</si>
  <si>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</si>
  <si>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</si>
  <si>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</si>
  <si>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</si>
  <si>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</si>
  <si>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</si>
  <si>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</si>
  <si>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</si>
  <si>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</si>
  <si>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</si>
  <si>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</si>
  <si>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</si>
  <si>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</si>
  <si>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</si>
  <si>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</si>
  <si>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</si>
  <si>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</si>
  <si>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</si>
  <si>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</si>
  <si>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</si>
  <si>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</si>
  <si>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</si>
  <si>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</si>
  <si>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</si>
  <si>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</si>
  <si>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</si>
  <si>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</si>
  <si>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</si>
  <si>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</si>
  <si>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</si>
  <si>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</si>
  <si>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</si>
  <si>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</si>
  <si>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</si>
  <si>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</si>
  <si>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</si>
  <si>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</si>
  <si>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</si>
  <si>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</si>
  <si>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</si>
  <si>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</si>
  <si>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</si>
  <si>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</si>
  <si>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</si>
  <si>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</si>
  <si>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</si>
  <si>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</si>
  <si>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</si>
  <si>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</si>
  <si>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</si>
  <si>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</si>
  <si>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</si>
  <si>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</si>
  <si>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</si>
  <si>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</si>
  <si>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</si>
  <si>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</si>
  <si>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</si>
  <si>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</si>
  <si>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</si>
  <si>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</si>
  <si>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</si>
  <si>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</si>
  <si>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</si>
  <si>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</si>
  <si>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</si>
  <si>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</si>
  <si>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</si>
  <si>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</si>
  <si>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</si>
  <si>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</si>
  <si>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</si>
  <si>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</si>
  <si>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</si>
  <si>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</si>
  <si>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</si>
  <si>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</si>
  <si>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</si>
  <si>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</si>
  <si>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</si>
  <si>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</si>
  <si>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</si>
  <si>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</si>
  <si>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</si>
  <si>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</si>
  <si>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</si>
  <si>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</si>
  <si>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</si>
  <si>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</si>
  <si>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</si>
  <si>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</si>
  <si>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</si>
  <si>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</si>
  <si>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</si>
  <si>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</si>
  <si>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</si>
  <si>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</si>
  <si>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</si>
  <si>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</si>
  <si>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</si>
  <si>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</si>
  <si>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</si>
  <si>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</si>
  <si>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</si>
  <si>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</si>
  <si>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</si>
  <si>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</si>
  <si>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</si>
  <si>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</si>
  <si>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</si>
  <si>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</si>
  <si>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</si>
  <si>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</si>
  <si>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</si>
  <si>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</si>
  <si>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</si>
  <si>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</si>
  <si>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</si>
  <si>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</si>
  <si>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</si>
  <si>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</si>
  <si>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</si>
  <si>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</si>
  <si>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</si>
  <si>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</si>
  <si>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</si>
  <si>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</si>
  <si>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</si>
  <si>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</si>
  <si>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</si>
  <si>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</si>
  <si>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</si>
  <si>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</si>
  <si>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</si>
  <si>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</si>
  <si>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</si>
  <si>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</si>
  <si>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</si>
  <si>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</si>
  <si>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</si>
  <si>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</si>
  <si>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</si>
  <si>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</si>
  <si>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</si>
  <si>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</si>
  <si>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</si>
  <si>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</si>
  <si>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</si>
  <si>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</si>
  <si>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</si>
  <si>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</si>
  <si>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</si>
  <si>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</si>
  <si>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</si>
  <si>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</si>
  <si>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</si>
  <si>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</si>
  <si>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</si>
  <si>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</si>
  <si>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</si>
  <si>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</si>
  <si>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</si>
  <si>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</si>
  <si>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</si>
  <si>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</si>
  <si>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</si>
  <si>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</si>
  <si>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</si>
  <si>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</si>
  <si>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</si>
  <si>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</si>
  <si>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</si>
  <si>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</si>
  <si>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</si>
  <si>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</si>
  <si>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</si>
  <si>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</si>
  <si>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</si>
  <si>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</si>
  <si>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</si>
  <si>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</si>
  <si>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</si>
  <si>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</si>
  <si>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</si>
  <si>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</si>
  <si>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</si>
  <si>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</si>
  <si>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</si>
  <si>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</si>
  <si>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</si>
  <si>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</si>
  <si>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</si>
  <si>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</si>
  <si>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</si>
  <si>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</si>
  <si>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</si>
  <si>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</si>
  <si>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</si>
  <si>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</si>
  <si>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</si>
  <si>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</si>
  <si>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</si>
  <si>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</si>
  <si>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</si>
  <si>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</si>
  <si>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</si>
  <si>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</si>
  <si>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</si>
  <si>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</si>
  <si>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</si>
  <si>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</si>
  <si>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</si>
  <si>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</si>
  <si>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</si>
  <si>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</si>
  <si>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</si>
  <si>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</si>
  <si>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</si>
  <si>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</si>
  <si>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</si>
  <si>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</si>
  <si>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</si>
  <si>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</si>
  <si>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</si>
  <si>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</si>
  <si>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</si>
  <si>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</si>
  <si>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</si>
  <si>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</si>
  <si>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</si>
  <si>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</si>
  <si>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</si>
  <si>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</si>
  <si>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</si>
  <si>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</si>
  <si>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</si>
  <si>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</si>
  <si>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</si>
  <si>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</si>
  <si>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</si>
  <si>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</si>
  <si>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</si>
  <si>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</si>
  <si>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</si>
  <si>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</si>
  <si>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</si>
  <si>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</si>
  <si>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</si>
  <si>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</si>
  <si>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</si>
  <si>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</si>
  <si>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</si>
  <si>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</si>
  <si>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</si>
  <si>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</si>
  <si>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</si>
  <si>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</si>
  <si>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</si>
  <si>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</si>
  <si>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</si>
  <si>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</si>
  <si>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</si>
  <si>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</si>
  <si>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</si>
  <si>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</si>
  <si>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</si>
  <si>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</si>
  <si>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</si>
  <si>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</si>
  <si>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</si>
  <si>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</si>
  <si>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</si>
  <si>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</si>
  <si>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</si>
  <si>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</si>
  <si>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</si>
  <si>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</si>
  <si>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</si>
  <si>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</si>
  <si>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</si>
  <si>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</si>
  <si>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</si>
  <si>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</si>
  <si>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</si>
  <si>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</si>
  <si>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</si>
  <si>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</si>
  <si>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</si>
  <si>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</si>
  <si>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</si>
  <si>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</si>
  <si>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</si>
  <si>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</si>
  <si>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</si>
  <si>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</si>
  <si>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</si>
  <si>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</si>
  <si>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</si>
  <si>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</si>
  <si>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</si>
  <si>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</si>
  <si>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</si>
  <si>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</si>
  <si>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</si>
  <si>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</si>
  <si>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</si>
  <si>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</si>
  <si>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</si>
  <si>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</si>
  <si>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</si>
  <si>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</si>
  <si>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</si>
  <si>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</si>
  <si>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</si>
  <si>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</si>
  <si>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</si>
  <si>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</si>
  <si>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</si>
  <si>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</si>
  <si>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</si>
  <si>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</si>
  <si>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</si>
  <si>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</si>
  <si>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</si>
  <si>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</si>
  <si>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</si>
  <si>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</si>
  <si>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</si>
  <si>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</si>
  <si>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</si>
  <si>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</si>
  <si>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</si>
  <si>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</si>
  <si>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</si>
  <si>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</si>
  <si>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</si>
  <si>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</si>
  <si>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</si>
  <si>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</si>
  <si>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</si>
  <si>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</si>
  <si>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</si>
  <si>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</si>
  <si>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</si>
  <si>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</si>
  <si>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</si>
  <si>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</si>
  <si>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</si>
  <si>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</si>
  <si>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</si>
  <si>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</si>
  <si>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</si>
  <si>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</si>
  <si>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</si>
  <si>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</si>
  <si>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</si>
  <si>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</si>
  <si>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</si>
  <si>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</si>
  <si>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</si>
  <si>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</si>
  <si>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</si>
  <si>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</si>
  <si>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</si>
  <si>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</si>
  <si>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</si>
  <si>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</si>
  <si>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</si>
  <si>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</si>
  <si>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</si>
  <si>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</si>
  <si>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</si>
  <si>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</si>
  <si>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</si>
  <si>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</si>
  <si>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</si>
  <si>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</si>
  <si>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</si>
  <si>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</si>
  <si>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</si>
  <si>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</si>
  <si>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</si>
  <si>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</si>
  <si>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</si>
  <si>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</si>
  <si>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</si>
  <si>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</si>
  <si>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</si>
  <si>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</si>
  <si>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</si>
  <si>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</si>
  <si>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</si>
  <si>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</si>
  <si>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</si>
  <si>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</si>
  <si>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</si>
  <si>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</si>
  <si>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</si>
  <si>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</si>
  <si>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</si>
  <si>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</si>
  <si>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</si>
  <si>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</si>
  <si>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</si>
  <si>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</si>
  <si>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</si>
  <si>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</si>
  <si>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</si>
  <si>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</si>
  <si>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</si>
  <si>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</si>
  <si>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</si>
  <si>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</si>
  <si>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</si>
  <si>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</si>
  <si>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</si>
  <si>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</si>
  <si>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</si>
  <si>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</si>
  <si>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</si>
  <si>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</si>
  <si>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</si>
  <si>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</si>
  <si>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</si>
  <si>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</si>
  <si>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</si>
  <si>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</si>
  <si>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</si>
  <si>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</si>
  <si>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</si>
  <si>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</si>
  <si>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</si>
  <si>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</si>
  <si>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</si>
  <si>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</si>
  <si>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</si>
  <si>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</si>
  <si>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</si>
  <si>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</si>
  <si>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</si>
  <si>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</si>
  <si>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</si>
  <si>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</si>
  <si>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</si>
  <si>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</si>
  <si>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</si>
  <si>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</si>
  <si>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</si>
  <si>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</si>
  <si>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</si>
  <si>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</si>
  <si>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</si>
  <si>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</si>
  <si>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</si>
  <si>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</si>
  <si>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</si>
  <si>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</si>
  <si>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</si>
  <si>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</si>
  <si>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</si>
  <si>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</si>
  <si>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</si>
  <si>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</si>
  <si>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</si>
  <si>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</si>
  <si>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</si>
  <si>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</si>
  <si>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</si>
  <si>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</si>
  <si>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</si>
  <si>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</si>
  <si>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</si>
  <si>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</si>
  <si>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</si>
  <si>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</si>
  <si>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</si>
  <si>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</si>
  <si>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</si>
  <si>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</si>
  <si>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</si>
  <si>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</si>
  <si>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</si>
  <si>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</si>
  <si>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</si>
  <si>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</si>
  <si>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</si>
  <si>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</si>
  <si>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</si>
  <si>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</si>
  <si>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</si>
  <si>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</si>
  <si>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</si>
  <si>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</si>
  <si>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</si>
  <si>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</si>
  <si>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</si>
  <si>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</si>
  <si>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</si>
  <si>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</si>
  <si>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</si>
  <si>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</si>
  <si>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</si>
  <si>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</si>
  <si>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</si>
  <si>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</si>
  <si>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</si>
  <si>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</si>
  <si>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</si>
  <si>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</si>
  <si>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</si>
  <si>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</si>
  <si>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</si>
  <si>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</si>
  <si>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</si>
  <si>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</si>
  <si>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</si>
  <si>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</si>
  <si>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</si>
  <si>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</si>
  <si>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</si>
  <si>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</si>
  <si>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</si>
  <si>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</si>
  <si>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</si>
  <si>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</si>
  <si>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</si>
  <si>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</si>
  <si>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</si>
  <si>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</si>
  <si>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</si>
  <si>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</si>
  <si>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</si>
  <si>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</si>
  <si>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</si>
  <si>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</si>
  <si>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</si>
  <si>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</si>
  <si>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</si>
  <si>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</si>
  <si>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</si>
  <si>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</si>
  <si>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</si>
  <si>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</si>
  <si>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</si>
  <si>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</si>
  <si>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</si>
  <si>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</si>
  <si>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</si>
  <si>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</si>
  <si>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</si>
  <si>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</si>
  <si>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</si>
  <si>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</si>
  <si>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</si>
  <si>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</si>
  <si>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</si>
  <si>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</si>
  <si>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</si>
  <si>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</si>
  <si>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</si>
  <si>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</si>
  <si>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</si>
  <si>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</si>
  <si>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</si>
  <si>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</si>
  <si>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</si>
  <si>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</si>
  <si>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</si>
  <si>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</si>
  <si>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</si>
  <si>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</si>
  <si>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</si>
  <si>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</si>
  <si>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</si>
  <si>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</si>
  <si>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</si>
  <si>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</si>
  <si>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</si>
  <si>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</si>
  <si>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</si>
  <si>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</si>
  <si>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</si>
  <si>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</si>
  <si>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</si>
  <si>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</si>
  <si>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</si>
  <si>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</si>
  <si>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</si>
  <si>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</si>
  <si>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</si>
  <si>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</si>
  <si>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</si>
  <si>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</si>
  <si>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</si>
  <si>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</si>
  <si>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</si>
  <si>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</si>
  <si>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</si>
  <si>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</si>
  <si>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</si>
  <si>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</si>
  <si>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</si>
  <si>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</si>
  <si>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</si>
  <si>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</si>
  <si>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</si>
  <si>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</si>
  <si>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</si>
  <si>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</si>
  <si>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</si>
  <si>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</si>
  <si>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</si>
  <si>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</si>
  <si>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</si>
  <si>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</si>
  <si>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</si>
  <si>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</si>
  <si>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</si>
  <si>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</si>
  <si>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</si>
  <si>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</si>
  <si>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</si>
  <si>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</si>
  <si>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</si>
  <si>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</si>
  <si>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</si>
  <si>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</si>
  <si>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</si>
  <si>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</si>
  <si>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</si>
  <si>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</si>
  <si>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</si>
  <si>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</si>
  <si>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</si>
  <si>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</si>
  <si>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</si>
  <si>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</si>
  <si>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</si>
  <si>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</si>
  <si>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</si>
  <si>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</si>
  <si>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</si>
  <si>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</si>
  <si>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</si>
  <si>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</si>
  <si>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</si>
  <si>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</si>
  <si>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</si>
  <si>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</si>
  <si>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</si>
  <si>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</si>
  <si>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</si>
  <si>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</si>
  <si>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</si>
  <si>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</si>
  <si>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</si>
  <si>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</si>
  <si>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</si>
  <si>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</si>
  <si>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</si>
  <si>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</si>
  <si>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</si>
  <si>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</si>
  <si>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</si>
  <si>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</si>
  <si>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</si>
  <si>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</si>
  <si>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</si>
  <si>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</si>
  <si>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</si>
  <si>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</si>
  <si>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</si>
  <si>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</si>
  <si>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</si>
  <si>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</si>
  <si>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</si>
  <si>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</si>
  <si>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</si>
  <si>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</si>
  <si>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</si>
  <si>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</si>
  <si>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</si>
  <si>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</si>
  <si>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</si>
  <si>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</si>
  <si>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</si>
  <si>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</si>
  <si>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</si>
  <si>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</si>
  <si>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</si>
  <si>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</si>
  <si>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</si>
  <si>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</si>
  <si>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</si>
  <si>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</si>
  <si>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</si>
  <si>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</si>
  <si>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</si>
  <si>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</si>
  <si>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</si>
  <si>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</si>
  <si>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</si>
  <si>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</si>
  <si>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</si>
  <si>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</si>
  <si>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</si>
  <si>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</si>
  <si>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</si>
  <si>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</si>
  <si>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</si>
  <si>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</si>
  <si>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</si>
  <si>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</si>
  <si>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</si>
  <si>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</si>
  <si>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</si>
  <si>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</si>
  <si>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</si>
  <si>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</si>
  <si>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</si>
  <si>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</si>
  <si>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</si>
  <si>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</si>
  <si>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</si>
  <si>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</si>
  <si>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</si>
  <si>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</si>
  <si>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</si>
  <si>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</si>
  <si>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</si>
  <si>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</si>
  <si>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</si>
  <si>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</si>
  <si>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</si>
  <si>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</si>
  <si>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</si>
  <si>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</si>
  <si>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</si>
  <si>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</si>
  <si>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</si>
  <si>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</si>
  <si>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</si>
  <si>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</si>
  <si>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</si>
  <si>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</si>
  <si>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</si>
  <si>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</si>
  <si>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</si>
  <si>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</si>
  <si>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</si>
  <si>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</si>
  <si>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</si>
  <si>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</si>
  <si>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</si>
  <si>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</si>
  <si>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</si>
  <si>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</si>
  <si>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</si>
  <si>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</si>
  <si>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</si>
  <si>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</si>
  <si>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</si>
  <si>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</si>
  <si>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</si>
  <si>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</si>
  <si>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</si>
  <si>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</si>
  <si>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</si>
  <si>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</si>
  <si>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</si>
  <si>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</si>
  <si>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</si>
  <si>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</si>
  <si>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</si>
  <si>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</si>
  <si>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</si>
  <si>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</si>
  <si>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</si>
  <si>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</si>
  <si>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</si>
  <si>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</si>
  <si>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</si>
  <si>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</si>
  <si>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</si>
  <si>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</si>
  <si>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</si>
  <si>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</si>
  <si>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</si>
  <si>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</si>
  <si>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</si>
  <si>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</si>
  <si>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</si>
  <si>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</si>
  <si>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</si>
  <si>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</si>
  <si>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</si>
  <si>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</si>
  <si>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</si>
  <si>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</si>
  <si>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</si>
  <si>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</si>
  <si>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</si>
  <si>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</si>
  <si>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</si>
  <si>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</si>
  <si>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</si>
  <si>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</si>
  <si>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</si>
  <si>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</si>
  <si>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</si>
  <si>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</si>
  <si>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</si>
  <si>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</si>
  <si>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</si>
  <si>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</si>
  <si>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</si>
  <si>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</si>
  <si>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</si>
  <si>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</si>
  <si>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</si>
  <si>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</si>
  <si>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</si>
  <si>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</si>
  <si>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</si>
  <si>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</si>
  <si>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</si>
  <si>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</si>
  <si>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</si>
  <si>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</si>
  <si>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</si>
  <si>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</si>
  <si>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</si>
  <si>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</si>
  <si>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</si>
  <si>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</si>
  <si>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</si>
  <si>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</si>
  <si>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</si>
  <si>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</si>
  <si>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</si>
  <si>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</si>
  <si>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</si>
  <si>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</si>
  <si>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</si>
  <si>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</si>
  <si>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</si>
  <si>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</si>
  <si>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</si>
  <si>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</si>
  <si>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</si>
  <si>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</si>
  <si>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</si>
  <si>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</si>
  <si>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</si>
  <si>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</si>
  <si>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</si>
  <si>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</si>
  <si>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</si>
  <si>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</si>
  <si>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</si>
  <si>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</si>
  <si>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</si>
  <si>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</si>
  <si>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</si>
  <si>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</si>
  <si>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</si>
  <si>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</si>
  <si>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</si>
  <si>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</si>
  <si>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</si>
  <si>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</si>
  <si>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</si>
  <si>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</si>
  <si>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</si>
  <si>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</si>
  <si>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</si>
  <si>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</si>
  <si>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</si>
  <si>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</si>
  <si>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</si>
  <si>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</si>
  <si>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</si>
  <si>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</si>
  <si>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</si>
  <si>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</si>
  <si>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</si>
  <si>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</si>
  <si>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</si>
  <si>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</si>
  <si>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</si>
  <si>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</si>
  <si>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</si>
  <si>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</si>
  <si>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</si>
  <si>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</si>
  <si>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</si>
  <si>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</si>
  <si>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</si>
  <si>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</si>
  <si>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</si>
  <si>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</si>
  <si>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</si>
  <si>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</si>
  <si>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</si>
  <si>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</si>
  <si>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</si>
  <si>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</si>
  <si>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</si>
  <si>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</si>
  <si>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</si>
  <si>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</si>
  <si>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</si>
  <si>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</si>
  <si>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</si>
  <si>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</si>
  <si>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</si>
  <si>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</si>
  <si>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</si>
  <si>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</si>
  <si>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</si>
  <si>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</si>
  <si>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</si>
  <si>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</si>
  <si>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</si>
  <si>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</si>
  <si>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</si>
  <si>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</si>
  <si>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</si>
  <si>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</si>
  <si>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</si>
  <si>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</si>
  <si>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</si>
  <si>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</si>
  <si>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</si>
  <si>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</si>
  <si>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</si>
  <si>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</si>
  <si>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</si>
  <si>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</si>
  <si>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</si>
  <si>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</si>
  <si>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</si>
  <si>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</si>
  <si>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</si>
  <si>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</si>
  <si>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</si>
  <si>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</si>
  <si>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</si>
  <si>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</si>
  <si>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</si>
  <si>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</si>
  <si>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</si>
  <si>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</si>
  <si>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</si>
  <si>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</si>
  <si>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</si>
  <si>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</si>
  <si>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</si>
  <si>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</si>
  <si>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</si>
  <si>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</si>
  <si>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</si>
  <si>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</si>
  <si>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</si>
  <si>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</si>
  <si>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</si>
  <si>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</si>
  <si>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</si>
  <si>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</si>
  <si>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</si>
  <si>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</si>
  <si>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</si>
  <si>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</si>
  <si>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</si>
  <si>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</si>
  <si>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</si>
  <si>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</si>
  <si>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</si>
  <si>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</si>
  <si>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</si>
  <si>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</si>
  <si>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</si>
  <si>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</si>
  <si>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</si>
  <si>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</si>
  <si>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</si>
  <si>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</si>
  <si>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</si>
  <si>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</si>
  <si>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</si>
  <si>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</si>
  <si>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</si>
  <si>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</si>
  <si>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</si>
  <si>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</si>
  <si>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</si>
  <si>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</si>
  <si>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</si>
  <si>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</si>
  <si>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</si>
  <si>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</si>
  <si>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</si>
  <si>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</si>
  <si>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</si>
  <si>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</si>
  <si>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</si>
  <si>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</si>
  <si>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</si>
  <si>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</si>
  <si>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</si>
  <si>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</si>
  <si>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</si>
  <si>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</si>
  <si>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</si>
  <si>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</si>
  <si>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</si>
  <si>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</si>
  <si>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</si>
  <si>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</si>
  <si>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</si>
  <si>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</si>
  <si>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</si>
  <si>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</si>
  <si>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</si>
  <si>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</si>
  <si>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</si>
  <si>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</si>
  <si>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</si>
  <si>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</si>
  <si>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</si>
  <si>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</si>
  <si>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</si>
  <si>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</si>
  <si>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</si>
  <si>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</si>
  <si>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</si>
  <si>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</si>
  <si>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</si>
  <si>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</si>
  <si>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</si>
  <si>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</si>
  <si>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</si>
  <si>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</si>
  <si>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</si>
  <si>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</si>
  <si>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</si>
  <si>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</si>
  <si>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</si>
  <si>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</si>
  <si>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</si>
  <si>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</si>
  <si>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</si>
  <si>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</si>
  <si>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</si>
  <si>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</si>
  <si>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</si>
  <si>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</si>
  <si>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</si>
  <si>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</si>
  <si>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</si>
  <si>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</si>
  <si>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</si>
  <si>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</si>
  <si>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</si>
  <si>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</si>
  <si>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</si>
  <si>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</si>
  <si>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</si>
  <si>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</si>
  <si>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</si>
  <si>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</si>
  <si>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</si>
  <si>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</si>
  <si>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</si>
  <si>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</si>
  <si>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</si>
  <si>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</si>
  <si>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</si>
  <si>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</si>
  <si>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</si>
  <si>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</si>
  <si>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</si>
  <si>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</si>
  <si>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</si>
  <si>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</si>
  <si>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</si>
  <si>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</si>
  <si>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</si>
  <si>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</si>
  <si>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</si>
  <si>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</si>
  <si>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</si>
  <si>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</si>
  <si>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</si>
  <si>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</si>
  <si>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</si>
  <si>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</si>
  <si>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</si>
  <si>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</si>
  <si>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</si>
  <si>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</si>
  <si>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</si>
  <si>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</si>
  <si>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</si>
  <si>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</si>
  <si>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</si>
  <si>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</si>
  <si>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</si>
  <si>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</si>
  <si>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</si>
  <si>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</si>
  <si>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</si>
  <si>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</si>
  <si>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</si>
  <si>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</si>
  <si>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</si>
  <si>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</si>
  <si>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</si>
  <si>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</si>
  <si>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</si>
  <si>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</si>
  <si>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</si>
  <si>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</si>
  <si>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</si>
  <si>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</si>
  <si>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</si>
  <si>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</si>
  <si>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</si>
  <si>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</si>
  <si>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</si>
  <si>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</si>
  <si>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</si>
  <si>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</si>
  <si>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</si>
  <si>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</si>
  <si>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</si>
  <si>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</si>
  <si>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</si>
  <si>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</si>
  <si>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</si>
  <si>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</si>
  <si>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</si>
  <si>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</si>
  <si>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</si>
  <si>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</si>
  <si>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</si>
  <si>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</si>
  <si>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</si>
  <si>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</si>
  <si>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</si>
  <si>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</si>
  <si>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</si>
  <si>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</si>
  <si>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</si>
  <si>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</si>
  <si>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</si>
  <si>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</si>
  <si>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</si>
  <si>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</si>
  <si>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</si>
  <si>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</si>
  <si>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</si>
  <si>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</si>
  <si>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</si>
  <si>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</si>
  <si>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</si>
  <si>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</si>
  <si>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</si>
  <si>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</si>
  <si>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</si>
  <si>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</si>
  <si>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</si>
  <si>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</si>
  <si>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</si>
  <si>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</si>
  <si>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</si>
  <si>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</si>
  <si>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</si>
  <si>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</si>
  <si>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</si>
  <si>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</si>
  <si>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</si>
  <si>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</si>
  <si>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</si>
  <si>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</si>
  <si>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</si>
  <si>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</si>
  <si>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</si>
  <si>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</si>
  <si>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</si>
  <si>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</si>
  <si>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</si>
  <si>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</si>
  <si>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</si>
  <si>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</si>
  <si>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</si>
  <si>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</si>
  <si>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</si>
  <si>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</si>
  <si>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</si>
  <si>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</si>
  <si>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</si>
  <si>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</si>
  <si>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</si>
  <si>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</si>
  <si>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</si>
  <si>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</si>
  <si>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</si>
  <si>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</si>
  <si>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</si>
  <si>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</si>
  <si>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</si>
  <si>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</si>
  <si>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</si>
  <si>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</si>
  <si>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</si>
  <si>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</si>
  <si>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</si>
  <si>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</si>
  <si>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</si>
  <si>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</si>
  <si>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</si>
  <si>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</si>
  <si>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</si>
  <si>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</si>
  <si>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</si>
  <si>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</si>
  <si>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</si>
  <si>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</si>
  <si>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</si>
  <si>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</si>
  <si>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</si>
  <si>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</si>
  <si>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</si>
  <si>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</si>
  <si>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</si>
  <si>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</si>
  <si>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</si>
  <si>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</si>
  <si>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</si>
  <si>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</si>
  <si>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</si>
  <si>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</si>
  <si>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</si>
  <si>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</si>
  <si>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</si>
  <si>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</si>
  <si>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</si>
  <si>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</si>
  <si>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</si>
  <si>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</si>
  <si>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</si>
  <si>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</si>
  <si>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</si>
  <si>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</si>
  <si>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</si>
  <si>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</si>
  <si>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</si>
  <si>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</si>
  <si>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</si>
  <si>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</si>
  <si>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</si>
  <si>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</si>
  <si>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</si>
  <si>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</si>
  <si>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</si>
  <si>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</si>
  <si>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</si>
  <si>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</si>
  <si>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</si>
  <si>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</si>
  <si>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</si>
  <si>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</si>
  <si>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</si>
  <si>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</si>
  <si>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</si>
  <si>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</si>
  <si>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</si>
  <si>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</si>
  <si>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</si>
  <si>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</si>
  <si>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</si>
  <si>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</si>
  <si>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</si>
  <si>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</si>
  <si>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</si>
  <si>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</si>
  <si>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</si>
  <si>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</si>
  <si>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</si>
  <si>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</si>
  <si>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</si>
  <si>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</si>
  <si>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</si>
  <si>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</si>
  <si>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</si>
  <si>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</si>
  <si>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</si>
  <si>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</si>
  <si>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</si>
  <si>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</si>
  <si>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</si>
  <si>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</si>
  <si>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</si>
  <si>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</si>
  <si>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</si>
  <si>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</si>
  <si>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</si>
  <si>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</si>
  <si>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</si>
  <si>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</si>
  <si>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</si>
  <si>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</si>
  <si>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</si>
  <si>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</si>
  <si>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</si>
  <si>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</si>
  <si>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</si>
  <si>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</si>
  <si>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</si>
  <si>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</si>
  <si>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</si>
  <si>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</si>
  <si>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</si>
  <si>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</si>
  <si>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</si>
  <si>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</si>
  <si>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</si>
  <si>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</si>
  <si>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</si>
  <si>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</si>
  <si>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</si>
  <si>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</si>
  <si>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</si>
  <si>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</si>
  <si>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</si>
  <si>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</si>
  <si>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</si>
  <si>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</si>
  <si>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</si>
  <si>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</si>
  <si>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</si>
  <si>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</si>
  <si>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</si>
  <si>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</si>
  <si>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</si>
  <si>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</si>
  <si>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</si>
  <si>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</si>
  <si>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</si>
  <si>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</si>
  <si>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</si>
  <si>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</si>
  <si>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</si>
  <si>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</si>
  <si>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</si>
  <si>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</si>
  <si>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</si>
  <si>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</si>
  <si>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</si>
  <si>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</si>
  <si>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</si>
  <si>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</si>
  <si>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</si>
  <si>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</si>
  <si>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</si>
  <si>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</si>
  <si>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</si>
  <si>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</si>
  <si>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</si>
  <si>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</si>
  <si>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</si>
  <si>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</si>
  <si>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</si>
  <si>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</si>
  <si>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</si>
  <si>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</si>
  <si>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</si>
  <si>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</si>
  <si>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</si>
  <si>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</si>
  <si>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</si>
  <si>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</si>
  <si>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</si>
  <si>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</si>
  <si>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</si>
  <si>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</si>
  <si>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</si>
  <si>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</si>
  <si>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</si>
  <si>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</si>
  <si>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</si>
  <si>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</si>
  <si>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</si>
  <si>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</si>
  <si>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</si>
  <si>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</si>
  <si>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</si>
  <si>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</si>
  <si>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</si>
  <si>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</si>
  <si>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</si>
  <si>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</si>
  <si>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</si>
  <si>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</si>
  <si>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</si>
  <si>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</si>
  <si>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</si>
  <si>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</si>
  <si>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</si>
  <si>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</si>
  <si>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</si>
  <si>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</si>
  <si>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</si>
  <si>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</si>
  <si>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</si>
  <si>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</si>
  <si>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</si>
  <si>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</si>
  <si>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</si>
  <si>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</si>
  <si>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</si>
  <si>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</si>
  <si>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</si>
  <si>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</si>
  <si>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</si>
  <si>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</si>
  <si>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</si>
  <si>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</si>
  <si>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</si>
  <si>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</si>
  <si>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</si>
  <si>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</si>
  <si>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</si>
  <si>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</si>
  <si>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</si>
  <si>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</si>
  <si>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</si>
  <si>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</si>
  <si>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</si>
  <si>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</si>
  <si>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</si>
  <si>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</si>
  <si>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</si>
  <si>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</si>
  <si>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</si>
  <si>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</si>
  <si>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</si>
  <si>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</si>
  <si>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</si>
  <si>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</si>
  <si>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</si>
  <si>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</si>
  <si>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</si>
  <si>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</si>
  <si>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</si>
  <si>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</si>
  <si>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</si>
  <si>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</si>
  <si>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</si>
  <si>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</si>
  <si>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</si>
  <si>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</si>
  <si>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</si>
  <si>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</si>
  <si>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</si>
  <si>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</si>
  <si>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</si>
  <si>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</si>
  <si>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</si>
  <si>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</si>
  <si>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</si>
  <si>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</si>
  <si>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</si>
  <si>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</si>
  <si>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</si>
  <si>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</si>
  <si>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</si>
  <si>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</si>
  <si>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</si>
  <si>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</si>
  <si>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</si>
  <si>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</si>
  <si>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</si>
  <si>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</si>
  <si>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</si>
  <si>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</si>
  <si>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</si>
  <si>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</si>
  <si>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</si>
  <si>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</si>
  <si>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</si>
  <si>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</si>
  <si>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</si>
  <si>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</si>
  <si>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</si>
  <si>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</si>
  <si>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</si>
  <si>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</si>
  <si>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</si>
  <si>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</si>
  <si>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</si>
  <si>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</si>
  <si>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</si>
  <si>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</si>
  <si>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</si>
  <si>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</si>
  <si>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</si>
  <si>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</si>
  <si>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</si>
  <si>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</si>
  <si>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</si>
  <si>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</si>
  <si>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</si>
  <si>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</si>
  <si>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</si>
  <si>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</si>
  <si>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</si>
  <si>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</si>
  <si>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</si>
  <si>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</si>
  <si>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</si>
  <si>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</si>
  <si>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</si>
  <si>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</si>
  <si>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</si>
  <si>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</si>
  <si>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</si>
  <si>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</si>
  <si>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</si>
  <si>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</si>
  <si>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</si>
  <si>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</si>
  <si>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</si>
  <si>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</si>
  <si>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</si>
  <si>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</si>
  <si>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</si>
  <si>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</si>
  <si>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</si>
  <si>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</si>
  <si>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</si>
  <si>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</si>
  <si>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</si>
  <si>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</si>
  <si>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</si>
  <si>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</si>
  <si>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</si>
  <si>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</si>
  <si>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</si>
  <si>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</si>
  <si>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</si>
  <si>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</si>
  <si>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</si>
  <si>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</si>
  <si>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</si>
  <si>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</si>
  <si>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</si>
  <si>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</si>
  <si>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</si>
  <si>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</si>
  <si>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</si>
  <si>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</si>
  <si>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</si>
  <si>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</si>
  <si>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</si>
  <si>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</si>
  <si>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</si>
  <si>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</si>
  <si>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</si>
  <si>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</si>
  <si>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</si>
  <si>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</si>
  <si>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</si>
  <si>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</si>
  <si>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</si>
  <si>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</si>
  <si>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</si>
  <si>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</si>
  <si>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</si>
  <si>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</si>
  <si>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</si>
  <si>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</si>
  <si>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</si>
  <si>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</si>
  <si>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</si>
  <si>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</si>
  <si>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</si>
  <si>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</si>
  <si>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</si>
  <si>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</si>
  <si>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</si>
  <si>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</si>
  <si>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</si>
  <si>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</si>
  <si>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</si>
  <si>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</si>
  <si>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</si>
  <si>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</si>
  <si>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</si>
  <si>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</si>
  <si>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</si>
  <si>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</si>
  <si>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</si>
  <si>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</si>
  <si>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</si>
  <si>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</si>
  <si>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</si>
  <si>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</si>
  <si>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</si>
  <si>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</si>
  <si>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</si>
  <si>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</si>
  <si>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</si>
  <si>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</si>
  <si>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</si>
  <si>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</si>
  <si>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</si>
  <si>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</si>
  <si>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</si>
  <si>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</si>
  <si>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</si>
  <si>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</si>
  <si>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</si>
  <si>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</si>
  <si>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</si>
  <si>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</si>
  <si>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</si>
  <si>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</si>
  <si>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</si>
  <si>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</si>
  <si>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</si>
  <si>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</si>
  <si>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</si>
  <si>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</si>
  <si>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</si>
  <si>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</si>
  <si>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</si>
  <si>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</si>
  <si>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</si>
  <si>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</si>
  <si>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</si>
  <si>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</si>
  <si>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</si>
  <si>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</si>
  <si>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</si>
  <si>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</si>
  <si>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</si>
  <si>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</si>
  <si>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</si>
  <si>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</si>
  <si>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</si>
  <si>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</si>
  <si>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</si>
  <si>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</si>
  <si>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</si>
  <si>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</si>
  <si>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</si>
  <si>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</si>
  <si>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</si>
  <si>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</si>
  <si>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</si>
  <si>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</si>
  <si>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</si>
  <si>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</si>
  <si>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</si>
  <si>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</si>
  <si>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</si>
  <si>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</si>
  <si>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</si>
  <si>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</si>
  <si>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</si>
  <si>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</si>
  <si>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</si>
  <si>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</si>
  <si>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</si>
  <si>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</si>
  <si>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</si>
  <si>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</si>
  <si>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</si>
  <si>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</si>
  <si>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Botsch &amp; Associates, CPA's, LLC</t>
  </si>
  <si>
    <t>x</t>
  </si>
  <si>
    <t>Hamilton</t>
  </si>
  <si>
    <t>109 North Washington</t>
  </si>
  <si>
    <t>McLeansboro</t>
  </si>
  <si>
    <t>Jeff Fetcho</t>
  </si>
  <si>
    <t>fetchoj@unit10.com</t>
  </si>
  <si>
    <t>618-643-2328</t>
  </si>
  <si>
    <t>618-643-2070</t>
  </si>
  <si>
    <t>Arlynne Stroman, CPA</t>
  </si>
  <si>
    <t>113 East Main Street</t>
  </si>
  <si>
    <t>Carmi</t>
  </si>
  <si>
    <t>IL</t>
  </si>
  <si>
    <t>618-382-4151</t>
  </si>
  <si>
    <t>618-382-4153</t>
  </si>
  <si>
    <t>066-003657</t>
  </si>
  <si>
    <t>arlynne.stroman@botsch.com</t>
  </si>
  <si>
    <t>General Obligation Refunding Bonds Series 2014</t>
  </si>
  <si>
    <t>Bus Lease</t>
  </si>
  <si>
    <t>None</t>
  </si>
  <si>
    <t>Wabash &amp; Ohio Valley Special Ed District</t>
  </si>
  <si>
    <t>Carmi-White County CUSD #5</t>
  </si>
  <si>
    <t>US DEPARTMENT OF EDUCATION:</t>
  </si>
  <si>
    <t>Passed Through ISBE:</t>
  </si>
  <si>
    <t>Title I Low Income (M)</t>
  </si>
  <si>
    <t>84.010A</t>
  </si>
  <si>
    <t>19-4300-00</t>
  </si>
  <si>
    <t>18-4300-00</t>
  </si>
  <si>
    <t>Title II Teacher Quality</t>
  </si>
  <si>
    <t>84.367A</t>
  </si>
  <si>
    <t>19-4932-00</t>
  </si>
  <si>
    <t>18-4932-00</t>
  </si>
  <si>
    <t>Special Ed IDEA Room &amp; Board</t>
  </si>
  <si>
    <t>Passed Through Rend Lake Regional Delivery System:</t>
  </si>
  <si>
    <t>Carl Perkins Class Material</t>
  </si>
  <si>
    <t>19-2200-00</t>
  </si>
  <si>
    <t>Passed Through ROE:</t>
  </si>
  <si>
    <t>ISTEM Stipends</t>
  </si>
  <si>
    <t>19-4999-00</t>
  </si>
  <si>
    <t>TOTAL US DEPARTMENT OF EDUCATION</t>
  </si>
  <si>
    <t>US DEPARTMENT OF HEALTH &amp; HUMAN SERVICES:</t>
  </si>
  <si>
    <t>Passed Through IL Dept of Healthcare &amp; Family Services:</t>
  </si>
  <si>
    <t>Medicaid Match</t>
  </si>
  <si>
    <t>Passed Through IL Dept of Human Services:</t>
  </si>
  <si>
    <t>Passed Through Southeastern IL Agency on Aging, Inc.:</t>
  </si>
  <si>
    <t>Title IIIE Grandparents Raising Grandchildren</t>
  </si>
  <si>
    <t>18-2200-00</t>
  </si>
  <si>
    <t>17-2200-00</t>
  </si>
  <si>
    <t>16-2200-00</t>
  </si>
  <si>
    <t>TOTAL US DEPARTMENT OF HEALTH &amp; HUMAN SERVICES</t>
  </si>
  <si>
    <t>US DEPARTMENT OF AGRICULTURE:</t>
  </si>
  <si>
    <t>USDA Commodities</t>
  </si>
  <si>
    <t>Department of Defense Fresh Fruits &amp; Vegetables</t>
  </si>
  <si>
    <t>National School Lunch</t>
  </si>
  <si>
    <t>19-4210-00</t>
  </si>
  <si>
    <t>18-4210-00</t>
  </si>
  <si>
    <t>Child Care &amp; Development</t>
  </si>
  <si>
    <t>National School Breakfast</t>
  </si>
  <si>
    <t>TOTAL US DEPARTMENT OF AGRICULTURE</t>
  </si>
  <si>
    <t>TOTAL FEDERAL AWARDS</t>
  </si>
  <si>
    <t>19-4220-00</t>
  </si>
  <si>
    <t>18-4220-00</t>
  </si>
  <si>
    <t>The accompanying Schedule of Expenditures of Federal Awards includes the federal grant activity of Hamilton County CUSD #10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regulatory basis financial statements.</t>
  </si>
  <si>
    <t>Of the federal expenditures presented in the schedule, Hamilton County CUSD #10 provided federal awards to subrecipients as follows:</t>
  </si>
  <si>
    <t>N/A</t>
  </si>
  <si>
    <t>Unmodified</t>
  </si>
  <si>
    <t>Title I Low Income</t>
  </si>
  <si>
    <t>The school district should have an employee or official with the knowledge and expertise to properly prepare the financial statements and notes to the financial statements.</t>
  </si>
  <si>
    <t>The school district does not have any individual staff with the necessary knowledge and expertise to properly draft the financial statements and notes to the financial statements.</t>
  </si>
  <si>
    <t>The school district cannot prepare the financial statements or notes to the financial statements.</t>
  </si>
  <si>
    <t>The school district does not have an employee or official with the knowledge and expertise to properly prepare the financial statements and notes to the financial statements.</t>
  </si>
  <si>
    <t>The school district should provide the necessary training to personnel or contract with an independent contractor with the knowledge to properly prepare the financial statements and notes to the financial statements.</t>
  </si>
  <si>
    <t>Management acknowledges that it does not have the personnel capable of drafting the financial statements or footnotes; however, we accept full responsibility for the financial statements and footnotes, which are drafted by the auditor, and acknowledge such in writing.  Management is comfortable with the auditor drafting the financial statements and footnotes.</t>
  </si>
  <si>
    <t>2018-001</t>
  </si>
  <si>
    <t>The school district does not have any individual staff</t>
  </si>
  <si>
    <t>with the necessary knowledge and expertise to properly</t>
  </si>
  <si>
    <t>draft the financial statements and notes to the financial</t>
  </si>
  <si>
    <t>statements.</t>
  </si>
  <si>
    <t>This finding is still unresolved and is repeated</t>
  </si>
  <si>
    <t>as finding 2019-001.</t>
  </si>
  <si>
    <t>194991-00</t>
  </si>
  <si>
    <t>Tile I School Improvement &amp; Accountability</t>
  </si>
  <si>
    <t>19-4331-19</t>
  </si>
  <si>
    <t>18-4625-XC</t>
  </si>
  <si>
    <t>84.377A</t>
  </si>
  <si>
    <t>Capital Lease</t>
  </si>
  <si>
    <t>Tort-Support Services-Purchased Services</t>
  </si>
  <si>
    <t>80-2300-300</t>
  </si>
  <si>
    <t>Tabor Pest Services</t>
  </si>
  <si>
    <t>Maxitrol</t>
  </si>
  <si>
    <t>Otis Elevator</t>
  </si>
  <si>
    <t>Johnson Controls Fire Protection</t>
  </si>
  <si>
    <t>US Bank Equipment</t>
  </si>
  <si>
    <t>Specialized Data Systems</t>
  </si>
  <si>
    <t>Lumen</t>
  </si>
  <si>
    <t>Pitney Bowes</t>
  </si>
  <si>
    <t>Republic Services</t>
  </si>
  <si>
    <t>Terminix</t>
  </si>
  <si>
    <t>Verizon</t>
  </si>
  <si>
    <t>10-1000-300</t>
  </si>
  <si>
    <t>10-2300-300</t>
  </si>
  <si>
    <t>20-2540-300</t>
  </si>
  <si>
    <t>Ed-Instruction-Purchased Services</t>
  </si>
  <si>
    <t>Ed-Support Services-Purchased Services</t>
  </si>
  <si>
    <t>O&amp;M-Support Services-Purchased Services</t>
  </si>
  <si>
    <t>Page 8; Line 80</t>
  </si>
  <si>
    <t>Prior Period Adjustments</t>
  </si>
  <si>
    <t>Page 9; Line 17; Acct 1290 -  Other Payments in Lieu of Taxes</t>
  </si>
  <si>
    <t>Jefferson County TVA Taxes</t>
  </si>
  <si>
    <t>Page 10; Line 74; Acct 1690 - Other Food Service</t>
  </si>
  <si>
    <t>Milk</t>
  </si>
  <si>
    <t>Daycare Receipts</t>
  </si>
  <si>
    <t>Mileage Reimbursements</t>
  </si>
  <si>
    <t>Athletic Printing</t>
  </si>
  <si>
    <t>Miscellaneous</t>
  </si>
  <si>
    <t>Advertising</t>
  </si>
  <si>
    <t>Page 11; Line 107; Acct 1999 - Other Local Revenue - Fund 10</t>
  </si>
  <si>
    <t>Page 11; Line 107; Acct 1999 - Other Local Revenue - Fund 20</t>
  </si>
  <si>
    <t>Oil Royalties</t>
  </si>
  <si>
    <t>Coal Royalties</t>
  </si>
  <si>
    <t>Insurance Reimbursement</t>
  </si>
  <si>
    <t>Pepsi Commission</t>
  </si>
  <si>
    <t>Capital Credits</t>
  </si>
  <si>
    <t>Page 11; Line 107; Acct 1999 - Other Local Revenue - Fund 40</t>
  </si>
  <si>
    <t>Donation</t>
  </si>
  <si>
    <t>Sale of Asset</t>
  </si>
  <si>
    <t>Page 12; Line 171; Acct 3999 - Other Restricted Revenue from State Sources</t>
  </si>
  <si>
    <t>State Library Grant</t>
  </si>
  <si>
    <t>WOVSED/Medicaid Reimbursement</t>
  </si>
  <si>
    <t>PSAT Reimbursement</t>
  </si>
  <si>
    <t>Page 13; Line 203; Acct 4399 - Title I - Other</t>
  </si>
  <si>
    <t>School Improvement Grant</t>
  </si>
  <si>
    <t>Page 14; Line 265; Acct 4999 - Other Restricted Revenue from Federal Sources</t>
  </si>
  <si>
    <t>DHS Childcare and Development Grant</t>
  </si>
  <si>
    <t>Page 15; Line 41; Acct 2190 - Other Support Services - Pupils</t>
  </si>
  <si>
    <t>Graduation Expenses</t>
  </si>
  <si>
    <t>Page 25; Line 10; Other Receipts - Special Ed</t>
  </si>
  <si>
    <t>Special Ed Orphanage</t>
  </si>
  <si>
    <t>Page 25; Line 10; Other Receipts - Capital Projects</t>
  </si>
  <si>
    <t>Page 25; Line 22; Other Disbursements</t>
  </si>
  <si>
    <t>Special Ed Transportation</t>
  </si>
  <si>
    <t>Total Long-Term Debt (Principal) Retired (P18, Cells H170) $226,900 must = Debt Service - Long-Term Debt (Principal) Retired (P24, Cells H49) $327,570.</t>
  </si>
  <si>
    <t>The difference of $10,670 is payments on the bus leases from the Transportation Fund.</t>
  </si>
  <si>
    <r>
      <t xml:space="preserve">The following amounts were expended in the form of non-cash assistance by Hamilton County CUSD #10 and </t>
    </r>
    <r>
      <rPr>
        <b/>
        <sz val="9"/>
        <rFont val="Calibri"/>
        <family val="2"/>
        <scheme val="minor"/>
      </rPr>
      <t>should be</t>
    </r>
    <r>
      <rPr>
        <sz val="9"/>
        <rFont val="Calibri"/>
        <family val="2"/>
        <scheme val="minor"/>
      </rPr>
      <t xml:space="preserve"> included in the Schedule of Expenditures of Federal Awards:</t>
    </r>
  </si>
  <si>
    <t>Hamilton Co CUSD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</si>
</sst>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 fontId="61" fillId="0" borderId="22" xfId="3" applyNumberFormat="1" applyFont="1" applyFill="1" applyBorder="1" applyAlignment="1" applyProtection="1">
      <alignment horizontal="center"/>
      <protection locked="0"/>
    </xf>
    <xf numFmtId="169" fontId="61" fillId="0" borderId="22" xfId="3" applyNumberFormat="1" applyFont="1" applyFill="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5" fontId="56" fillId="0" borderId="0" xfId="0" applyNumberFormat="1" applyFont="1"/>
    <xf numFmtId="5" fontId="56" fillId="0" borderId="165" xfId="0" applyNumberFormat="1" applyFont="1" applyBorder="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337704</xdr:colOff>
          <xdr:row>2</xdr:row>
          <xdr:rowOff>138546</xdr:rowOff>
        </xdr:from>
        <xdr:to>
          <xdr:col>1</xdr:col>
          <xdr:colOff>1252104</xdr:colOff>
          <xdr:row>7</xdr:row>
          <xdr:rowOff>97848</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6158A17D-9A35-46D7-B4B8-5EED68161EE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3"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22" t="s">
        <v>405</v>
      </c>
      <c r="J1" s="2023"/>
      <c r="K1" s="2023"/>
      <c r="L1" s="2023"/>
      <c r="M1" s="2023"/>
      <c r="N1" s="2023"/>
      <c r="O1" s="2023"/>
      <c r="P1" s="2023"/>
      <c r="Q1" s="2023"/>
      <c r="R1" s="2023"/>
      <c r="S1" s="2023"/>
    </row>
    <row r="2" spans="1:28" ht="12" customHeight="1" x14ac:dyDescent="0.2">
      <c r="A2" s="47" t="s">
        <v>1988</v>
      </c>
      <c r="D2" s="48"/>
      <c r="I2" s="2024" t="s">
        <v>979</v>
      </c>
      <c r="J2" s="2023"/>
      <c r="K2" s="2023"/>
      <c r="L2" s="2023"/>
      <c r="M2" s="2023"/>
      <c r="N2" s="2023"/>
      <c r="O2" s="2023"/>
      <c r="P2" s="2023"/>
      <c r="Q2" s="2023"/>
      <c r="R2" s="2023"/>
      <c r="S2" s="2023"/>
    </row>
    <row r="3" spans="1:28" ht="12" customHeight="1" x14ac:dyDescent="0.2">
      <c r="A3" s="155" t="s">
        <v>1940</v>
      </c>
      <c r="B3" s="156"/>
      <c r="C3" s="156"/>
      <c r="D3" s="157"/>
      <c r="I3" s="2024" t="s">
        <v>52</v>
      </c>
      <c r="J3" s="2023"/>
      <c r="K3" s="2023"/>
      <c r="L3" s="2023"/>
      <c r="M3" s="2023"/>
      <c r="N3" s="2023"/>
      <c r="O3" s="2023"/>
      <c r="P3" s="2023"/>
      <c r="Q3" s="2023"/>
      <c r="R3" s="2023"/>
      <c r="S3" s="2023"/>
    </row>
    <row r="4" spans="1:28" ht="12" customHeight="1" x14ac:dyDescent="0.2">
      <c r="A4" s="37"/>
      <c r="I4" s="2024" t="s">
        <v>524</v>
      </c>
      <c r="J4" s="2023"/>
      <c r="K4" s="2023"/>
      <c r="L4" s="2023"/>
      <c r="M4" s="2023"/>
      <c r="N4" s="2023"/>
      <c r="O4" s="2023"/>
      <c r="P4" s="2023"/>
      <c r="Q4" s="2023"/>
      <c r="R4" s="2023"/>
      <c r="S4" s="2023"/>
    </row>
    <row r="5" spans="1:28" ht="14.1" customHeight="1" x14ac:dyDescent="0.2">
      <c r="B5" s="104" t="s">
        <v>2063</v>
      </c>
      <c r="C5" s="26" t="s">
        <v>910</v>
      </c>
      <c r="D5" s="84"/>
      <c r="E5" s="84"/>
      <c r="H5" s="38"/>
      <c r="I5" s="2031" t="s">
        <v>680</v>
      </c>
      <c r="J5" s="1976"/>
      <c r="K5" s="1976"/>
      <c r="L5" s="1976"/>
      <c r="M5" s="1976"/>
      <c r="N5" s="1976"/>
      <c r="O5" s="1976"/>
      <c r="P5" s="1976"/>
      <c r="Q5" s="1976"/>
      <c r="R5" s="1976"/>
      <c r="S5" s="1976"/>
    </row>
    <row r="6" spans="1:28" ht="14.1" customHeight="1" x14ac:dyDescent="0.2">
      <c r="B6" s="104"/>
      <c r="C6" s="26" t="s">
        <v>911</v>
      </c>
      <c r="D6" s="84"/>
      <c r="E6" s="84"/>
      <c r="I6" s="2030" t="s">
        <v>883</v>
      </c>
      <c r="J6" s="1976"/>
      <c r="K6" s="1976"/>
      <c r="L6" s="1976"/>
      <c r="M6" s="1976"/>
      <c r="N6" s="1976"/>
      <c r="O6" s="1976"/>
      <c r="P6" s="1976"/>
      <c r="Q6" s="1976"/>
      <c r="R6" s="1976"/>
      <c r="S6" s="1976"/>
    </row>
    <row r="7" spans="1:28" ht="12.2" customHeight="1" x14ac:dyDescent="0.2">
      <c r="I7" s="2025">
        <v>43646</v>
      </c>
      <c r="J7" s="2026"/>
      <c r="K7" s="2026"/>
      <c r="L7" s="2026"/>
      <c r="M7" s="2026"/>
      <c r="N7" s="2026"/>
      <c r="O7" s="2026"/>
      <c r="P7" s="2026"/>
      <c r="Q7" s="2026"/>
      <c r="R7" s="2026"/>
      <c r="S7" s="202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7" t="s">
        <v>674</v>
      </c>
      <c r="J9" s="2028"/>
      <c r="K9" s="2028"/>
      <c r="L9" s="2028"/>
      <c r="M9" s="2028"/>
      <c r="N9" s="2028"/>
      <c r="O9" s="2028"/>
      <c r="P9" s="2028"/>
      <c r="Q9" s="2028"/>
      <c r="R9" s="2028"/>
      <c r="S9" s="2029"/>
      <c r="T9" s="1972" t="s">
        <v>533</v>
      </c>
      <c r="U9" s="1973"/>
      <c r="V9" s="1973"/>
      <c r="W9" s="1973"/>
      <c r="X9" s="1973"/>
      <c r="Y9" s="1973"/>
      <c r="Z9" s="1973"/>
      <c r="AA9" s="1974"/>
    </row>
    <row r="10" spans="1:28" ht="13.5" customHeight="1" x14ac:dyDescent="0.2">
      <c r="A10" s="1981" t="s">
        <v>675</v>
      </c>
      <c r="B10" s="1982"/>
      <c r="C10" s="1982"/>
      <c r="D10" s="1982"/>
      <c r="E10" s="1982"/>
      <c r="F10" s="1982"/>
      <c r="G10" s="1982"/>
      <c r="H10" s="1983"/>
      <c r="I10" s="29"/>
      <c r="J10" s="30"/>
      <c r="K10" s="28"/>
      <c r="R10" s="30"/>
      <c r="S10" s="30"/>
      <c r="T10" s="1975"/>
      <c r="U10" s="1976"/>
      <c r="V10" s="1976"/>
      <c r="W10" s="1976"/>
      <c r="X10" s="1976"/>
      <c r="Y10" s="1976"/>
      <c r="Z10" s="1976"/>
      <c r="AA10" s="1977"/>
    </row>
    <row r="11" spans="1:28" ht="14.25" customHeight="1" x14ac:dyDescent="0.2">
      <c r="A11" s="1984" t="s">
        <v>955</v>
      </c>
      <c r="B11" s="1985"/>
      <c r="C11" s="1985"/>
      <c r="D11" s="1985"/>
      <c r="E11" s="1985"/>
      <c r="F11" s="1985"/>
      <c r="G11" s="1985"/>
      <c r="H11" s="1986"/>
      <c r="I11" s="27"/>
      <c r="J11" s="74"/>
      <c r="K11" s="27"/>
      <c r="O11" s="148" t="s">
        <v>2063</v>
      </c>
      <c r="P11" s="100" t="s">
        <v>201</v>
      </c>
      <c r="Q11" s="30"/>
      <c r="R11" s="28"/>
      <c r="S11" s="27"/>
      <c r="T11" s="1978"/>
      <c r="U11" s="1979"/>
      <c r="V11" s="1979"/>
      <c r="W11" s="1979"/>
      <c r="X11" s="1979"/>
      <c r="Y11" s="1979"/>
      <c r="Z11" s="1979"/>
      <c r="AA11" s="198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2">
        <v>20033010026</v>
      </c>
      <c r="B13" s="1993"/>
      <c r="C13" s="1993"/>
      <c r="D13" s="1993"/>
      <c r="E13" s="1993"/>
      <c r="F13" s="1993"/>
      <c r="G13" s="1993"/>
      <c r="H13" s="1994"/>
      <c r="I13" s="31"/>
      <c r="J13" s="30"/>
      <c r="K13" s="28"/>
      <c r="L13" s="30"/>
      <c r="M13" s="30"/>
      <c r="N13" s="30"/>
      <c r="O13" s="30"/>
      <c r="P13" s="30"/>
      <c r="Q13" s="30"/>
      <c r="R13" s="30"/>
      <c r="S13" s="30"/>
      <c r="T13" s="1997" t="s">
        <v>2062</v>
      </c>
      <c r="U13" s="1998"/>
      <c r="V13" s="1998"/>
      <c r="W13" s="1998"/>
      <c r="X13" s="1998"/>
      <c r="Y13" s="1999"/>
      <c r="Z13" s="1999"/>
      <c r="AA13" s="200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0" t="s">
        <v>2064</v>
      </c>
      <c r="B15" s="1995"/>
      <c r="C15" s="1995"/>
      <c r="D15" s="1995"/>
      <c r="E15" s="1995"/>
      <c r="F15" s="1995"/>
      <c r="G15" s="1995"/>
      <c r="H15" s="1996"/>
      <c r="T15" s="1958" t="s">
        <v>2071</v>
      </c>
      <c r="U15" s="1959"/>
      <c r="V15" s="1959"/>
      <c r="W15" s="1959"/>
      <c r="X15" s="1959"/>
      <c r="Y15" s="2001"/>
      <c r="Z15" s="2001"/>
      <c r="AA15" s="200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0" t="s">
        <v>2206</v>
      </c>
      <c r="B17" s="2020"/>
      <c r="C17" s="2020"/>
      <c r="D17" s="2020"/>
      <c r="E17" s="2020"/>
      <c r="F17" s="2020"/>
      <c r="G17" s="2020"/>
      <c r="H17" s="2021"/>
      <c r="T17" s="2007" t="s">
        <v>2072</v>
      </c>
      <c r="U17" s="2008"/>
      <c r="V17" s="2008"/>
      <c r="W17" s="2008"/>
      <c r="X17" s="2008"/>
      <c r="Y17" s="2008"/>
      <c r="Z17" s="2008"/>
      <c r="AA17" s="2009"/>
    </row>
    <row r="18" spans="1:27" ht="13.5" customHeight="1" x14ac:dyDescent="0.2">
      <c r="A18" s="85" t="s">
        <v>530</v>
      </c>
      <c r="B18" s="76"/>
      <c r="C18" s="72"/>
      <c r="D18" s="76"/>
      <c r="E18" s="76"/>
      <c r="F18" s="76"/>
      <c r="G18" s="76"/>
      <c r="H18" s="56"/>
      <c r="I18" s="2017" t="s">
        <v>676</v>
      </c>
      <c r="J18" s="2018"/>
      <c r="K18" s="2018"/>
      <c r="L18" s="2018"/>
      <c r="M18" s="2018"/>
      <c r="N18" s="2018"/>
      <c r="O18" s="2018"/>
      <c r="P18" s="2018"/>
      <c r="Q18" s="2018"/>
      <c r="R18" s="2018"/>
      <c r="S18" s="2019"/>
      <c r="T18" s="85" t="s">
        <v>711</v>
      </c>
      <c r="U18" s="51"/>
      <c r="V18" s="72"/>
      <c r="W18" s="50"/>
      <c r="X18" s="85" t="s">
        <v>266</v>
      </c>
      <c r="Y18" s="81"/>
      <c r="Z18" s="159" t="s">
        <v>677</v>
      </c>
      <c r="AA18" s="46"/>
    </row>
    <row r="19" spans="1:27" ht="13.5" customHeight="1" x14ac:dyDescent="0.2">
      <c r="A19" s="1990" t="s">
        <v>2065</v>
      </c>
      <c r="B19" s="1991"/>
      <c r="C19" s="1991"/>
      <c r="D19" s="1991"/>
      <c r="E19" s="1991"/>
      <c r="F19" s="1991"/>
      <c r="G19" s="1991"/>
      <c r="H19" s="1989"/>
      <c r="I19" s="30"/>
      <c r="J19" s="99"/>
      <c r="K19" s="40"/>
      <c r="L19" s="38"/>
      <c r="M19" s="112" t="s">
        <v>315</v>
      </c>
      <c r="P19" s="27"/>
      <c r="Q19" s="27"/>
      <c r="R19" s="27"/>
      <c r="S19" s="31"/>
      <c r="T19" s="1990" t="s">
        <v>2073</v>
      </c>
      <c r="U19" s="1988"/>
      <c r="V19" s="1988"/>
      <c r="W19" s="1989"/>
      <c r="X19" s="2005" t="s">
        <v>2074</v>
      </c>
      <c r="Y19" s="2006"/>
      <c r="Z19" s="2003">
        <v>62821</v>
      </c>
      <c r="AA19" s="200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7" t="s">
        <v>2066</v>
      </c>
      <c r="B21" s="1988"/>
      <c r="C21" s="1988"/>
      <c r="D21" s="1988"/>
      <c r="E21" s="1988"/>
      <c r="F21" s="1988"/>
      <c r="G21" s="1988"/>
      <c r="H21" s="1989"/>
      <c r="I21" s="2013" t="s">
        <v>678</v>
      </c>
      <c r="J21" s="1976"/>
      <c r="K21" s="1976"/>
      <c r="L21" s="1976"/>
      <c r="M21" s="1976"/>
      <c r="N21" s="1976"/>
      <c r="O21" s="1976"/>
      <c r="P21" s="1976"/>
      <c r="Q21" s="1976"/>
      <c r="R21" s="1976"/>
      <c r="S21" s="1977"/>
      <c r="T21" s="1955" t="s">
        <v>2075</v>
      </c>
      <c r="U21" s="1956"/>
      <c r="V21" s="1956"/>
      <c r="W21" s="1956"/>
      <c r="X21" s="1969" t="s">
        <v>2076</v>
      </c>
      <c r="Y21" s="1970"/>
      <c r="Z21" s="1970"/>
      <c r="AA21" s="1971"/>
    </row>
    <row r="22" spans="1:27" ht="13.5" customHeight="1" x14ac:dyDescent="0.2">
      <c r="A22" s="87" t="s">
        <v>531</v>
      </c>
      <c r="B22" s="59"/>
      <c r="C22" s="59"/>
      <c r="D22" s="59"/>
      <c r="E22" s="59"/>
      <c r="F22" s="59"/>
      <c r="G22" s="59"/>
      <c r="H22" s="60"/>
      <c r="I22" s="2014" t="s">
        <v>1429</v>
      </c>
      <c r="J22" s="2015"/>
      <c r="K22" s="2015"/>
      <c r="L22" s="2015"/>
      <c r="M22" s="2015"/>
      <c r="N22" s="2015"/>
      <c r="O22" s="2015"/>
      <c r="P22" s="2015"/>
      <c r="Q22" s="2015"/>
      <c r="R22" s="2015"/>
      <c r="S22" s="2016"/>
      <c r="T22" s="85" t="s">
        <v>1516</v>
      </c>
      <c r="U22" s="51"/>
      <c r="V22" s="72"/>
      <c r="W22" s="51"/>
      <c r="X22" s="160" t="s">
        <v>1318</v>
      </c>
      <c r="Z22" s="45"/>
      <c r="AA22" s="46"/>
    </row>
    <row r="23" spans="1:27" ht="13.5" customHeight="1" x14ac:dyDescent="0.2">
      <c r="A23" s="2010"/>
      <c r="B23" s="2011"/>
      <c r="C23" s="2011"/>
      <c r="D23" s="2011"/>
      <c r="E23" s="2011"/>
      <c r="F23" s="2011"/>
      <c r="G23" s="2011"/>
      <c r="H23" s="2012"/>
      <c r="T23" s="1950" t="s">
        <v>2077</v>
      </c>
      <c r="U23" s="1951"/>
      <c r="V23" s="1951"/>
      <c r="W23" s="1951"/>
      <c r="X23" s="1966">
        <v>44469</v>
      </c>
      <c r="Y23" s="1967"/>
      <c r="Z23" s="1967"/>
      <c r="AA23" s="1968"/>
    </row>
    <row r="24" spans="1:27" ht="14.1" customHeight="1" x14ac:dyDescent="0.2">
      <c r="A24" s="88" t="s">
        <v>677</v>
      </c>
      <c r="B24" s="49"/>
      <c r="C24" s="49"/>
      <c r="D24" s="49"/>
      <c r="E24" s="49"/>
      <c r="F24" s="49"/>
      <c r="G24" s="49"/>
      <c r="H24" s="61"/>
      <c r="J24" s="2052">
        <f>IF(B5="x",IF(AUDITCHECK!D29="AFR form Incomplete.","",IF(AUDITCHECK!D29="Deficit reduction plan is required.","School District must complete a deficit reduction plan in the 2019-2020 Budget",)),"")</f>
        <v>0</v>
      </c>
      <c r="K24" s="2052"/>
      <c r="L24" s="2052"/>
      <c r="M24" s="2052"/>
      <c r="N24" s="2052"/>
      <c r="O24" s="2052"/>
      <c r="P24" s="2052"/>
      <c r="Q24" s="2052"/>
      <c r="R24" s="2052"/>
      <c r="S24" s="2053"/>
      <c r="T24" s="105" t="s">
        <v>531</v>
      </c>
      <c r="U24" s="106"/>
      <c r="V24" s="106"/>
      <c r="W24" s="106"/>
      <c r="X24" s="107"/>
      <c r="Y24" s="107"/>
      <c r="Z24" s="107"/>
      <c r="AA24" s="108"/>
    </row>
    <row r="25" spans="1:27" ht="14.1" customHeight="1" x14ac:dyDescent="0.2">
      <c r="A25" s="1987">
        <v>62859</v>
      </c>
      <c r="B25" s="1988"/>
      <c r="C25" s="1988"/>
      <c r="D25" s="1988"/>
      <c r="E25" s="1988"/>
      <c r="F25" s="1988"/>
      <c r="G25" s="1988"/>
      <c r="H25" s="1989"/>
      <c r="I25" s="113"/>
      <c r="J25" s="2054"/>
      <c r="K25" s="2054"/>
      <c r="L25" s="2054"/>
      <c r="M25" s="2054"/>
      <c r="N25" s="2054"/>
      <c r="O25" s="2054"/>
      <c r="P25" s="2054"/>
      <c r="Q25" s="2054"/>
      <c r="R25" s="2054"/>
      <c r="S25" s="2055"/>
      <c r="T25" s="1947" t="s">
        <v>2078</v>
      </c>
      <c r="U25" s="1948"/>
      <c r="V25" s="1948"/>
      <c r="W25" s="1948"/>
      <c r="X25" s="1948"/>
      <c r="Y25" s="1948"/>
      <c r="Z25" s="1948"/>
      <c r="AA25" s="194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5" t="s">
        <v>1511</v>
      </c>
      <c r="J27" s="2018"/>
      <c r="K27" s="2018"/>
      <c r="L27" s="2018"/>
      <c r="M27" s="2018"/>
      <c r="N27" s="2018"/>
      <c r="O27" s="2018"/>
      <c r="P27" s="2018"/>
      <c r="Q27" s="2018"/>
      <c r="R27" s="2018"/>
      <c r="S27" s="201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2063</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2063</v>
      </c>
      <c r="C30" s="124" t="s">
        <v>1164</v>
      </c>
      <c r="D30" s="28"/>
      <c r="E30" s="28"/>
      <c r="F30" s="140"/>
      <c r="G30" s="114"/>
      <c r="H30" s="114"/>
      <c r="I30" s="54"/>
      <c r="J30" s="148" t="s">
        <v>2063</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2063</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1"/>
      <c r="Q35" s="1988"/>
      <c r="R35" s="198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0" t="s">
        <v>2067</v>
      </c>
      <c r="B38" s="2020"/>
      <c r="C38" s="2020"/>
      <c r="D38" s="2020"/>
      <c r="E38" s="2020"/>
      <c r="F38" s="1988"/>
      <c r="G38" s="1988"/>
      <c r="H38" s="1989"/>
      <c r="I38" s="2039"/>
      <c r="J38" s="1959"/>
      <c r="K38" s="1959"/>
      <c r="L38" s="1959"/>
      <c r="M38" s="1959"/>
      <c r="N38" s="1959"/>
      <c r="O38" s="1959"/>
      <c r="P38" s="1960"/>
      <c r="Q38" s="1960"/>
      <c r="R38" s="1960"/>
      <c r="S38" s="1961"/>
      <c r="T38" s="1958"/>
      <c r="U38" s="1959"/>
      <c r="V38" s="1959"/>
      <c r="W38" s="1959"/>
      <c r="X38" s="1960"/>
      <c r="Y38" s="1960"/>
      <c r="Z38" s="1960"/>
      <c r="AA38" s="1961"/>
    </row>
    <row r="39" spans="1:27" ht="12" customHeight="1" x14ac:dyDescent="0.2">
      <c r="A39" s="2043" t="s">
        <v>531</v>
      </c>
      <c r="B39" s="2044"/>
      <c r="C39" s="72"/>
      <c r="D39" s="69"/>
      <c r="E39" s="69"/>
      <c r="F39" s="79"/>
      <c r="G39" s="69"/>
      <c r="H39" s="56"/>
      <c r="I39" s="2043" t="s">
        <v>531</v>
      </c>
      <c r="J39" s="2044"/>
      <c r="K39" s="2044"/>
      <c r="L39" s="2044"/>
      <c r="M39" s="2044"/>
      <c r="N39" s="67"/>
      <c r="O39" s="72"/>
      <c r="P39" s="72"/>
      <c r="Q39" s="78"/>
      <c r="R39" s="72"/>
      <c r="S39" s="56"/>
      <c r="T39" s="72" t="s">
        <v>531</v>
      </c>
      <c r="U39" s="51"/>
      <c r="V39" s="72"/>
      <c r="W39" s="50"/>
      <c r="X39" s="78"/>
      <c r="Y39" s="45"/>
      <c r="Z39" s="45"/>
      <c r="AA39" s="46"/>
    </row>
    <row r="40" spans="1:27" ht="13.5" customHeight="1" x14ac:dyDescent="0.2">
      <c r="A40" s="2046" t="s">
        <v>2068</v>
      </c>
      <c r="B40" s="2047"/>
      <c r="C40" s="2048"/>
      <c r="D40" s="2048"/>
      <c r="E40" s="2048"/>
      <c r="F40" s="2049"/>
      <c r="G40" s="2049"/>
      <c r="H40" s="2050"/>
      <c r="I40" s="1962"/>
      <c r="J40" s="1964"/>
      <c r="K40" s="1964"/>
      <c r="L40" s="1964"/>
      <c r="M40" s="1964"/>
      <c r="N40" s="1964"/>
      <c r="O40" s="1964"/>
      <c r="P40" s="1964"/>
      <c r="Q40" s="1964"/>
      <c r="R40" s="1964"/>
      <c r="S40" s="1965"/>
      <c r="T40" s="1962"/>
      <c r="U40" s="1963"/>
      <c r="V40" s="1964"/>
      <c r="W40" s="1964"/>
      <c r="X40" s="1964"/>
      <c r="Y40" s="1964"/>
      <c r="Z40" s="1964"/>
      <c r="AA40" s="196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6" t="s">
        <v>2069</v>
      </c>
      <c r="B42" s="2037"/>
      <c r="C42" s="2038"/>
      <c r="D42" s="2051" t="s">
        <v>2070</v>
      </c>
      <c r="E42" s="2037"/>
      <c r="F42" s="2037"/>
      <c r="G42" s="2037"/>
      <c r="H42" s="2038"/>
      <c r="I42" s="1957"/>
      <c r="J42" s="1953"/>
      <c r="K42" s="1953"/>
      <c r="L42" s="1953"/>
      <c r="M42" s="1953"/>
      <c r="N42" s="1953"/>
      <c r="O42" s="1954"/>
      <c r="P42" s="1952"/>
      <c r="Q42" s="1953"/>
      <c r="R42" s="1953"/>
      <c r="S42" s="1954"/>
      <c r="T42" s="1957"/>
      <c r="U42" s="1953"/>
      <c r="V42" s="1953"/>
      <c r="W42" s="1954"/>
      <c r="X42" s="1952"/>
      <c r="Y42" s="1953"/>
      <c r="Z42" s="1953"/>
      <c r="AA42" s="195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0"/>
      <c r="B44" s="2041"/>
      <c r="C44" s="2041"/>
      <c r="D44" s="2041"/>
      <c r="E44" s="2041"/>
      <c r="F44" s="2041"/>
      <c r="G44" s="2041"/>
      <c r="H44" s="2042"/>
      <c r="I44" s="2032"/>
      <c r="J44" s="2034"/>
      <c r="K44" s="2034"/>
      <c r="L44" s="2034"/>
      <c r="M44" s="2034"/>
      <c r="N44" s="2034"/>
      <c r="O44" s="2034"/>
      <c r="P44" s="2034"/>
      <c r="Q44" s="2034"/>
      <c r="R44" s="2034"/>
      <c r="S44" s="2035"/>
      <c r="T44" s="2032"/>
      <c r="U44" s="2033"/>
      <c r="V44" s="2033"/>
      <c r="W44" s="2033"/>
      <c r="X44" s="2033"/>
      <c r="Y44" s="2033"/>
      <c r="Z44" s="2034"/>
      <c r="AA44" s="203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7" sqref="E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9" t="s">
        <v>1799</v>
      </c>
      <c r="B2" s="1528" t="s">
        <v>1946</v>
      </c>
      <c r="C2" s="714" t="s">
        <v>1947</v>
      </c>
      <c r="D2" s="714" t="s">
        <v>1948</v>
      </c>
      <c r="E2" s="714" t="s">
        <v>1949</v>
      </c>
      <c r="F2" s="714" t="s">
        <v>1950</v>
      </c>
    </row>
    <row r="3" spans="1:6" ht="12" customHeight="1" x14ac:dyDescent="0.2">
      <c r="A3" s="2190"/>
      <c r="B3" s="1525"/>
      <c r="C3" s="1526"/>
      <c r="D3" s="1527" t="s">
        <v>256</v>
      </c>
      <c r="E3" s="1526"/>
      <c r="F3" s="1527" t="s">
        <v>257</v>
      </c>
    </row>
    <row r="4" spans="1:6" ht="13.7" customHeight="1" x14ac:dyDescent="0.2">
      <c r="A4" s="715" t="s">
        <v>1155</v>
      </c>
      <c r="B4" s="1749">
        <f>'Revenues 9-14'!C5</f>
        <v>1994232</v>
      </c>
      <c r="C4" s="1524"/>
      <c r="D4" s="1752">
        <f>B4-C4</f>
        <v>1994232</v>
      </c>
      <c r="E4" s="1524">
        <v>2113470</v>
      </c>
      <c r="F4" s="1752">
        <f>E4-C4</f>
        <v>2113470</v>
      </c>
    </row>
    <row r="5" spans="1:6" ht="13.7" customHeight="1" x14ac:dyDescent="0.2">
      <c r="A5" s="715" t="s">
        <v>870</v>
      </c>
      <c r="B5" s="1750">
        <f>'Revenues 9-14'!D5</f>
        <v>498558</v>
      </c>
      <c r="C5" s="585"/>
      <c r="D5" s="1753">
        <f t="shared" ref="D5:D18" si="0">B5-C5</f>
        <v>498558</v>
      </c>
      <c r="E5" s="585">
        <v>475531</v>
      </c>
      <c r="F5" s="1753">
        <f>E5-C5</f>
        <v>475531</v>
      </c>
    </row>
    <row r="6" spans="1:6" ht="13.7" customHeight="1" x14ac:dyDescent="0.2">
      <c r="A6" s="715" t="s">
        <v>411</v>
      </c>
      <c r="B6" s="1750">
        <f>'Revenues 9-14'!E5</f>
        <v>236183</v>
      </c>
      <c r="C6" s="585"/>
      <c r="D6" s="1753">
        <f t="shared" si="0"/>
        <v>236183</v>
      </c>
      <c r="E6" s="585">
        <v>250000</v>
      </c>
      <c r="F6" s="1753">
        <f t="shared" ref="F6:F18" si="1">E6-C6</f>
        <v>250000</v>
      </c>
    </row>
    <row r="7" spans="1:6" ht="13.7" customHeight="1" x14ac:dyDescent="0.2">
      <c r="A7" s="715" t="s">
        <v>155</v>
      </c>
      <c r="B7" s="1750">
        <f>'Revenues 9-14'!F5</f>
        <v>199423</v>
      </c>
      <c r="C7" s="585"/>
      <c r="D7" s="1753">
        <f t="shared" si="0"/>
        <v>199423</v>
      </c>
      <c r="E7" s="585">
        <v>211347</v>
      </c>
      <c r="F7" s="1753">
        <f t="shared" si="1"/>
        <v>211347</v>
      </c>
    </row>
    <row r="8" spans="1:6" ht="13.7" customHeight="1" x14ac:dyDescent="0.2">
      <c r="A8" s="715" t="s">
        <v>1179</v>
      </c>
      <c r="B8" s="1750">
        <f>'Revenues 9-14'!G5</f>
        <v>220814</v>
      </c>
      <c r="C8" s="585"/>
      <c r="D8" s="1753">
        <f t="shared" si="0"/>
        <v>220814</v>
      </c>
      <c r="E8" s="585">
        <v>220000</v>
      </c>
      <c r="F8" s="1753">
        <f t="shared" si="1"/>
        <v>220000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49856</v>
      </c>
      <c r="C10" s="585"/>
      <c r="D10" s="1753">
        <f t="shared" si="0"/>
        <v>49856</v>
      </c>
      <c r="E10" s="585">
        <v>52837</v>
      </c>
      <c r="F10" s="1753">
        <f t="shared" si="1"/>
        <v>52837</v>
      </c>
    </row>
    <row r="11" spans="1:6" x14ac:dyDescent="0.2">
      <c r="A11" s="715" t="s">
        <v>409</v>
      </c>
      <c r="B11" s="1750">
        <f>'Revenues 9-14'!J5</f>
        <v>402012</v>
      </c>
      <c r="C11" s="585"/>
      <c r="D11" s="1753">
        <f t="shared" si="0"/>
        <v>402012</v>
      </c>
      <c r="E11" s="585">
        <v>450000</v>
      </c>
      <c r="F11" s="1753">
        <f t="shared" si="1"/>
        <v>450000</v>
      </c>
    </row>
    <row r="12" spans="1:6" ht="13.7" customHeight="1" x14ac:dyDescent="0.2">
      <c r="A12" s="715" t="s">
        <v>157</v>
      </c>
      <c r="B12" s="1750">
        <f>'Revenues 9-14'!K5</f>
        <v>49856</v>
      </c>
      <c r="C12" s="585"/>
      <c r="D12" s="1753">
        <f t="shared" si="0"/>
        <v>49856</v>
      </c>
      <c r="E12" s="585">
        <v>52837</v>
      </c>
      <c r="F12" s="1753">
        <f t="shared" si="1"/>
        <v>52837</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39885</v>
      </c>
      <c r="C14" s="585"/>
      <c r="D14" s="1753">
        <f t="shared" si="0"/>
        <v>39885</v>
      </c>
      <c r="E14" s="585">
        <v>42269</v>
      </c>
      <c r="F14" s="1753">
        <f t="shared" si="1"/>
        <v>42269</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180909</v>
      </c>
      <c r="C16" s="585"/>
      <c r="D16" s="1753">
        <f t="shared" si="0"/>
        <v>180909</v>
      </c>
      <c r="E16" s="585">
        <v>180000</v>
      </c>
      <c r="F16" s="1753">
        <f t="shared" si="1"/>
        <v>180000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3871728</v>
      </c>
      <c r="C19" s="1751">
        <f>SUM(C4:C18)</f>
        <v>0</v>
      </c>
      <c r="D19" s="1751">
        <f>SUM(D4:D18)</f>
        <v>3871728</v>
      </c>
      <c r="E19" s="1751">
        <f>SUM(E4:E18)</f>
        <v>4048291</v>
      </c>
      <c r="F19" s="1751">
        <f>SUM(F4:F18)</f>
        <v>4048291</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F53" sqref="F53:G5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5" t="s">
        <v>629</v>
      </c>
      <c r="B1" s="2196"/>
      <c r="C1" s="721"/>
    </row>
    <row r="2" spans="1:7" ht="33.75" x14ac:dyDescent="0.2">
      <c r="A2" s="2204" t="s">
        <v>1799</v>
      </c>
      <c r="B2" s="2205"/>
      <c r="C2" s="1884" t="s">
        <v>1951</v>
      </c>
      <c r="D2" s="723" t="s">
        <v>1952</v>
      </c>
      <c r="E2" s="723" t="s">
        <v>1953</v>
      </c>
      <c r="F2" s="1884" t="s">
        <v>1954</v>
      </c>
    </row>
    <row r="3" spans="1:7" ht="15.75" customHeight="1" x14ac:dyDescent="0.2">
      <c r="A3" s="2208" t="s">
        <v>1114</v>
      </c>
      <c r="B3" s="2209"/>
      <c r="C3" s="2197"/>
      <c r="D3" s="2198"/>
      <c r="E3" s="2198"/>
      <c r="F3" s="2199"/>
    </row>
    <row r="4" spans="1:7" ht="12.75" customHeight="1" thickBot="1" x14ac:dyDescent="0.25">
      <c r="A4" s="2206" t="s">
        <v>630</v>
      </c>
      <c r="B4" s="2207"/>
      <c r="C4" s="581"/>
      <c r="D4" s="581"/>
      <c r="E4" s="581"/>
      <c r="F4" s="1755">
        <f>SUM(C4+D4)-E4</f>
        <v>0</v>
      </c>
    </row>
    <row r="5" spans="1:7" ht="15.75" customHeight="1" thickTop="1" x14ac:dyDescent="0.2">
      <c r="A5" s="2191" t="s">
        <v>1110</v>
      </c>
      <c r="B5" s="2192"/>
      <c r="C5" s="2200"/>
      <c r="D5" s="2201"/>
      <c r="E5" s="2201"/>
      <c r="F5" s="220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3" t="s">
        <v>631</v>
      </c>
      <c r="B15" s="2194"/>
      <c r="C15" s="1755">
        <f>SUM(C6:C14)</f>
        <v>0</v>
      </c>
      <c r="D15" s="1755">
        <f>SUM(D6:D14)</f>
        <v>0</v>
      </c>
      <c r="E15" s="1755">
        <f>SUM(E6:E14)</f>
        <v>0</v>
      </c>
      <c r="F15" s="1755">
        <f>SUM(F6:F14)</f>
        <v>0</v>
      </c>
      <c r="G15" s="552"/>
    </row>
    <row r="16" spans="1:7" s="202" customFormat="1" ht="15.75" customHeight="1" thickTop="1" x14ac:dyDescent="0.2">
      <c r="A16" s="2203" t="s">
        <v>1111</v>
      </c>
      <c r="B16" s="2192"/>
      <c r="C16" s="2200"/>
      <c r="D16" s="2201"/>
      <c r="E16" s="2201"/>
      <c r="F16" s="2202"/>
    </row>
    <row r="17" spans="1:11" ht="12.75" customHeight="1" thickBot="1" x14ac:dyDescent="0.25">
      <c r="A17" s="2216" t="s">
        <v>64</v>
      </c>
      <c r="B17" s="2217"/>
      <c r="C17" s="726"/>
      <c r="D17" s="585"/>
      <c r="E17" s="726"/>
      <c r="F17" s="1755">
        <f>SUM(C17+D17)-E17</f>
        <v>0</v>
      </c>
    </row>
    <row r="18" spans="1:11" ht="12.75" customHeight="1" thickTop="1" thickBot="1" x14ac:dyDescent="0.25">
      <c r="A18" s="2216" t="s">
        <v>6</v>
      </c>
      <c r="B18" s="2217"/>
      <c r="C18" s="726"/>
      <c r="D18" s="585"/>
      <c r="E18" s="726"/>
      <c r="F18" s="1755">
        <f>SUM(C18+D18)-E18</f>
        <v>0</v>
      </c>
    </row>
    <row r="19" spans="1:11" ht="12.75" customHeight="1" thickTop="1" thickBot="1" x14ac:dyDescent="0.25">
      <c r="A19" s="2216" t="s">
        <v>388</v>
      </c>
      <c r="B19" s="2217"/>
      <c r="C19" s="726"/>
      <c r="D19" s="585"/>
      <c r="E19" s="726"/>
      <c r="F19" s="1755">
        <f>SUM(C19+D19)-E19</f>
        <v>0</v>
      </c>
    </row>
    <row r="20" spans="1:11" ht="12.75" customHeight="1" thickTop="1" thickBot="1" x14ac:dyDescent="0.25">
      <c r="A20" s="2216" t="s">
        <v>448</v>
      </c>
      <c r="B20" s="2217"/>
      <c r="C20" s="726"/>
      <c r="D20" s="585"/>
      <c r="E20" s="726"/>
      <c r="F20" s="1755">
        <f>SUM(C20+D20)-E20</f>
        <v>0</v>
      </c>
    </row>
    <row r="21" spans="1:11" ht="14.25" thickTop="1" thickBot="1" x14ac:dyDescent="0.25">
      <c r="A21" s="2193" t="s">
        <v>632</v>
      </c>
      <c r="B21" s="2194"/>
      <c r="C21" s="1755">
        <f>SUM(C17:C20)</f>
        <v>0</v>
      </c>
      <c r="D21" s="1755">
        <f>SUM(D17:D20)</f>
        <v>0</v>
      </c>
      <c r="E21" s="1755">
        <f>SUM(E17:E20)</f>
        <v>0</v>
      </c>
      <c r="F21" s="1755">
        <f>SUM(F17:F20)</f>
        <v>0</v>
      </c>
      <c r="G21" s="552"/>
    </row>
    <row r="22" spans="1:11" ht="15.75" customHeight="1" thickTop="1" x14ac:dyDescent="0.2">
      <c r="A22" s="2218" t="s">
        <v>1112</v>
      </c>
      <c r="B22" s="2192"/>
      <c r="C22" s="2200"/>
      <c r="D22" s="2201"/>
      <c r="E22" s="2201"/>
      <c r="F22" s="2202"/>
    </row>
    <row r="23" spans="1:11" ht="13.5" thickBot="1" x14ac:dyDescent="0.25">
      <c r="A23" s="2206" t="s">
        <v>633</v>
      </c>
      <c r="B23" s="2207"/>
      <c r="C23" s="581"/>
      <c r="D23" s="581"/>
      <c r="E23" s="581"/>
      <c r="F23" s="1755">
        <f>SUM(C23+D23)-E23</f>
        <v>0</v>
      </c>
      <c r="G23" s="552"/>
    </row>
    <row r="24" spans="1:11" ht="15.75" customHeight="1" thickTop="1" x14ac:dyDescent="0.2">
      <c r="A24" s="2218" t="s">
        <v>1113</v>
      </c>
      <c r="B24" s="2192"/>
      <c r="C24" s="2200"/>
      <c r="D24" s="2201"/>
      <c r="E24" s="2201"/>
      <c r="F24" s="2202"/>
    </row>
    <row r="25" spans="1:11" ht="13.5" thickBot="1" x14ac:dyDescent="0.25">
      <c r="A25" s="2206" t="s">
        <v>634</v>
      </c>
      <c r="B25" s="2207"/>
      <c r="C25" s="581"/>
      <c r="D25" s="581"/>
      <c r="E25" s="581"/>
      <c r="F25" s="1755">
        <f>SUM(C25+D25)-E25</f>
        <v>0</v>
      </c>
      <c r="G25" s="552"/>
    </row>
    <row r="26" spans="1:11" ht="15.75" customHeight="1" thickTop="1" x14ac:dyDescent="0.2">
      <c r="A26" s="2191" t="s">
        <v>657</v>
      </c>
      <c r="B26" s="2192"/>
      <c r="C26" s="727"/>
      <c r="D26" s="727"/>
      <c r="E26" s="727"/>
      <c r="F26" s="728"/>
    </row>
    <row r="27" spans="1:11" ht="13.5" thickBot="1" x14ac:dyDescent="0.25">
      <c r="A27" s="2193" t="s">
        <v>1070</v>
      </c>
      <c r="B27" s="2194"/>
      <c r="C27" s="585"/>
      <c r="D27" s="585"/>
      <c r="E27" s="585"/>
      <c r="F27" s="1755">
        <f>SUM(C27+D27)-E27</f>
        <v>0</v>
      </c>
      <c r="G27" s="552"/>
    </row>
    <row r="28" spans="1:11" ht="7.5" customHeight="1" thickTop="1" x14ac:dyDescent="0.2">
      <c r="A28" s="593"/>
    </row>
    <row r="29" spans="1:11" ht="23.25" customHeight="1" x14ac:dyDescent="0.2">
      <c r="A29" s="2219" t="s">
        <v>582</v>
      </c>
      <c r="B29" s="2196"/>
      <c r="C29" s="729"/>
      <c r="D29" s="729"/>
      <c r="E29" s="729"/>
      <c r="F29" s="729"/>
      <c r="G29" s="729"/>
      <c r="H29" s="729"/>
      <c r="I29" s="729"/>
      <c r="J29" s="729"/>
    </row>
    <row r="30" spans="1:11" ht="33.75" x14ac:dyDescent="0.2">
      <c r="A30" s="1529" t="s">
        <v>1071</v>
      </c>
      <c r="B30" s="730" t="s">
        <v>1124</v>
      </c>
      <c r="C30" s="1885" t="s">
        <v>583</v>
      </c>
      <c r="D30" s="1885" t="s">
        <v>1673</v>
      </c>
      <c r="E30" s="1885" t="s">
        <v>1955</v>
      </c>
      <c r="F30" s="1885" t="s">
        <v>1956</v>
      </c>
      <c r="G30" s="1885" t="s">
        <v>1907</v>
      </c>
      <c r="H30" s="1885" t="s">
        <v>1957</v>
      </c>
      <c r="I30" s="1885" t="s">
        <v>1958</v>
      </c>
      <c r="J30" s="1886" t="s">
        <v>2</v>
      </c>
      <c r="K30" s="731"/>
    </row>
    <row r="31" spans="1:11" ht="12" customHeight="1" x14ac:dyDescent="0.2">
      <c r="A31" s="732" t="s">
        <v>2079</v>
      </c>
      <c r="B31" s="733">
        <v>41942</v>
      </c>
      <c r="C31" s="734">
        <v>2190400</v>
      </c>
      <c r="D31" s="735">
        <v>3</v>
      </c>
      <c r="E31" s="734">
        <v>1572163</v>
      </c>
      <c r="F31" s="734"/>
      <c r="G31" s="734"/>
      <c r="H31" s="734">
        <v>226900</v>
      </c>
      <c r="I31" s="1756">
        <f>((E31+F31)-H31)+G31</f>
        <v>1345263</v>
      </c>
      <c r="J31" s="734">
        <v>1345119</v>
      </c>
      <c r="K31" s="736"/>
    </row>
    <row r="32" spans="1:11" ht="12" customHeight="1" x14ac:dyDescent="0.2">
      <c r="A32" s="732" t="s">
        <v>2080</v>
      </c>
      <c r="B32" s="733">
        <v>42186</v>
      </c>
      <c r="C32" s="734">
        <v>31640</v>
      </c>
      <c r="D32" s="735">
        <v>7</v>
      </c>
      <c r="E32" s="734">
        <v>12813</v>
      </c>
      <c r="F32" s="734"/>
      <c r="G32" s="734"/>
      <c r="H32" s="734">
        <v>6325</v>
      </c>
      <c r="I32" s="1756">
        <f>((E32+F32)-H32)+G32</f>
        <v>6488</v>
      </c>
      <c r="J32" s="734">
        <v>6488</v>
      </c>
      <c r="K32" s="736"/>
    </row>
    <row r="33" spans="1:11" ht="12" customHeight="1" x14ac:dyDescent="0.2">
      <c r="A33" s="732" t="s">
        <v>2080</v>
      </c>
      <c r="B33" s="733">
        <v>42691</v>
      </c>
      <c r="C33" s="734">
        <v>95000</v>
      </c>
      <c r="D33" s="735">
        <v>7</v>
      </c>
      <c r="E33" s="734">
        <v>57100</v>
      </c>
      <c r="F33" s="734"/>
      <c r="G33" s="734"/>
      <c r="H33" s="734">
        <v>18625</v>
      </c>
      <c r="I33" s="1756">
        <f t="shared" ref="I33:I48" si="1">((E33+F33)-H33)+G33</f>
        <v>38475</v>
      </c>
      <c r="J33" s="734">
        <v>38475</v>
      </c>
      <c r="K33" s="736"/>
    </row>
    <row r="34" spans="1:11" ht="12" customHeight="1" x14ac:dyDescent="0.2">
      <c r="A34" s="732" t="s">
        <v>2080</v>
      </c>
      <c r="B34" s="733">
        <v>42691</v>
      </c>
      <c r="C34" s="734">
        <v>388599</v>
      </c>
      <c r="D34" s="735">
        <v>7</v>
      </c>
      <c r="E34" s="734">
        <v>233185</v>
      </c>
      <c r="F34" s="734"/>
      <c r="G34" s="734"/>
      <c r="H34" s="734">
        <v>75720</v>
      </c>
      <c r="I34" s="1756">
        <f t="shared" si="1"/>
        <v>157465</v>
      </c>
      <c r="J34" s="734">
        <v>157465</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2705639</v>
      </c>
      <c r="D49" s="745"/>
      <c r="E49" s="1756">
        <f t="shared" ref="E49:J49" si="2">SUM(E31:E48)</f>
        <v>1875261</v>
      </c>
      <c r="F49" s="1756">
        <f t="shared" si="2"/>
        <v>0</v>
      </c>
      <c r="G49" s="1756">
        <f t="shared" si="2"/>
        <v>0</v>
      </c>
      <c r="H49" s="1756">
        <f t="shared" si="2"/>
        <v>327570</v>
      </c>
      <c r="I49" s="1756">
        <f t="shared" si="2"/>
        <v>1547691</v>
      </c>
      <c r="J49" s="1756">
        <f t="shared" si="2"/>
        <v>1547547</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10" t="s">
        <v>584</v>
      </c>
      <c r="C52" s="2211"/>
      <c r="D52" s="2211"/>
      <c r="E52" s="749" t="s">
        <v>845</v>
      </c>
      <c r="F52" s="2212" t="s">
        <v>2147</v>
      </c>
      <c r="G52" s="2213"/>
      <c r="H52" s="736"/>
      <c r="I52" s="736"/>
      <c r="J52" s="746"/>
    </row>
    <row r="53" spans="1:11" ht="11.25" customHeight="1" x14ac:dyDescent="0.2">
      <c r="A53" s="750" t="s">
        <v>913</v>
      </c>
      <c r="B53" s="751" t="s">
        <v>951</v>
      </c>
      <c r="C53" s="746"/>
      <c r="D53" s="737"/>
      <c r="E53" s="749" t="s">
        <v>497</v>
      </c>
      <c r="F53" s="2214"/>
      <c r="G53" s="2215"/>
      <c r="H53" s="736"/>
      <c r="I53" s="736"/>
      <c r="J53" s="746"/>
    </row>
    <row r="54" spans="1:11" ht="11.25" customHeight="1" x14ac:dyDescent="0.2">
      <c r="A54" s="752" t="s">
        <v>914</v>
      </c>
      <c r="B54" s="747" t="s">
        <v>952</v>
      </c>
      <c r="C54" s="746"/>
      <c r="D54" s="737"/>
      <c r="E54" s="749" t="s">
        <v>498</v>
      </c>
      <c r="F54" s="2214"/>
      <c r="G54" s="221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6" colorId="8" zoomScale="110" zoomScaleNormal="110" workbookViewId="0">
      <selection activeCell="J20" sqref="J2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4" t="s">
        <v>856</v>
      </c>
      <c r="B1" s="2245"/>
      <c r="C1" s="2245"/>
      <c r="D1" s="2245"/>
      <c r="E1" s="2245"/>
      <c r="F1" s="2245"/>
      <c r="G1" s="2246"/>
      <c r="H1" s="1530"/>
      <c r="I1" s="760"/>
      <c r="J1" s="433"/>
    </row>
    <row r="2" spans="1:11" ht="26.25" x14ac:dyDescent="0.2">
      <c r="A2" s="2223" t="s">
        <v>1677</v>
      </c>
      <c r="B2" s="2224"/>
      <c r="C2" s="2224"/>
      <c r="D2" s="2224"/>
      <c r="E2" s="2225"/>
      <c r="F2" s="761" t="s">
        <v>904</v>
      </c>
      <c r="G2" s="762" t="s">
        <v>1674</v>
      </c>
      <c r="H2" s="762" t="s">
        <v>410</v>
      </c>
      <c r="I2" s="762" t="s">
        <v>1158</v>
      </c>
      <c r="J2" s="762" t="s">
        <v>1809</v>
      </c>
      <c r="K2" s="762" t="s">
        <v>138</v>
      </c>
    </row>
    <row r="3" spans="1:11" x14ac:dyDescent="0.2">
      <c r="A3" s="2226" t="s">
        <v>1959</v>
      </c>
      <c r="B3" s="2227"/>
      <c r="C3" s="2227"/>
      <c r="D3" s="2227"/>
      <c r="E3" s="2228"/>
      <c r="F3" s="763"/>
      <c r="G3" s="764"/>
      <c r="H3" s="764"/>
      <c r="I3" s="764"/>
      <c r="J3" s="765">
        <v>142978</v>
      </c>
      <c r="K3" s="765"/>
    </row>
    <row r="4" spans="1:11" x14ac:dyDescent="0.2">
      <c r="A4" s="2229" t="s">
        <v>369</v>
      </c>
      <c r="B4" s="2230"/>
      <c r="C4" s="2230"/>
      <c r="D4" s="2230"/>
      <c r="E4" s="2211"/>
      <c r="F4" s="766"/>
      <c r="G4" s="767"/>
      <c r="H4" s="768"/>
      <c r="I4" s="767"/>
      <c r="J4" s="769"/>
      <c r="K4" s="769"/>
    </row>
    <row r="5" spans="1:11" x14ac:dyDescent="0.2">
      <c r="A5" s="2247" t="s">
        <v>1069</v>
      </c>
      <c r="B5" s="2220"/>
      <c r="C5" s="2220"/>
      <c r="D5" s="2220"/>
      <c r="E5" s="2248"/>
      <c r="F5" s="770" t="s">
        <v>848</v>
      </c>
      <c r="G5" s="771"/>
      <c r="H5" s="764">
        <v>39885</v>
      </c>
      <c r="I5" s="772"/>
      <c r="J5" s="773"/>
      <c r="K5" s="773"/>
    </row>
    <row r="6" spans="1:11" x14ac:dyDescent="0.2">
      <c r="A6" s="774" t="s">
        <v>720</v>
      </c>
      <c r="B6" s="775"/>
      <c r="C6" s="775"/>
      <c r="D6" s="775"/>
      <c r="E6" s="776"/>
      <c r="F6" s="777" t="s">
        <v>849</v>
      </c>
      <c r="G6" s="764"/>
      <c r="H6" s="764"/>
      <c r="I6" s="764"/>
      <c r="J6" s="765">
        <v>4407</v>
      </c>
      <c r="K6" s="765"/>
    </row>
    <row r="7" spans="1:11" x14ac:dyDescent="0.2">
      <c r="A7" s="778" t="s">
        <v>246</v>
      </c>
      <c r="B7" s="779"/>
      <c r="C7" s="779"/>
      <c r="D7" s="779"/>
      <c r="E7" s="780"/>
      <c r="F7" s="770" t="s">
        <v>850</v>
      </c>
      <c r="G7" s="767"/>
      <c r="H7" s="767"/>
      <c r="I7" s="767"/>
      <c r="J7" s="781"/>
      <c r="K7" s="765">
        <v>10280</v>
      </c>
    </row>
    <row r="8" spans="1:11" x14ac:dyDescent="0.2">
      <c r="A8" s="778" t="s">
        <v>345</v>
      </c>
      <c r="B8" s="779"/>
      <c r="C8" s="779"/>
      <c r="D8" s="779"/>
      <c r="E8" s="780"/>
      <c r="F8" s="770" t="s">
        <v>851</v>
      </c>
      <c r="G8" s="782"/>
      <c r="H8" s="782"/>
      <c r="I8" s="782"/>
      <c r="J8" s="765">
        <v>340331</v>
      </c>
      <c r="K8" s="769"/>
    </row>
    <row r="9" spans="1:11" x14ac:dyDescent="0.2">
      <c r="A9" s="778" t="s">
        <v>138</v>
      </c>
      <c r="B9" s="779"/>
      <c r="C9" s="779"/>
      <c r="D9" s="779"/>
      <c r="E9" s="780"/>
      <c r="F9" s="777" t="s">
        <v>853</v>
      </c>
      <c r="G9" s="782"/>
      <c r="H9" s="771"/>
      <c r="I9" s="771"/>
      <c r="J9" s="781"/>
      <c r="K9" s="765">
        <v>19161</v>
      </c>
    </row>
    <row r="10" spans="1:11" x14ac:dyDescent="0.2">
      <c r="A10" s="2247" t="s">
        <v>1810</v>
      </c>
      <c r="B10" s="2220"/>
      <c r="C10" s="2220"/>
      <c r="D10" s="2220"/>
      <c r="E10" s="2249"/>
      <c r="F10" s="783" t="s">
        <v>862</v>
      </c>
      <c r="G10" s="782"/>
      <c r="H10" s="784">
        <v>357057</v>
      </c>
      <c r="I10" s="764"/>
      <c r="J10" s="765">
        <v>500</v>
      </c>
      <c r="K10" s="765"/>
    </row>
    <row r="11" spans="1:11" x14ac:dyDescent="0.2">
      <c r="A11" s="2247" t="s">
        <v>160</v>
      </c>
      <c r="B11" s="2220"/>
      <c r="C11" s="2220"/>
      <c r="D11" s="2220"/>
      <c r="E11" s="2248"/>
      <c r="F11" s="770" t="s">
        <v>852</v>
      </c>
      <c r="G11" s="771"/>
      <c r="H11" s="764"/>
      <c r="I11" s="764"/>
      <c r="J11" s="765"/>
      <c r="K11" s="773"/>
    </row>
    <row r="12" spans="1:11" ht="13.5" thickBot="1" x14ac:dyDescent="0.25">
      <c r="A12" s="2237" t="s">
        <v>905</v>
      </c>
      <c r="B12" s="2238"/>
      <c r="C12" s="2238"/>
      <c r="D12" s="2238"/>
      <c r="E12" s="2239"/>
      <c r="F12" s="1757"/>
      <c r="G12" s="1758">
        <f>SUM(G5:G11)</f>
        <v>0</v>
      </c>
      <c r="H12" s="1758">
        <f>SUM(H5:H11)</f>
        <v>396942</v>
      </c>
      <c r="I12" s="1758">
        <f>SUM(I5:I11)</f>
        <v>0</v>
      </c>
      <c r="J12" s="1758">
        <f>SUM(J5:J11)</f>
        <v>345238</v>
      </c>
      <c r="K12" s="1758">
        <f>SUM(K5:K11)</f>
        <v>29441</v>
      </c>
    </row>
    <row r="13" spans="1:11" ht="13.5" thickTop="1" x14ac:dyDescent="0.2">
      <c r="A13" s="2231" t="s">
        <v>370</v>
      </c>
      <c r="B13" s="2232"/>
      <c r="C13" s="2232"/>
      <c r="D13" s="2232"/>
      <c r="E13" s="2233"/>
      <c r="F13" s="785"/>
      <c r="G13" s="786"/>
      <c r="H13" s="787"/>
      <c r="I13" s="788"/>
      <c r="J13" s="788"/>
      <c r="K13" s="788"/>
    </row>
    <row r="14" spans="1:11" x14ac:dyDescent="0.2">
      <c r="A14" s="2253" t="s">
        <v>456</v>
      </c>
      <c r="B14" s="2253"/>
      <c r="C14" s="2253"/>
      <c r="D14" s="2253"/>
      <c r="E14" s="2254"/>
      <c r="F14" s="789" t="s">
        <v>854</v>
      </c>
      <c r="G14" s="782"/>
      <c r="H14" s="764">
        <v>378820</v>
      </c>
      <c r="I14" s="771"/>
      <c r="J14" s="773"/>
      <c r="K14" s="765">
        <v>29441</v>
      </c>
    </row>
    <row r="15" spans="1:11" x14ac:dyDescent="0.2">
      <c r="A15" s="2220" t="s">
        <v>4</v>
      </c>
      <c r="B15" s="2220"/>
      <c r="C15" s="2220"/>
      <c r="D15" s="2220"/>
      <c r="E15" s="2248"/>
      <c r="F15" s="789" t="s">
        <v>855</v>
      </c>
      <c r="G15" s="771"/>
      <c r="H15" s="764"/>
      <c r="I15" s="764"/>
      <c r="J15" s="765">
        <v>267008</v>
      </c>
      <c r="K15" s="765"/>
    </row>
    <row r="16" spans="1:11" x14ac:dyDescent="0.2">
      <c r="A16" s="2220" t="s">
        <v>298</v>
      </c>
      <c r="B16" s="2220"/>
      <c r="C16" s="2220"/>
      <c r="D16" s="2220"/>
      <c r="E16" s="2248"/>
      <c r="F16" s="789" t="s">
        <v>923</v>
      </c>
      <c r="G16" s="772"/>
      <c r="H16" s="767"/>
      <c r="I16" s="767"/>
      <c r="J16" s="769"/>
      <c r="K16" s="769"/>
    </row>
    <row r="17" spans="1:11" x14ac:dyDescent="0.2">
      <c r="A17" s="2242" t="s">
        <v>935</v>
      </c>
      <c r="B17" s="2242"/>
      <c r="C17" s="2242"/>
      <c r="D17" s="2242"/>
      <c r="E17" s="2243"/>
      <c r="F17" s="790"/>
      <c r="G17" s="791"/>
      <c r="H17" s="792"/>
      <c r="I17" s="792"/>
      <c r="J17" s="793"/>
      <c r="K17" s="794"/>
    </row>
    <row r="18" spans="1:11" x14ac:dyDescent="0.2">
      <c r="A18" s="2234" t="s">
        <v>368</v>
      </c>
      <c r="B18" s="2235"/>
      <c r="C18" s="2235"/>
      <c r="D18" s="2235"/>
      <c r="E18" s="2236"/>
      <c r="F18" s="789" t="s">
        <v>932</v>
      </c>
      <c r="G18" s="782"/>
      <c r="H18" s="782"/>
      <c r="I18" s="782"/>
      <c r="J18" s="765"/>
      <c r="K18" s="795"/>
    </row>
    <row r="19" spans="1:11" ht="21.75" customHeight="1" x14ac:dyDescent="0.2">
      <c r="A19" s="2255" t="s">
        <v>1806</v>
      </c>
      <c r="B19" s="2255"/>
      <c r="C19" s="2255"/>
      <c r="D19" s="2255"/>
      <c r="E19" s="2256"/>
      <c r="F19" s="789" t="s">
        <v>933</v>
      </c>
      <c r="G19" s="782"/>
      <c r="H19" s="782"/>
      <c r="I19" s="782"/>
      <c r="J19" s="765">
        <v>22609</v>
      </c>
      <c r="K19" s="795"/>
    </row>
    <row r="20" spans="1:11" x14ac:dyDescent="0.2">
      <c r="A20" s="2234" t="s">
        <v>1811</v>
      </c>
      <c r="B20" s="2235"/>
      <c r="C20" s="2235"/>
      <c r="D20" s="2235"/>
      <c r="E20" s="2236"/>
      <c r="F20" s="789" t="s">
        <v>934</v>
      </c>
      <c r="G20" s="782"/>
      <c r="H20" s="782"/>
      <c r="I20" s="782"/>
      <c r="J20" s="765"/>
      <c r="K20" s="795"/>
    </row>
    <row r="21" spans="1:11" ht="13.5" thickBot="1" x14ac:dyDescent="0.25">
      <c r="A21" s="2240" t="s">
        <v>638</v>
      </c>
      <c r="B21" s="2240"/>
      <c r="C21" s="2240"/>
      <c r="D21" s="2240"/>
      <c r="E21" s="2240"/>
      <c r="F21" s="1759"/>
      <c r="G21" s="792"/>
      <c r="H21" s="796"/>
      <c r="I21" s="796"/>
      <c r="J21" s="1760">
        <f>SUM(J18:J20)</f>
        <v>22609</v>
      </c>
      <c r="K21" s="793"/>
    </row>
    <row r="22" spans="1:11" ht="13.5" thickTop="1" x14ac:dyDescent="0.2">
      <c r="A22" s="2220" t="s">
        <v>1812</v>
      </c>
      <c r="B22" s="2220"/>
      <c r="C22" s="2220"/>
      <c r="D22" s="2220"/>
      <c r="E22" s="2248"/>
      <c r="F22" s="789" t="s">
        <v>862</v>
      </c>
      <c r="G22" s="782"/>
      <c r="H22" s="764">
        <v>18122</v>
      </c>
      <c r="I22" s="764"/>
      <c r="J22" s="797"/>
      <c r="K22" s="765"/>
    </row>
    <row r="23" spans="1:11" ht="13.5" thickBot="1" x14ac:dyDescent="0.25">
      <c r="A23" s="2241" t="s">
        <v>906</v>
      </c>
      <c r="B23" s="2240"/>
      <c r="C23" s="2240"/>
      <c r="D23" s="2240"/>
      <c r="E23" s="2240"/>
      <c r="F23" s="1761"/>
      <c r="G23" s="1758">
        <f>SUM(G14:G16,G21,G22)</f>
        <v>0</v>
      </c>
      <c r="H23" s="1758">
        <f>SUM(H14:H16,H21,H22)</f>
        <v>396942</v>
      </c>
      <c r="I23" s="1758">
        <f>SUM(I14:I16,I21,I22)</f>
        <v>0</v>
      </c>
      <c r="J23" s="1758">
        <f>SUM(J14:J16,J21,J22)</f>
        <v>289617</v>
      </c>
      <c r="K23" s="1758">
        <f>SUM(K14:K16,K21,K22)</f>
        <v>29441</v>
      </c>
    </row>
    <row r="24" spans="1:11" ht="14.25" thickTop="1" thickBot="1" x14ac:dyDescent="0.25">
      <c r="A24" s="2241" t="s">
        <v>1960</v>
      </c>
      <c r="B24" s="2240"/>
      <c r="C24" s="2240"/>
      <c r="D24" s="2240"/>
      <c r="E24" s="2240"/>
      <c r="F24" s="1762"/>
      <c r="G24" s="1763">
        <f>SUM(G3,G12)-G23</f>
        <v>0</v>
      </c>
      <c r="H24" s="1763">
        <f>SUM(H3,H12)-H23</f>
        <v>0</v>
      </c>
      <c r="I24" s="1763">
        <f>SUM(I3,I12)-I23</f>
        <v>0</v>
      </c>
      <c r="J24" s="1763">
        <f>SUM(J3,J12)-J23</f>
        <v>198599</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198599</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0"/>
      <c r="I31" s="2251"/>
      <c r="J31" s="2251"/>
      <c r="K31" s="2251"/>
    </row>
    <row r="32" spans="1:11" x14ac:dyDescent="0.2">
      <c r="A32" s="809"/>
      <c r="B32" s="237"/>
      <c r="C32" s="237"/>
      <c r="D32" s="237"/>
      <c r="E32" s="805"/>
      <c r="F32" s="811" t="s">
        <v>540</v>
      </c>
      <c r="G32" s="764"/>
      <c r="H32" s="2252"/>
      <c r="I32" s="2251"/>
      <c r="J32" s="2251"/>
      <c r="K32" s="2251"/>
    </row>
    <row r="33" spans="1:11" ht="1.5" customHeight="1" x14ac:dyDescent="0.2">
      <c r="A33" s="812" t="s">
        <v>1169</v>
      </c>
      <c r="B33" s="364"/>
      <c r="C33" s="364"/>
      <c r="D33" s="364"/>
      <c r="E33" s="364"/>
      <c r="F33" s="364"/>
      <c r="G33" s="813"/>
      <c r="H33" s="2252"/>
      <c r="I33" s="2251"/>
      <c r="J33" s="2251"/>
      <c r="K33" s="2251"/>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0" t="s">
        <v>541</v>
      </c>
      <c r="B41" s="2221"/>
      <c r="C41" s="2221"/>
      <c r="D41" s="2221"/>
      <c r="E41" s="2221"/>
      <c r="F41" s="222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K13" sqref="K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1905</v>
      </c>
      <c r="B1" s="2260"/>
      <c r="C1" s="2261"/>
      <c r="D1" s="826"/>
      <c r="E1" s="827"/>
      <c r="F1" s="827"/>
      <c r="G1" s="828"/>
      <c r="H1" s="829"/>
      <c r="I1" s="830"/>
      <c r="J1" s="2257"/>
      <c r="K1" s="2258"/>
      <c r="L1" s="2258"/>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330394</v>
      </c>
      <c r="D5" s="841"/>
      <c r="E5" s="841"/>
      <c r="F5" s="1760">
        <f>(C5+D5)-E5</f>
        <v>330394</v>
      </c>
      <c r="G5" s="837"/>
      <c r="H5" s="842"/>
      <c r="I5" s="842"/>
      <c r="J5" s="842"/>
      <c r="K5" s="793"/>
      <c r="L5" s="1769">
        <f>F5-K5</f>
        <v>330394</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22929801</v>
      </c>
      <c r="D8" s="844">
        <v>80758</v>
      </c>
      <c r="E8" s="844"/>
      <c r="F8" s="1760">
        <f>(C8+D8)-E8</f>
        <v>23010559</v>
      </c>
      <c r="G8" s="843">
        <v>50</v>
      </c>
      <c r="H8" s="765">
        <v>9756341</v>
      </c>
      <c r="I8" s="765">
        <v>459404</v>
      </c>
      <c r="J8" s="765"/>
      <c r="K8" s="1769">
        <f>(H8+I8)-J8</f>
        <v>10215745</v>
      </c>
      <c r="L8" s="1769">
        <f>F8-K8</f>
        <v>12794814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252454</v>
      </c>
      <c r="D10" s="846">
        <v>49824</v>
      </c>
      <c r="E10" s="846"/>
      <c r="F10" s="1764">
        <f>(C10+D10)-E10</f>
        <v>302278</v>
      </c>
      <c r="G10" s="843">
        <v>20</v>
      </c>
      <c r="H10" s="847">
        <v>175156</v>
      </c>
      <c r="I10" s="847">
        <v>6550</v>
      </c>
      <c r="J10" s="847"/>
      <c r="K10" s="1769">
        <f>(H10+I10)-J10</f>
        <v>181706</v>
      </c>
      <c r="L10" s="1769">
        <f>F10-K10</f>
        <v>120572</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4728840</v>
      </c>
      <c r="D12" s="844">
        <v>240119</v>
      </c>
      <c r="E12" s="844"/>
      <c r="F12" s="1760">
        <f>(C12+D12)-E12</f>
        <v>4968959</v>
      </c>
      <c r="G12" s="843">
        <v>10</v>
      </c>
      <c r="H12" s="765">
        <v>4039348</v>
      </c>
      <c r="I12" s="765">
        <v>121568</v>
      </c>
      <c r="J12" s="765"/>
      <c r="K12" s="1769">
        <f>(H12+I12)-J12</f>
        <v>4160916</v>
      </c>
      <c r="L12" s="1769">
        <f>F12-K12</f>
        <v>808043</v>
      </c>
    </row>
    <row r="13" spans="1:14" ht="14.25" thickTop="1" thickBot="1" x14ac:dyDescent="0.25">
      <c r="A13" s="848" t="s">
        <v>1122</v>
      </c>
      <c r="B13" s="840">
        <v>252</v>
      </c>
      <c r="C13" s="844">
        <v>1267865</v>
      </c>
      <c r="D13" s="844">
        <v>362219</v>
      </c>
      <c r="E13" s="844">
        <v>46818</v>
      </c>
      <c r="F13" s="1760">
        <f>(C13+D13)-E13</f>
        <v>1583266</v>
      </c>
      <c r="G13" s="843">
        <v>5</v>
      </c>
      <c r="H13" s="765">
        <v>906339</v>
      </c>
      <c r="I13" s="765">
        <v>125180</v>
      </c>
      <c r="J13" s="765">
        <v>33246</v>
      </c>
      <c r="K13" s="1769">
        <f>(H13+I13)-J13</f>
        <v>998273</v>
      </c>
      <c r="L13" s="1769">
        <f>F13-K13</f>
        <v>584993</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29509354</v>
      </c>
      <c r="D16" s="1760">
        <f>SUM(D3,D5:D6,D8:D10,D12:D15)</f>
        <v>732920</v>
      </c>
      <c r="E16" s="1760">
        <f>SUM(E3,E5:E6,E8:E10,E12:E15)</f>
        <v>46818</v>
      </c>
      <c r="F16" s="1760">
        <f>SUM(F3,F5:F6,F8:F10,F12:F15)</f>
        <v>30195456</v>
      </c>
      <c r="G16" s="843"/>
      <c r="H16" s="1760">
        <f>SUM(H3,H6,H8:H10,H12:H14,)</f>
        <v>14877184</v>
      </c>
      <c r="I16" s="1760">
        <f>SUM(I3,I6,I8:I10,I12:I14,)</f>
        <v>712702</v>
      </c>
      <c r="J16" s="1760">
        <f>SUM(J3,J6,J8:J10,J12:J14,)</f>
        <v>33246</v>
      </c>
      <c r="K16" s="1760">
        <f>(H16+I16)-J16</f>
        <v>15556640</v>
      </c>
      <c r="L16" s="1760">
        <f>F16-K16</f>
        <v>14638816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712702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0"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1970</v>
      </c>
      <c r="B1" s="2266"/>
      <c r="C1" s="2266"/>
      <c r="D1" s="2266"/>
      <c r="E1" s="2266"/>
      <c r="F1" s="2267"/>
      <c r="G1" s="855"/>
    </row>
    <row r="2" spans="1:7" ht="15" customHeight="1" thickBot="1" x14ac:dyDescent="0.25">
      <c r="A2" s="2268" t="s">
        <v>477</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1"/>
      <c r="B5" s="2272"/>
      <c r="C5" s="2272"/>
      <c r="D5" s="2272"/>
      <c r="E5" s="2272"/>
      <c r="F5" s="2272"/>
    </row>
    <row r="6" spans="1:7" ht="13.5" customHeight="1" thickBot="1" x14ac:dyDescent="0.25">
      <c r="A6" s="2262" t="s">
        <v>1104</v>
      </c>
      <c r="B6" s="2263"/>
      <c r="C6" s="2263"/>
      <c r="D6" s="2263"/>
      <c r="E6" s="2263"/>
      <c r="F6" s="2264"/>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9450806</v>
      </c>
      <c r="G8" s="865"/>
    </row>
    <row r="9" spans="1:7" x14ac:dyDescent="0.2">
      <c r="A9" s="869" t="s">
        <v>460</v>
      </c>
      <c r="B9" s="870" t="s">
        <v>1873</v>
      </c>
      <c r="C9" s="871"/>
      <c r="D9" s="869" t="s">
        <v>501</v>
      </c>
      <c r="E9" s="868"/>
      <c r="F9" s="1909">
        <f>'Expenditures 15-22'!K151</f>
        <v>482727</v>
      </c>
      <c r="G9" s="872"/>
    </row>
    <row r="10" spans="1:7" x14ac:dyDescent="0.2">
      <c r="A10" s="869" t="s">
        <v>499</v>
      </c>
      <c r="B10" s="870" t="s">
        <v>1874</v>
      </c>
      <c r="C10" s="871"/>
      <c r="D10" s="869" t="s">
        <v>501</v>
      </c>
      <c r="E10" s="868"/>
      <c r="F10" s="1909">
        <f>'Expenditures 15-22'!K174</f>
        <v>264587</v>
      </c>
      <c r="G10" s="872"/>
    </row>
    <row r="11" spans="1:7" x14ac:dyDescent="0.2">
      <c r="A11" s="869" t="s">
        <v>461</v>
      </c>
      <c r="B11" s="870" t="s">
        <v>1875</v>
      </c>
      <c r="C11" s="871"/>
      <c r="D11" s="869" t="s">
        <v>501</v>
      </c>
      <c r="E11" s="868"/>
      <c r="F11" s="1909">
        <f>'Expenditures 15-22'!K210</f>
        <v>1134280</v>
      </c>
      <c r="G11" s="872"/>
    </row>
    <row r="12" spans="1:7" x14ac:dyDescent="0.2">
      <c r="A12" s="869" t="s">
        <v>462</v>
      </c>
      <c r="B12" s="870" t="s">
        <v>1876</v>
      </c>
      <c r="C12" s="871"/>
      <c r="D12" s="869" t="s">
        <v>501</v>
      </c>
      <c r="E12" s="868"/>
      <c r="F12" s="1909">
        <f>'Expenditures 15-22'!K295</f>
        <v>414105</v>
      </c>
      <c r="G12" s="872"/>
    </row>
    <row r="13" spans="1:7" x14ac:dyDescent="0.2">
      <c r="A13" s="869" t="s">
        <v>106</v>
      </c>
      <c r="B13" s="870" t="s">
        <v>1877</v>
      </c>
      <c r="C13" s="871"/>
      <c r="D13" s="869" t="s">
        <v>501</v>
      </c>
      <c r="E13" s="868"/>
      <c r="F13" s="1909">
        <f>'Expenditures 15-22'!K342</f>
        <v>430665</v>
      </c>
      <c r="G13" s="873"/>
    </row>
    <row r="14" spans="1:7" ht="12" customHeight="1" thickBot="1" x14ac:dyDescent="0.25">
      <c r="A14" s="1770"/>
      <c r="B14" s="1771"/>
      <c r="C14" s="1772"/>
      <c r="D14" s="1773" t="s">
        <v>501</v>
      </c>
      <c r="E14" s="1774" t="s">
        <v>958</v>
      </c>
      <c r="F14" s="1775">
        <f>SUM(F8:F13)</f>
        <v>12177170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4">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1997</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307795</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186892</v>
      </c>
      <c r="G52" s="865"/>
    </row>
    <row r="53" spans="1:7" x14ac:dyDescent="0.2">
      <c r="A53" s="869" t="s">
        <v>459</v>
      </c>
      <c r="B53" s="869" t="s">
        <v>1475</v>
      </c>
      <c r="C53" s="889">
        <f>'Expenditures 15-22'!B102</f>
        <v>4000</v>
      </c>
      <c r="D53" s="888" t="str">
        <f>'Expenditures 15-22'!A102</f>
        <v>Total Payments to Other Govt Units</v>
      </c>
      <c r="E53" s="868"/>
      <c r="F53" s="1913">
        <f>'Expenditures 15-22'!K102</f>
        <v>416723</v>
      </c>
      <c r="G53" s="865"/>
    </row>
    <row r="54" spans="1:7" x14ac:dyDescent="0.2">
      <c r="A54" s="869" t="s">
        <v>459</v>
      </c>
      <c r="B54" s="869" t="s">
        <v>1476</v>
      </c>
      <c r="C54" s="889" t="s">
        <v>982</v>
      </c>
      <c r="D54" s="885" t="s">
        <v>1095</v>
      </c>
      <c r="E54" s="868"/>
      <c r="F54" s="1913">
        <f>'Expenditures 15-22'!G114</f>
        <v>221915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3">
        <f>'Expenditures 15-22'!K139</f>
        <v>0</v>
      </c>
      <c r="G57" s="865"/>
    </row>
    <row r="58" spans="1:7" x14ac:dyDescent="0.2">
      <c r="A58" s="869" t="s">
        <v>460</v>
      </c>
      <c r="B58" s="869" t="s">
        <v>1879</v>
      </c>
      <c r="C58" s="886" t="s">
        <v>982</v>
      </c>
      <c r="D58" s="885" t="s">
        <v>1095</v>
      </c>
      <c r="E58" s="868"/>
      <c r="F58" s="1915">
        <f>'Expenditures 15-22'!G151</f>
        <v>23730</v>
      </c>
      <c r="G58" s="865"/>
    </row>
    <row r="59" spans="1:7" x14ac:dyDescent="0.2">
      <c r="A59" s="893" t="s">
        <v>460</v>
      </c>
      <c r="B59" s="856" t="s">
        <v>1880</v>
      </c>
      <c r="C59" s="894" t="s">
        <v>982</v>
      </c>
      <c r="D59" s="856" t="s">
        <v>291</v>
      </c>
      <c r="F59" s="1916">
        <f>'Expenditures 15-22'!I151</f>
        <v>0</v>
      </c>
      <c r="G59" s="865"/>
    </row>
    <row r="60" spans="1:7" x14ac:dyDescent="0.2">
      <c r="A60" s="893" t="s">
        <v>499</v>
      </c>
      <c r="B60" s="856" t="s">
        <v>1881</v>
      </c>
      <c r="C60" s="894">
        <v>4000</v>
      </c>
      <c r="D60" s="856" t="s">
        <v>312</v>
      </c>
      <c r="F60" s="1914">
        <f>'Expenditures 15-22'!K160</f>
        <v>0</v>
      </c>
      <c r="G60" s="865"/>
    </row>
    <row r="61" spans="1:7" x14ac:dyDescent="0.2">
      <c r="A61" s="895" t="s">
        <v>499</v>
      </c>
      <c r="B61" s="895" t="s">
        <v>1882</v>
      </c>
      <c r="C61" s="896" t="str">
        <f>'Expenditures 15-22'!B170</f>
        <v>5300</v>
      </c>
      <c r="D61" s="897" t="s">
        <v>311</v>
      </c>
      <c r="E61" s="879"/>
      <c r="F61" s="1913">
        <f>'Expenditures 15-22'!K170</f>
        <v>226900</v>
      </c>
      <c r="G61" s="865"/>
    </row>
    <row r="62" spans="1:7" x14ac:dyDescent="0.2">
      <c r="A62" s="869" t="s">
        <v>461</v>
      </c>
      <c r="B62" s="869" t="s">
        <v>1883</v>
      </c>
      <c r="C62" s="886">
        <f>'Expenditures 15-22'!B185</f>
        <v>3000</v>
      </c>
      <c r="D62" s="876" t="s">
        <v>449</v>
      </c>
      <c r="E62" s="868"/>
      <c r="F62" s="1913">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1885</v>
      </c>
      <c r="C64" s="896" t="str">
        <f>'Expenditures 15-22'!B206</f>
        <v>5300</v>
      </c>
      <c r="D64" s="892" t="s">
        <v>311</v>
      </c>
      <c r="E64" s="868"/>
      <c r="F64" s="1913">
        <f>'Expenditures 15-22'!K206</f>
        <v>100670</v>
      </c>
      <c r="G64" s="865"/>
    </row>
    <row r="65" spans="1:8" x14ac:dyDescent="0.2">
      <c r="A65" s="869" t="s">
        <v>461</v>
      </c>
      <c r="B65" s="869" t="s">
        <v>1886</v>
      </c>
      <c r="C65" s="886" t="s">
        <v>982</v>
      </c>
      <c r="D65" s="885" t="s">
        <v>1095</v>
      </c>
      <c r="E65" s="868"/>
      <c r="F65" s="1913">
        <f>'Expenditures 15-22'!G210</f>
        <v>362219</v>
      </c>
      <c r="G65" s="865"/>
    </row>
    <row r="66" spans="1:8" x14ac:dyDescent="0.2">
      <c r="A66" s="869" t="s">
        <v>461</v>
      </c>
      <c r="B66" s="869" t="s">
        <v>1887</v>
      </c>
      <c r="C66" s="886" t="s">
        <v>982</v>
      </c>
      <c r="D66" s="885" t="s">
        <v>291</v>
      </c>
      <c r="E66" s="868"/>
      <c r="F66" s="1913">
        <f>'Expenditures 15-22'!I210</f>
        <v>0</v>
      </c>
      <c r="G66" s="865"/>
    </row>
    <row r="67" spans="1:8" x14ac:dyDescent="0.2">
      <c r="A67" s="869" t="s">
        <v>462</v>
      </c>
      <c r="B67" s="869" t="s">
        <v>1888</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1890</v>
      </c>
      <c r="C70" s="886">
        <f>'Expenditures 15-22'!B221</f>
        <v>1300</v>
      </c>
      <c r="D70" s="887" t="str">
        <f>'Expenditures 15-22'!A221</f>
        <v>Adult/Continuing Education Programs</v>
      </c>
      <c r="E70" s="868"/>
      <c r="F70" s="1913">
        <f>'Expenditures 15-22'!K221</f>
        <v>0</v>
      </c>
      <c r="G70" s="865"/>
    </row>
    <row r="71" spans="1:8" x14ac:dyDescent="0.2">
      <c r="A71" s="869" t="s">
        <v>462</v>
      </c>
      <c r="B71" s="869" t="s">
        <v>1891</v>
      </c>
      <c r="C71" s="886">
        <f>'Expenditures 15-22'!B224</f>
        <v>1600</v>
      </c>
      <c r="D71" s="887" t="str">
        <f>'Expenditures 15-22'!A224</f>
        <v>Summer School Programs</v>
      </c>
      <c r="E71" s="868"/>
      <c r="F71" s="1913">
        <f>'Expenditures 15-22'!K224</f>
        <v>0</v>
      </c>
      <c r="G71" s="865"/>
    </row>
    <row r="72" spans="1:8" x14ac:dyDescent="0.2">
      <c r="A72" s="869" t="s">
        <v>462</v>
      </c>
      <c r="B72" s="869" t="s">
        <v>1892</v>
      </c>
      <c r="C72" s="886">
        <f>'Expenditures 15-22'!B280</f>
        <v>3000</v>
      </c>
      <c r="D72" s="876" t="s">
        <v>449</v>
      </c>
      <c r="E72" s="868"/>
      <c r="F72" s="1913">
        <f>'Expenditures 15-22'!K280</f>
        <v>115</v>
      </c>
      <c r="G72" s="865"/>
    </row>
    <row r="73" spans="1:8" x14ac:dyDescent="0.2">
      <c r="A73" s="869" t="s">
        <v>462</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1894</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958</v>
      </c>
      <c r="F76" s="1778">
        <f>SUM(F18:F74)</f>
        <v>1846959</v>
      </c>
      <c r="G76" s="865"/>
    </row>
    <row r="77" spans="1:8" s="893" customFormat="1" ht="12" customHeight="1" thickTop="1" thickBot="1" x14ac:dyDescent="0.25">
      <c r="A77" s="1779"/>
      <c r="B77" s="1776"/>
      <c r="C77" s="1772"/>
      <c r="D77" s="1777" t="s">
        <v>1896</v>
      </c>
      <c r="E77" s="1774"/>
      <c r="F77" s="1780">
        <f>(F14-F76)</f>
        <v>10330211</v>
      </c>
      <c r="G77" s="869"/>
    </row>
    <row r="78" spans="1:8" s="893" customFormat="1" ht="12" customHeight="1" thickTop="1" x14ac:dyDescent="0.2">
      <c r="A78" s="1781"/>
      <c r="B78" s="1776"/>
      <c r="C78" s="1772"/>
      <c r="D78" s="1777" t="s">
        <v>2057</v>
      </c>
      <c r="E78" s="1774"/>
      <c r="F78" s="898">
        <v>1124.0999999999999</v>
      </c>
      <c r="G78" s="899"/>
      <c r="H78" s="869"/>
    </row>
    <row r="79" spans="1:8" s="893" customFormat="1" ht="12" customHeight="1" thickBot="1" x14ac:dyDescent="0.25">
      <c r="A79" s="1782"/>
      <c r="B79" s="1776"/>
      <c r="C79" s="1772"/>
      <c r="D79" s="1777" t="s">
        <v>1897</v>
      </c>
      <c r="E79" s="1774" t="s">
        <v>958</v>
      </c>
      <c r="F79" s="1783">
        <f>IF(F78&gt;0,F77/F78," Complete Line 78")</f>
        <v>9189.7615870474165</v>
      </c>
      <c r="G79" s="869"/>
    </row>
    <row r="80" spans="1:8" s="893" customFormat="1" ht="8.25" customHeight="1" thickTop="1" x14ac:dyDescent="0.2">
      <c r="A80" s="900"/>
      <c r="B80" s="869"/>
      <c r="C80" s="871"/>
      <c r="D80" s="901"/>
      <c r="E80" s="868"/>
      <c r="F80" s="902"/>
      <c r="G80" s="869"/>
    </row>
    <row r="81" spans="1:7" s="893" customFormat="1" ht="12" thickBot="1" x14ac:dyDescent="0.25">
      <c r="A81" s="2262" t="s">
        <v>1105</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40128</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198898</v>
      </c>
      <c r="G94" s="912"/>
    </row>
    <row r="95" spans="1:7" x14ac:dyDescent="0.2">
      <c r="A95" s="908" t="s">
        <v>140</v>
      </c>
      <c r="B95" s="908" t="s">
        <v>175</v>
      </c>
      <c r="C95" s="910">
        <v>1700</v>
      </c>
      <c r="D95" s="918" t="str">
        <f>'Revenues 9-14'!A82</f>
        <v>Total District/School Activity Income</v>
      </c>
      <c r="E95" s="906"/>
      <c r="F95" s="1789">
        <f>SUM('Revenues 9-14'!C82,'Revenues 9-14'!D82)</f>
        <v>70074</v>
      </c>
      <c r="G95" s="912"/>
    </row>
    <row r="96" spans="1:7" x14ac:dyDescent="0.2">
      <c r="A96" s="908" t="s">
        <v>459</v>
      </c>
      <c r="B96" s="908" t="s">
        <v>176</v>
      </c>
      <c r="C96" s="910">
        <f>'Revenues 9-14'!B84</f>
        <v>1811</v>
      </c>
      <c r="D96" s="911" t="str">
        <f>'Revenues 9-14'!A84</f>
        <v>Rentals - Regular Textbooks</v>
      </c>
      <c r="E96" s="906"/>
      <c r="F96" s="1789">
        <f>'Revenues 9-14'!C84</f>
        <v>19354</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1321</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1998</v>
      </c>
      <c r="C105" s="913">
        <v>3100</v>
      </c>
      <c r="D105" s="919" t="str">
        <f>'Revenues 9-14'!A132</f>
        <v>Total Special Education</v>
      </c>
      <c r="E105" s="906"/>
      <c r="F105" s="1789">
        <f>SUM('Revenues 9-14'!C132:D132,'Revenues 9-14'!F132)</f>
        <v>64269</v>
      </c>
      <c r="G105" s="912"/>
    </row>
    <row r="106" spans="1:7" x14ac:dyDescent="0.2">
      <c r="A106" s="908" t="s">
        <v>673</v>
      </c>
      <c r="B106" s="908" t="s">
        <v>1999</v>
      </c>
      <c r="C106" s="920">
        <v>3200</v>
      </c>
      <c r="D106" s="911" t="str">
        <f>'Revenues 9-14'!A141</f>
        <v>Total Career and Technical Education</v>
      </c>
      <c r="E106" s="906"/>
      <c r="F106" s="1789">
        <f>SUM('Revenues 9-14'!C141,'Revenues 9-14'!D141,'Revenues 9-14'!G141)</f>
        <v>21019</v>
      </c>
      <c r="G106" s="912"/>
    </row>
    <row r="107" spans="1:7" x14ac:dyDescent="0.2">
      <c r="A107" s="921" t="s">
        <v>664</v>
      </c>
      <c r="B107" s="908" t="s">
        <v>2000</v>
      </c>
      <c r="C107" s="920">
        <v>3300</v>
      </c>
      <c r="D107" s="911" t="str">
        <f>'Revenues 9-14'!A145</f>
        <v>Total Bilingual Ed</v>
      </c>
      <c r="E107" s="906"/>
      <c r="F107" s="1789">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9">
        <f>'Revenues 9-14'!C146</f>
        <v>6771</v>
      </c>
      <c r="G108" s="912"/>
    </row>
    <row r="109" spans="1:7" x14ac:dyDescent="0.2">
      <c r="A109" s="908" t="s">
        <v>673</v>
      </c>
      <c r="B109" s="908" t="s">
        <v>2002</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9">
        <f>SUM('Revenues 9-14'!C148,'Revenues 9-14'!D148)</f>
        <v>19161</v>
      </c>
      <c r="G110" s="912"/>
    </row>
    <row r="111" spans="1:7" x14ac:dyDescent="0.2">
      <c r="A111" s="908" t="s">
        <v>668</v>
      </c>
      <c r="B111" s="908" t="s">
        <v>2004</v>
      </c>
      <c r="C111" s="922">
        <v>3500</v>
      </c>
      <c r="D111" s="911" t="str">
        <f>'Revenues 9-14'!A155</f>
        <v>Total Transportation</v>
      </c>
      <c r="E111" s="906"/>
      <c r="F111" s="1789">
        <f>SUM('Revenues 9-14'!C155,'Revenues 9-14'!D155,'Revenues 9-14'!F155,'Revenues 9-14'!G155)</f>
        <v>451257</v>
      </c>
      <c r="G111" s="912"/>
    </row>
    <row r="112" spans="1:7" x14ac:dyDescent="0.2">
      <c r="A112" s="908" t="s">
        <v>459</v>
      </c>
      <c r="B112" s="908" t="s">
        <v>2005</v>
      </c>
      <c r="C112" s="920">
        <f>'Revenues 9-14'!B156</f>
        <v>3610</v>
      </c>
      <c r="D112" s="911" t="str">
        <f>'Revenues 9-14'!A156</f>
        <v>Learning Improvement - Change Grants</v>
      </c>
      <c r="E112" s="906"/>
      <c r="F112" s="1789">
        <f>'Revenues 9-14'!C156</f>
        <v>0</v>
      </c>
      <c r="G112" s="912"/>
    </row>
    <row r="113" spans="1:7" x14ac:dyDescent="0.2">
      <c r="A113" s="908" t="s">
        <v>668</v>
      </c>
      <c r="B113" s="908" t="s">
        <v>2006</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9">
        <f>SUM('Revenues 9-14'!C158,'Revenues 9-14'!F158,'Revenues 9-14'!G158)</f>
        <v>40196</v>
      </c>
      <c r="G114" s="912"/>
    </row>
    <row r="115" spans="1:7" x14ac:dyDescent="0.2">
      <c r="A115" s="908" t="s">
        <v>668</v>
      </c>
      <c r="B115" s="908" t="s">
        <v>2008</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7">
        <f>SUM('Revenues 9-14'!C163:G163)</f>
        <v>0</v>
      </c>
      <c r="G118" s="912"/>
    </row>
    <row r="119" spans="1:7" x14ac:dyDescent="0.2">
      <c r="A119" s="923" t="s">
        <v>504</v>
      </c>
      <c r="B119" s="923" t="s">
        <v>2012</v>
      </c>
      <c r="C119" s="924">
        <f>'Revenues 9-14'!B164</f>
        <v>3815</v>
      </c>
      <c r="D119" s="925" t="str">
        <f>'Revenues 9-14'!A164</f>
        <v>State Charter Schools</v>
      </c>
      <c r="E119" s="906"/>
      <c r="F119" s="1907">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9">
        <f>'Revenues 9-14'!D167</f>
        <v>0</v>
      </c>
      <c r="G120" s="930"/>
    </row>
    <row r="121" spans="1:7" x14ac:dyDescent="0.2">
      <c r="A121" s="927" t="s">
        <v>500</v>
      </c>
      <c r="B121" s="927" t="s">
        <v>2014</v>
      </c>
      <c r="C121" s="928">
        <f>'Revenues 9-14'!B168</f>
        <v>3999</v>
      </c>
      <c r="D121" s="929" t="s">
        <v>543</v>
      </c>
      <c r="E121" s="931"/>
      <c r="F121" s="1789">
        <f>SUM('Revenues 9-14'!C168:G168,'Revenues 9-14'!J168)</f>
        <v>221996</v>
      </c>
      <c r="G121" s="930"/>
    </row>
    <row r="122" spans="1:7" x14ac:dyDescent="0.2">
      <c r="A122" s="927" t="s">
        <v>459</v>
      </c>
      <c r="B122" s="927" t="s">
        <v>2015</v>
      </c>
      <c r="C122" s="932">
        <f>'Revenues 9-14'!B177</f>
        <v>4045</v>
      </c>
      <c r="D122" s="929" t="str">
        <f>'Revenues 9-14'!A177 &amp; " (Subtract)"</f>
        <v>Head Start (Subtract)</v>
      </c>
      <c r="E122" s="906"/>
      <c r="F122" s="1789">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2017</v>
      </c>
      <c r="C124" s="932">
        <v>4100</v>
      </c>
      <c r="D124" s="933" t="str">
        <f>'Revenues 9-14'!A188</f>
        <v>Total Title V</v>
      </c>
      <c r="E124" s="906"/>
      <c r="F124" s="1789">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9">
        <f>SUM('Revenues 9-14'!C198,'Revenues 9-14'!G198)</f>
        <v>345366</v>
      </c>
      <c r="G125" s="930"/>
    </row>
    <row r="126" spans="1:7" x14ac:dyDescent="0.2">
      <c r="A126" s="927" t="s">
        <v>668</v>
      </c>
      <c r="B126" s="927" t="s">
        <v>2019</v>
      </c>
      <c r="C126" s="932">
        <v>4300</v>
      </c>
      <c r="D126" s="933" t="str">
        <f>'Revenues 9-14'!A204</f>
        <v>Total Title I</v>
      </c>
      <c r="E126" s="906"/>
      <c r="F126" s="1789">
        <f>SUM('Revenues 9-14'!C204,'Revenues 9-14'!D204,'Revenues 9-14'!F204,'Revenues 9-14'!G204)</f>
        <v>418043</v>
      </c>
      <c r="G126" s="930"/>
    </row>
    <row r="127" spans="1:7" x14ac:dyDescent="0.2">
      <c r="A127" s="927" t="s">
        <v>668</v>
      </c>
      <c r="B127" s="927" t="s">
        <v>2020</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2022</v>
      </c>
      <c r="C129" s="932">
        <f>'Revenues 9-14'!B214</f>
        <v>4625</v>
      </c>
      <c r="D129" s="933" t="str">
        <f>'Revenues 9-14'!A214</f>
        <v>Fed - Spec Education - IDEA - Room &amp; Board</v>
      </c>
      <c r="E129" s="906"/>
      <c r="F129" s="1789">
        <f>SUM('Revenues 9-14'!C214,'Revenues 9-14'!D214,'Revenues 9-14'!F214,'Revenues 9-14'!G214)</f>
        <v>32812</v>
      </c>
      <c r="G129" s="930"/>
    </row>
    <row r="130" spans="1:7" x14ac:dyDescent="0.2">
      <c r="A130" s="927" t="s">
        <v>668</v>
      </c>
      <c r="B130" s="927" t="s">
        <v>2023</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2024</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9">
        <v>0</v>
      </c>
      <c r="G138" s="905"/>
    </row>
    <row r="139" spans="1:7" s="867" customFormat="1" hidden="1" x14ac:dyDescent="0.2">
      <c r="A139" s="934" t="s">
        <v>206</v>
      </c>
      <c r="B139" s="934" t="s">
        <v>2031</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2039</v>
      </c>
      <c r="C157" s="940" t="s">
        <v>841</v>
      </c>
      <c r="D157" s="941" t="s">
        <v>777</v>
      </c>
      <c r="E157" s="942"/>
      <c r="F157" s="1789">
        <f>SUM(F133:F156)</f>
        <v>0</v>
      </c>
      <c r="G157" s="905"/>
    </row>
    <row r="158" spans="1:7" s="867" customFormat="1" x14ac:dyDescent="0.2">
      <c r="A158" s="938" t="s">
        <v>459</v>
      </c>
      <c r="B158" s="939" t="s">
        <v>2040</v>
      </c>
      <c r="C158" s="940" t="s">
        <v>1427</v>
      </c>
      <c r="D158" s="941" t="s">
        <v>1428</v>
      </c>
      <c r="E158" s="942"/>
      <c r="F158" s="1789">
        <f>SUM('Revenues 9-14'!C253)</f>
        <v>0</v>
      </c>
      <c r="G158" s="905"/>
    </row>
    <row r="159" spans="1:7" s="867" customFormat="1" x14ac:dyDescent="0.2">
      <c r="A159" s="938" t="s">
        <v>500</v>
      </c>
      <c r="B159" s="939" t="s">
        <v>2041</v>
      </c>
      <c r="C159" s="940" t="s">
        <v>1466</v>
      </c>
      <c r="D159" s="941" t="s">
        <v>1467</v>
      </c>
      <c r="E159" s="942"/>
      <c r="F159" s="1789">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7">
        <f>SUM('Revenues 9-14'!C259,'Revenues 9-14'!D259,'Revenues 9-14'!F259,'Revenues 9-14'!G259)</f>
        <v>28912</v>
      </c>
      <c r="G164" s="930"/>
    </row>
    <row r="165" spans="1:7" x14ac:dyDescent="0.2">
      <c r="A165" s="927" t="s">
        <v>668</v>
      </c>
      <c r="B165" s="927" t="s">
        <v>2047</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9">
        <f>SUM('Revenues 9-14'!C263:D263,'Revenues 9-14'!F263:G263)</f>
        <v>5062</v>
      </c>
      <c r="G168" s="947">
        <v>6320</v>
      </c>
    </row>
    <row r="169" spans="1:7" x14ac:dyDescent="0.2">
      <c r="A169" s="927" t="s">
        <v>668</v>
      </c>
      <c r="B169" s="927" t="s">
        <v>2049</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2050</v>
      </c>
      <c r="C170" s="945">
        <f>'Revenues 9-14'!B265</f>
        <v>4999</v>
      </c>
      <c r="D170" s="946" t="str">
        <f>'Revenues 9-14'!A265</f>
        <v>Other Restricted Revenue from Federal Sources (Describe &amp; Itemize)</v>
      </c>
      <c r="E170" s="906"/>
      <c r="F170" s="1789">
        <f>SUM('Revenues 9-14'!C265:D265,'Revenues 9-14'!F265:G265)</f>
        <v>358</v>
      </c>
      <c r="G170" s="927"/>
    </row>
    <row r="171" spans="1:7" x14ac:dyDescent="0.2">
      <c r="A171" s="1918" t="s">
        <v>5</v>
      </c>
      <c r="B171" s="1919" t="s">
        <v>1916</v>
      </c>
      <c r="C171" s="1920">
        <v>3100</v>
      </c>
      <c r="D171" s="1921" t="s">
        <v>1918</v>
      </c>
      <c r="E171" s="906"/>
      <c r="F171" s="1906">
        <v>391637</v>
      </c>
      <c r="G171" s="927"/>
    </row>
    <row r="172" spans="1:7" x14ac:dyDescent="0.2">
      <c r="A172" s="1918" t="s">
        <v>664</v>
      </c>
      <c r="B172" s="1919" t="s">
        <v>1916</v>
      </c>
      <c r="C172" s="1920">
        <v>3300</v>
      </c>
      <c r="D172" s="1921" t="s">
        <v>1919</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2051</v>
      </c>
      <c r="E174" s="1787" t="s">
        <v>958</v>
      </c>
      <c r="F174" s="1788">
        <f>SUM(F84:F132,F157:F172)</f>
        <v>2376634</v>
      </c>
    </row>
    <row r="175" spans="1:7" ht="12" customHeight="1" x14ac:dyDescent="0.2">
      <c r="A175" s="1770"/>
      <c r="B175" s="1784"/>
      <c r="C175" s="1785"/>
      <c r="D175" s="1786" t="s">
        <v>2052</v>
      </c>
      <c r="E175" s="1787"/>
      <c r="F175" s="1789">
        <f>'PCTC-OEPP 27-28'!F77-F174</f>
        <v>7953577</v>
      </c>
    </row>
    <row r="176" spans="1:7" ht="12" customHeight="1" x14ac:dyDescent="0.2">
      <c r="A176" s="1770"/>
      <c r="B176" s="1784"/>
      <c r="C176" s="1785"/>
      <c r="D176" s="1786" t="s">
        <v>1814</v>
      </c>
      <c r="E176" s="1787"/>
      <c r="F176" s="1789">
        <f>'Cap Outlay Deprec 26'!I18</f>
        <v>712702</v>
      </c>
    </row>
    <row r="177" spans="1:7" ht="12" customHeight="1" x14ac:dyDescent="0.2">
      <c r="A177" s="1770"/>
      <c r="B177" s="1784"/>
      <c r="C177" s="1785"/>
      <c r="D177" s="1786" t="s">
        <v>2053</v>
      </c>
      <c r="E177" s="1787"/>
      <c r="F177" s="1789">
        <f>F175+F176</f>
        <v>8666279</v>
      </c>
    </row>
    <row r="178" spans="1:7" ht="12" customHeight="1" x14ac:dyDescent="0.2">
      <c r="A178" s="1770"/>
      <c r="B178" s="1790"/>
      <c r="C178" s="1785"/>
      <c r="D178" s="1786" t="str">
        <f>D78</f>
        <v>9 Month ADA from District Average Daily Attendance/Prior General State Aid Inquiry 2018-2019</v>
      </c>
      <c r="E178" s="1787"/>
      <c r="F178" s="1791">
        <f>'PCTC-OEPP 27-28'!F78</f>
        <v>1124.0999999999999</v>
      </c>
      <c r="G178" s="930"/>
    </row>
    <row r="179" spans="1:7" ht="12" customHeight="1" thickBot="1" x14ac:dyDescent="0.25">
      <c r="A179" s="1770"/>
      <c r="B179" s="1790"/>
      <c r="C179" s="1785"/>
      <c r="D179" s="1786" t="s">
        <v>2054</v>
      </c>
      <c r="E179" s="1787" t="s">
        <v>1545</v>
      </c>
      <c r="F179" s="1792">
        <f>F177/F178</f>
        <v>7709.5267324971092</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1989</v>
      </c>
      <c r="B182" s="1923"/>
      <c r="C182" s="1924"/>
      <c r="D182" s="1923"/>
      <c r="E182" s="1924"/>
      <c r="F182" s="1923"/>
      <c r="G182" s="1923"/>
    </row>
    <row r="183" spans="1:7" s="1922" customFormat="1" ht="12.2" customHeight="1" x14ac:dyDescent="0.2">
      <c r="A183" s="1925" t="s">
        <v>1991</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16" zoomScaleNormal="100" workbookViewId="0">
      <selection activeCell="A29" sqref="A2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6" t="s">
        <v>1815</v>
      </c>
      <c r="B4" s="2277"/>
      <c r="C4" s="2277"/>
      <c r="D4" s="2277"/>
      <c r="E4" s="2277"/>
      <c r="F4" s="2277"/>
      <c r="G4" s="2278"/>
    </row>
    <row r="5" spans="1:7" x14ac:dyDescent="0.25">
      <c r="A5" s="2279"/>
      <c r="B5" s="2280"/>
      <c r="C5" s="2280"/>
      <c r="D5" s="2280"/>
      <c r="E5" s="2280"/>
      <c r="F5" s="2280"/>
      <c r="G5" s="2281"/>
    </row>
    <row r="6" spans="1:7" ht="18.75" x14ac:dyDescent="0.25">
      <c r="A6" s="1937" t="s">
        <v>2061</v>
      </c>
      <c r="B6" s="1938"/>
      <c r="C6" s="1938"/>
      <c r="D6" s="1938"/>
      <c r="E6" s="1938"/>
      <c r="F6" s="1938"/>
      <c r="G6" s="1939"/>
    </row>
    <row r="7" spans="1:7" ht="18.75" x14ac:dyDescent="0.25">
      <c r="A7" s="1534" t="s">
        <v>1816</v>
      </c>
      <c r="B7" s="1535"/>
      <c r="C7" s="1535"/>
      <c r="D7" s="1535"/>
      <c r="E7" s="1535"/>
      <c r="F7" s="1535"/>
      <c r="G7" s="1536"/>
    </row>
    <row r="8" spans="1:7" ht="30.75" customHeight="1" x14ac:dyDescent="0.25">
      <c r="A8" s="2282" t="s">
        <v>1928</v>
      </c>
      <c r="B8" s="2283"/>
      <c r="C8" s="2283"/>
      <c r="D8" s="2283"/>
      <c r="E8" s="2283"/>
      <c r="F8" s="2283"/>
      <c r="G8" s="2284"/>
    </row>
    <row r="9" spans="1:7" ht="15.75" customHeight="1" x14ac:dyDescent="0.25">
      <c r="A9" s="2285" t="s">
        <v>1903</v>
      </c>
      <c r="B9" s="2286"/>
      <c r="C9" s="2286"/>
      <c r="D9" s="2286"/>
      <c r="E9" s="2286"/>
      <c r="F9" s="2286"/>
      <c r="G9" s="2287"/>
    </row>
    <row r="10" spans="1:7" ht="35.25" customHeight="1" x14ac:dyDescent="0.25">
      <c r="A10" s="2282" t="s">
        <v>2060</v>
      </c>
      <c r="B10" s="2283"/>
      <c r="C10" s="2283"/>
      <c r="D10" s="2283"/>
      <c r="E10" s="2283"/>
      <c r="F10" s="2283"/>
      <c r="G10" s="2284"/>
    </row>
    <row r="11" spans="1:7" ht="15" customHeight="1" x14ac:dyDescent="0.25">
      <c r="A11" s="1537" t="s">
        <v>1817</v>
      </c>
      <c r="B11" s="1538"/>
      <c r="C11" s="1538"/>
      <c r="D11" s="1538"/>
      <c r="E11" s="1538"/>
      <c r="F11" s="1538"/>
      <c r="G11" s="1539"/>
    </row>
    <row r="12" spans="1:7" ht="17.25" customHeight="1" x14ac:dyDescent="0.25">
      <c r="A12" s="2282" t="s">
        <v>1930</v>
      </c>
      <c r="B12" s="2283"/>
      <c r="C12" s="2283"/>
      <c r="D12" s="2283"/>
      <c r="E12" s="2283"/>
      <c r="F12" s="2283"/>
      <c r="G12" s="2284"/>
    </row>
    <row r="13" spans="1:7" ht="15" customHeight="1" x14ac:dyDescent="0.25">
      <c r="A13" s="1537" t="s">
        <v>1822</v>
      </c>
      <c r="B13" s="1538"/>
      <c r="C13" s="1538"/>
      <c r="D13" s="1538"/>
      <c r="E13" s="1538"/>
      <c r="F13" s="1538"/>
      <c r="G13" s="1539"/>
    </row>
    <row r="14" spans="1:7" ht="32.25" customHeight="1" x14ac:dyDescent="0.25">
      <c r="A14" s="2273" t="s">
        <v>1971</v>
      </c>
      <c r="B14" s="2274"/>
      <c r="C14" s="2274"/>
      <c r="D14" s="2274"/>
      <c r="E14" s="2274"/>
      <c r="F14" s="2274"/>
      <c r="G14" s="2275"/>
    </row>
    <row r="15" spans="1:7" x14ac:dyDescent="0.25">
      <c r="A15" s="1661" t="s">
        <v>1830</v>
      </c>
      <c r="B15" s="1662"/>
      <c r="C15" s="1662"/>
      <c r="D15" s="1662"/>
      <c r="E15" s="1662"/>
      <c r="F15" s="1662"/>
      <c r="G15" s="1663"/>
    </row>
    <row r="16" spans="1:7" ht="61.5" customHeight="1" x14ac:dyDescent="0.25">
      <c r="A16" s="1546" t="s">
        <v>1823</v>
      </c>
      <c r="B16" s="1546" t="s">
        <v>1824</v>
      </c>
      <c r="C16" s="1546" t="s">
        <v>1825</v>
      </c>
      <c r="D16" s="1547" t="s">
        <v>1826</v>
      </c>
      <c r="E16" s="1547" t="s">
        <v>1818</v>
      </c>
      <c r="F16" s="1547" t="s">
        <v>1827</v>
      </c>
      <c r="G16" s="1547" t="s">
        <v>1828</v>
      </c>
    </row>
    <row r="17" spans="1:8" x14ac:dyDescent="0.25">
      <c r="A17" s="1648" t="s">
        <v>1831</v>
      </c>
      <c r="B17" s="1649" t="s">
        <v>1821</v>
      </c>
      <c r="C17" s="1650" t="s">
        <v>1819</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2" t="s">
        <v>2148</v>
      </c>
      <c r="B18" s="1943" t="s">
        <v>2149</v>
      </c>
      <c r="C18" s="1944" t="s">
        <v>2150</v>
      </c>
      <c r="D18" s="1844">
        <v>2665</v>
      </c>
      <c r="E18" s="1540">
        <f t="shared" ref="E18:E142" si="0">IF(D18&lt;=25000,D18,IF(D18&gt;25000,25000,0))</f>
        <v>2665</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2665</v>
      </c>
      <c r="G18" s="1793">
        <f>IF(F18=0,0,D18-F18)</f>
        <v>0</v>
      </c>
      <c r="H18" s="1647"/>
    </row>
    <row r="19" spans="1:8" x14ac:dyDescent="0.25">
      <c r="A19" s="1942" t="s">
        <v>2148</v>
      </c>
      <c r="B19" s="1943" t="s">
        <v>2149</v>
      </c>
      <c r="C19" s="1944" t="s">
        <v>2151</v>
      </c>
      <c r="D19" s="1844">
        <v>4770</v>
      </c>
      <c r="E19" s="1540">
        <f t="shared" ref="E19:E141" si="2">IF(D19&lt;=25000,D19,IF(D19&gt;25000,25000,0))</f>
        <v>4770</v>
      </c>
      <c r="F19" s="1936">
        <f t="shared" si="1"/>
        <v>4770</v>
      </c>
      <c r="G19" s="1793">
        <f t="shared" ref="G19:G141" si="3">IF(F19=0,0,D19-F19)</f>
        <v>0</v>
      </c>
    </row>
    <row r="20" spans="1:8" x14ac:dyDescent="0.25">
      <c r="A20" s="1942" t="s">
        <v>2148</v>
      </c>
      <c r="B20" s="1943" t="s">
        <v>2149</v>
      </c>
      <c r="C20" s="1944" t="s">
        <v>2152</v>
      </c>
      <c r="D20" s="1844">
        <v>2064</v>
      </c>
      <c r="E20" s="1540">
        <f t="shared" si="2"/>
        <v>2064</v>
      </c>
      <c r="F20" s="1936">
        <f t="shared" si="1"/>
        <v>2064</v>
      </c>
      <c r="G20" s="1793">
        <f t="shared" si="3"/>
        <v>0</v>
      </c>
    </row>
    <row r="21" spans="1:8" x14ac:dyDescent="0.25">
      <c r="A21" s="1942" t="s">
        <v>2148</v>
      </c>
      <c r="B21" s="1943" t="s">
        <v>2149</v>
      </c>
      <c r="C21" s="1944" t="s">
        <v>2153</v>
      </c>
      <c r="D21" s="1844">
        <v>3041</v>
      </c>
      <c r="E21" s="1540">
        <f t="shared" si="2"/>
        <v>3041</v>
      </c>
      <c r="F21" s="1936">
        <f t="shared" si="1"/>
        <v>3041</v>
      </c>
      <c r="G21" s="1793">
        <f t="shared" si="3"/>
        <v>0</v>
      </c>
    </row>
    <row r="22" spans="1:8" x14ac:dyDescent="0.25">
      <c r="A22" s="1942" t="s">
        <v>2164</v>
      </c>
      <c r="B22" s="1943" t="s">
        <v>2161</v>
      </c>
      <c r="C22" s="1944" t="s">
        <v>2154</v>
      </c>
      <c r="D22" s="1844">
        <v>13748</v>
      </c>
      <c r="E22" s="1540">
        <f t="shared" si="2"/>
        <v>13748</v>
      </c>
      <c r="F22" s="1936">
        <f t="shared" si="1"/>
        <v>13748</v>
      </c>
      <c r="G22" s="1793">
        <f t="shared" si="3"/>
        <v>0</v>
      </c>
    </row>
    <row r="23" spans="1:8" x14ac:dyDescent="0.25">
      <c r="A23" s="1942" t="s">
        <v>2165</v>
      </c>
      <c r="B23" s="1943" t="s">
        <v>2162</v>
      </c>
      <c r="C23" s="1944" t="s">
        <v>2155</v>
      </c>
      <c r="D23" s="1844">
        <v>8600</v>
      </c>
      <c r="E23" s="1540">
        <f t="shared" si="2"/>
        <v>8600</v>
      </c>
      <c r="F23" s="1936">
        <f t="shared" si="1"/>
        <v>8600</v>
      </c>
      <c r="G23" s="1793">
        <f t="shared" si="3"/>
        <v>0</v>
      </c>
    </row>
    <row r="24" spans="1:8" x14ac:dyDescent="0.25">
      <c r="A24" s="1942" t="s">
        <v>2165</v>
      </c>
      <c r="B24" s="1943" t="s">
        <v>2162</v>
      </c>
      <c r="C24" s="1944" t="s">
        <v>2156</v>
      </c>
      <c r="D24" s="1844">
        <v>11354</v>
      </c>
      <c r="E24" s="1540">
        <f t="shared" si="2"/>
        <v>11354</v>
      </c>
      <c r="F24" s="1936">
        <f t="shared" si="1"/>
        <v>11354</v>
      </c>
      <c r="G24" s="1793">
        <f t="shared" si="3"/>
        <v>0</v>
      </c>
    </row>
    <row r="25" spans="1:8" x14ac:dyDescent="0.25">
      <c r="A25" s="1942" t="s">
        <v>2165</v>
      </c>
      <c r="B25" s="1943" t="s">
        <v>2162</v>
      </c>
      <c r="C25" s="1944" t="s">
        <v>2157</v>
      </c>
      <c r="D25" s="1844">
        <v>943</v>
      </c>
      <c r="E25" s="1540">
        <f t="shared" si="2"/>
        <v>943</v>
      </c>
      <c r="F25" s="1936">
        <f t="shared" si="1"/>
        <v>943</v>
      </c>
      <c r="G25" s="1793">
        <f t="shared" si="3"/>
        <v>0</v>
      </c>
    </row>
    <row r="26" spans="1:8" x14ac:dyDescent="0.25">
      <c r="A26" s="1942" t="s">
        <v>2166</v>
      </c>
      <c r="B26" s="1943" t="s">
        <v>2163</v>
      </c>
      <c r="C26" s="1944" t="s">
        <v>2158</v>
      </c>
      <c r="D26" s="1844">
        <v>18089</v>
      </c>
      <c r="E26" s="1540">
        <f t="shared" si="2"/>
        <v>18089</v>
      </c>
      <c r="F26" s="1936">
        <f t="shared" si="1"/>
        <v>18089</v>
      </c>
      <c r="G26" s="1793">
        <f t="shared" si="3"/>
        <v>0</v>
      </c>
    </row>
    <row r="27" spans="1:8" x14ac:dyDescent="0.25">
      <c r="A27" s="1942" t="s">
        <v>2166</v>
      </c>
      <c r="B27" s="1943" t="s">
        <v>2163</v>
      </c>
      <c r="C27" s="1944" t="s">
        <v>2159</v>
      </c>
      <c r="D27" s="1844">
        <v>2312</v>
      </c>
      <c r="E27" s="1540">
        <f t="shared" si="2"/>
        <v>2312</v>
      </c>
      <c r="F27" s="1936">
        <f t="shared" si="1"/>
        <v>2312</v>
      </c>
      <c r="G27" s="1793">
        <f t="shared" si="3"/>
        <v>0</v>
      </c>
    </row>
    <row r="28" spans="1:8" x14ac:dyDescent="0.25">
      <c r="A28" s="1942" t="s">
        <v>2166</v>
      </c>
      <c r="B28" s="1943" t="s">
        <v>2163</v>
      </c>
      <c r="C28" s="1944" t="s">
        <v>2160</v>
      </c>
      <c r="D28" s="1844">
        <v>671</v>
      </c>
      <c r="E28" s="1540">
        <f t="shared" si="2"/>
        <v>671</v>
      </c>
      <c r="F28" s="1936">
        <f t="shared" si="1"/>
        <v>671</v>
      </c>
      <c r="G28" s="1793">
        <f t="shared" si="3"/>
        <v>0</v>
      </c>
    </row>
    <row r="29" spans="1:8" x14ac:dyDescent="0.25">
      <c r="A29" s="1653"/>
      <c r="B29" s="1933"/>
      <c r="C29" s="1654"/>
      <c r="D29" s="1844"/>
      <c r="E29" s="1540">
        <f t="shared" si="2"/>
        <v>0</v>
      </c>
      <c r="F29" s="1936">
        <f t="shared" si="1"/>
        <v>0</v>
      </c>
      <c r="G29" s="1793">
        <f t="shared" si="3"/>
        <v>0</v>
      </c>
    </row>
    <row r="30" spans="1:8" x14ac:dyDescent="0.25">
      <c r="A30" s="1653"/>
      <c r="B30" s="1933"/>
      <c r="C30" s="1654"/>
      <c r="D30" s="1844"/>
      <c r="E30" s="1540">
        <f t="shared" si="2"/>
        <v>0</v>
      </c>
      <c r="F30" s="1936">
        <f t="shared" si="1"/>
        <v>0</v>
      </c>
      <c r="G30" s="1793">
        <f t="shared" si="3"/>
        <v>0</v>
      </c>
    </row>
    <row r="31" spans="1:8" x14ac:dyDescent="0.25">
      <c r="A31" s="1653"/>
      <c r="B31" s="1933"/>
      <c r="C31" s="1654"/>
      <c r="D31" s="1844"/>
      <c r="E31" s="1540">
        <f t="shared" si="2"/>
        <v>0</v>
      </c>
      <c r="F31" s="1936">
        <f t="shared" si="1"/>
        <v>0</v>
      </c>
      <c r="G31" s="1793">
        <f t="shared" si="3"/>
        <v>0</v>
      </c>
    </row>
    <row r="32" spans="1:8" x14ac:dyDescent="0.25">
      <c r="A32" s="1653"/>
      <c r="B32" s="1933"/>
      <c r="C32" s="1654"/>
      <c r="D32" s="1844"/>
      <c r="E32" s="1540">
        <f t="shared" si="2"/>
        <v>0</v>
      </c>
      <c r="F32" s="1936">
        <f t="shared" si="1"/>
        <v>0</v>
      </c>
      <c r="G32" s="1793">
        <f t="shared" si="3"/>
        <v>0</v>
      </c>
    </row>
    <row r="33" spans="1:7" x14ac:dyDescent="0.25">
      <c r="A33" s="1653"/>
      <c r="B33" s="1933"/>
      <c r="C33" s="1654"/>
      <c r="D33" s="1844"/>
      <c r="E33" s="1540">
        <f t="shared" si="2"/>
        <v>0</v>
      </c>
      <c r="F33" s="1936">
        <f t="shared" si="1"/>
        <v>0</v>
      </c>
      <c r="G33" s="1793">
        <f t="shared" si="3"/>
        <v>0</v>
      </c>
    </row>
    <row r="34" spans="1:7" x14ac:dyDescent="0.25">
      <c r="A34" s="1653"/>
      <c r="B34" s="1933"/>
      <c r="C34" s="1654"/>
      <c r="D34" s="1844"/>
      <c r="E34" s="1540">
        <f t="shared" si="2"/>
        <v>0</v>
      </c>
      <c r="F34" s="1936">
        <f t="shared" si="1"/>
        <v>0</v>
      </c>
      <c r="G34" s="1793">
        <f t="shared" si="3"/>
        <v>0</v>
      </c>
    </row>
    <row r="35" spans="1:7" x14ac:dyDescent="0.25">
      <c r="A35" s="1653"/>
      <c r="B35" s="1933"/>
      <c r="C35" s="1654"/>
      <c r="D35" s="1844"/>
      <c r="E35" s="1540">
        <f t="shared" si="2"/>
        <v>0</v>
      </c>
      <c r="F35" s="1936">
        <f t="shared" si="1"/>
        <v>0</v>
      </c>
      <c r="G35" s="1793">
        <f t="shared" si="3"/>
        <v>0</v>
      </c>
    </row>
    <row r="36" spans="1:7" x14ac:dyDescent="0.25">
      <c r="A36" s="1653"/>
      <c r="B36" s="1933"/>
      <c r="C36" s="1654"/>
      <c r="D36" s="1844"/>
      <c r="E36" s="1540">
        <f t="shared" si="2"/>
        <v>0</v>
      </c>
      <c r="F36" s="1936">
        <f t="shared" si="1"/>
        <v>0</v>
      </c>
      <c r="G36" s="1793">
        <f t="shared" si="3"/>
        <v>0</v>
      </c>
    </row>
    <row r="37" spans="1:7" x14ac:dyDescent="0.25">
      <c r="A37" s="1653"/>
      <c r="B37" s="1933"/>
      <c r="C37" s="1654"/>
      <c r="D37" s="1844"/>
      <c r="E37" s="1540">
        <f t="shared" si="2"/>
        <v>0</v>
      </c>
      <c r="F37" s="1936">
        <f t="shared" si="1"/>
        <v>0</v>
      </c>
      <c r="G37" s="1793">
        <f t="shared" si="3"/>
        <v>0</v>
      </c>
    </row>
    <row r="38" spans="1:7" x14ac:dyDescent="0.25">
      <c r="A38" s="1653"/>
      <c r="B38" s="1933"/>
      <c r="C38" s="1654"/>
      <c r="D38" s="1844"/>
      <c r="E38" s="1540">
        <f t="shared" si="2"/>
        <v>0</v>
      </c>
      <c r="F38" s="1936">
        <f t="shared" si="1"/>
        <v>0</v>
      </c>
      <c r="G38" s="1793">
        <f t="shared" si="3"/>
        <v>0</v>
      </c>
    </row>
    <row r="39" spans="1:7" x14ac:dyDescent="0.25">
      <c r="A39" s="1653"/>
      <c r="B39" s="1934"/>
      <c r="C39" s="1654"/>
      <c r="D39" s="1844"/>
      <c r="E39" s="1540">
        <f t="shared" si="2"/>
        <v>0</v>
      </c>
      <c r="F39" s="1936">
        <f t="shared" si="1"/>
        <v>0</v>
      </c>
      <c r="G39" s="1793">
        <f t="shared" si="3"/>
        <v>0</v>
      </c>
    </row>
    <row r="40" spans="1:7" x14ac:dyDescent="0.25">
      <c r="A40" s="1653"/>
      <c r="B40" s="1934"/>
      <c r="C40" s="1654"/>
      <c r="D40" s="1844"/>
      <c r="E40" s="1540">
        <f t="shared" si="2"/>
        <v>0</v>
      </c>
      <c r="F40" s="1936">
        <f t="shared" si="1"/>
        <v>0</v>
      </c>
      <c r="G40" s="1793">
        <f t="shared" si="3"/>
        <v>0</v>
      </c>
    </row>
    <row r="41" spans="1:7" x14ac:dyDescent="0.25">
      <c r="A41" s="1653"/>
      <c r="B41" s="1934"/>
      <c r="C41" s="1654"/>
      <c r="D41" s="1844"/>
      <c r="E41" s="1540">
        <f t="shared" si="2"/>
        <v>0</v>
      </c>
      <c r="F41" s="1936">
        <f t="shared" si="1"/>
        <v>0</v>
      </c>
      <c r="G41" s="1793">
        <f t="shared" si="3"/>
        <v>0</v>
      </c>
    </row>
    <row r="42" spans="1:7" x14ac:dyDescent="0.25">
      <c r="A42" s="1653"/>
      <c r="B42" s="1934"/>
      <c r="C42" s="1654"/>
      <c r="D42" s="1844"/>
      <c r="E42" s="1540">
        <f t="shared" si="2"/>
        <v>0</v>
      </c>
      <c r="F42" s="1936">
        <f t="shared" si="1"/>
        <v>0</v>
      </c>
      <c r="G42" s="1793">
        <f t="shared" si="3"/>
        <v>0</v>
      </c>
    </row>
    <row r="43" spans="1:7" x14ac:dyDescent="0.25">
      <c r="A43" s="1653"/>
      <c r="B43" s="1934"/>
      <c r="C43" s="1654"/>
      <c r="D43" s="1844"/>
      <c r="E43" s="1540">
        <f t="shared" si="2"/>
        <v>0</v>
      </c>
      <c r="F43" s="1936">
        <f t="shared" si="1"/>
        <v>0</v>
      </c>
      <c r="G43" s="1793">
        <f t="shared" si="3"/>
        <v>0</v>
      </c>
    </row>
    <row r="44" spans="1:7" x14ac:dyDescent="0.25">
      <c r="A44" s="1653"/>
      <c r="B44" s="1934"/>
      <c r="C44" s="1654"/>
      <c r="D44" s="1844"/>
      <c r="E44" s="1540">
        <f t="shared" si="2"/>
        <v>0</v>
      </c>
      <c r="F44" s="1936">
        <f t="shared" si="1"/>
        <v>0</v>
      </c>
      <c r="G44" s="1793">
        <f t="shared" si="3"/>
        <v>0</v>
      </c>
    </row>
    <row r="45" spans="1:7" x14ac:dyDescent="0.25">
      <c r="A45" s="1653"/>
      <c r="B45" s="1934"/>
      <c r="C45" s="1654"/>
      <c r="D45" s="1844"/>
      <c r="E45" s="1540">
        <f t="shared" si="2"/>
        <v>0</v>
      </c>
      <c r="F45" s="1936">
        <f t="shared" si="1"/>
        <v>0</v>
      </c>
      <c r="G45" s="1793">
        <f t="shared" si="3"/>
        <v>0</v>
      </c>
    </row>
    <row r="46" spans="1:7" x14ac:dyDescent="0.25">
      <c r="A46" s="1653"/>
      <c r="B46" s="1934"/>
      <c r="C46" s="1654"/>
      <c r="D46" s="1844"/>
      <c r="E46" s="1540">
        <f t="shared" si="2"/>
        <v>0</v>
      </c>
      <c r="F46" s="1936">
        <f t="shared" si="1"/>
        <v>0</v>
      </c>
      <c r="G46" s="1793">
        <f t="shared" si="3"/>
        <v>0</v>
      </c>
    </row>
    <row r="47" spans="1:7" x14ac:dyDescent="0.25">
      <c r="A47" s="1653"/>
      <c r="B47" s="1667"/>
      <c r="C47" s="1654"/>
      <c r="D47" s="1844"/>
      <c r="E47" s="1540">
        <f t="shared" si="2"/>
        <v>0</v>
      </c>
      <c r="F47" s="1936">
        <f t="shared" si="1"/>
        <v>0</v>
      </c>
      <c r="G47" s="1793">
        <f t="shared" si="3"/>
        <v>0</v>
      </c>
    </row>
    <row r="48" spans="1:7" x14ac:dyDescent="0.25">
      <c r="A48" s="1653"/>
      <c r="B48" s="1667"/>
      <c r="C48" s="1654"/>
      <c r="D48" s="1844"/>
      <c r="E48" s="1540">
        <f t="shared" si="2"/>
        <v>0</v>
      </c>
      <c r="F48" s="1936">
        <f t="shared" si="1"/>
        <v>0</v>
      </c>
      <c r="G48" s="1793">
        <f t="shared" si="3"/>
        <v>0</v>
      </c>
    </row>
    <row r="49" spans="1:7" x14ac:dyDescent="0.25">
      <c r="A49" s="1653"/>
      <c r="B49" s="1667"/>
      <c r="C49" s="1654"/>
      <c r="D49" s="1844"/>
      <c r="E49" s="1540">
        <f t="shared" si="2"/>
        <v>0</v>
      </c>
      <c r="F49" s="1936">
        <f t="shared" si="1"/>
        <v>0</v>
      </c>
      <c r="G49" s="1793">
        <f t="shared" si="3"/>
        <v>0</v>
      </c>
    </row>
    <row r="50" spans="1:7" x14ac:dyDescent="0.25">
      <c r="A50" s="1653"/>
      <c r="B50" s="1667"/>
      <c r="C50" s="1654"/>
      <c r="D50" s="1844"/>
      <c r="E50" s="1540">
        <f t="shared" si="2"/>
        <v>0</v>
      </c>
      <c r="F50" s="1936">
        <f t="shared" si="1"/>
        <v>0</v>
      </c>
      <c r="G50" s="1793">
        <f t="shared" si="3"/>
        <v>0</v>
      </c>
    </row>
    <row r="51" spans="1:7" x14ac:dyDescent="0.25">
      <c r="A51" s="1653"/>
      <c r="B51" s="1667"/>
      <c r="C51" s="1654"/>
      <c r="D51" s="1844"/>
      <c r="E51" s="1540">
        <f t="shared" si="2"/>
        <v>0</v>
      </c>
      <c r="F51" s="1936">
        <f t="shared" si="1"/>
        <v>0</v>
      </c>
      <c r="G51" s="1793">
        <f t="shared" si="3"/>
        <v>0</v>
      </c>
    </row>
    <row r="52" spans="1:7" x14ac:dyDescent="0.25">
      <c r="A52" s="1653"/>
      <c r="B52" s="1667"/>
      <c r="C52" s="1654"/>
      <c r="D52" s="1844"/>
      <c r="E52" s="1540">
        <f t="shared" si="2"/>
        <v>0</v>
      </c>
      <c r="F52" s="1936">
        <f t="shared" si="1"/>
        <v>0</v>
      </c>
      <c r="G52" s="1793">
        <f t="shared" si="3"/>
        <v>0</v>
      </c>
    </row>
    <row r="53" spans="1:7" x14ac:dyDescent="0.25">
      <c r="A53" s="1653"/>
      <c r="B53" s="1667"/>
      <c r="C53" s="1654"/>
      <c r="D53" s="1844"/>
      <c r="E53" s="1540">
        <f t="shared" si="2"/>
        <v>0</v>
      </c>
      <c r="F53" s="1936">
        <f t="shared" si="1"/>
        <v>0</v>
      </c>
      <c r="G53" s="1793">
        <f t="shared" si="3"/>
        <v>0</v>
      </c>
    </row>
    <row r="54" spans="1:7" x14ac:dyDescent="0.25">
      <c r="A54" s="1653"/>
      <c r="B54" s="1667"/>
      <c r="C54" s="1654"/>
      <c r="D54" s="1844"/>
      <c r="E54" s="1540">
        <f t="shared" si="2"/>
        <v>0</v>
      </c>
      <c r="F54" s="1936">
        <f t="shared" si="1"/>
        <v>0</v>
      </c>
      <c r="G54" s="1793">
        <f t="shared" si="3"/>
        <v>0</v>
      </c>
    </row>
    <row r="55" spans="1:7" x14ac:dyDescent="0.25">
      <c r="A55" s="1653"/>
      <c r="B55" s="1667"/>
      <c r="C55" s="1654"/>
      <c r="D55" s="1844"/>
      <c r="E55" s="1540">
        <f t="shared" si="2"/>
        <v>0</v>
      </c>
      <c r="F55" s="1936">
        <f t="shared" si="1"/>
        <v>0</v>
      </c>
      <c r="G55" s="1793">
        <f t="shared" si="3"/>
        <v>0</v>
      </c>
    </row>
    <row r="56" spans="1:7" x14ac:dyDescent="0.25">
      <c r="A56" s="1653"/>
      <c r="B56" s="1667"/>
      <c r="C56" s="1654"/>
      <c r="D56" s="1844"/>
      <c r="E56" s="1540">
        <f t="shared" si="2"/>
        <v>0</v>
      </c>
      <c r="F56" s="1936">
        <f t="shared" si="1"/>
        <v>0</v>
      </c>
      <c r="G56" s="1793">
        <f t="shared" si="3"/>
        <v>0</v>
      </c>
    </row>
    <row r="57" spans="1:7" x14ac:dyDescent="0.25">
      <c r="A57" s="1653"/>
      <c r="B57" s="1667"/>
      <c r="C57" s="1654"/>
      <c r="D57" s="1844"/>
      <c r="E57" s="1540">
        <f t="shared" si="2"/>
        <v>0</v>
      </c>
      <c r="F57" s="1936">
        <f t="shared" si="1"/>
        <v>0</v>
      </c>
      <c r="G57" s="1793">
        <f t="shared" si="3"/>
        <v>0</v>
      </c>
    </row>
    <row r="58" spans="1:7" x14ac:dyDescent="0.25">
      <c r="A58" s="1653"/>
      <c r="B58" s="1667"/>
      <c r="C58" s="1654"/>
      <c r="D58" s="1844"/>
      <c r="E58" s="1540">
        <f t="shared" si="2"/>
        <v>0</v>
      </c>
      <c r="F58" s="1936">
        <f t="shared" si="1"/>
        <v>0</v>
      </c>
      <c r="G58" s="1793">
        <f t="shared" si="3"/>
        <v>0</v>
      </c>
    </row>
    <row r="59" spans="1:7" x14ac:dyDescent="0.25">
      <c r="A59" s="1653"/>
      <c r="B59" s="1667"/>
      <c r="C59" s="1654"/>
      <c r="D59" s="1844"/>
      <c r="E59" s="1540">
        <f t="shared" si="2"/>
        <v>0</v>
      </c>
      <c r="F59" s="1936">
        <f t="shared" si="1"/>
        <v>0</v>
      </c>
      <c r="G59" s="1793">
        <f t="shared" si="3"/>
        <v>0</v>
      </c>
    </row>
    <row r="60" spans="1:7" x14ac:dyDescent="0.25">
      <c r="A60" s="1653"/>
      <c r="B60" s="1667"/>
      <c r="C60" s="1654"/>
      <c r="D60" s="1844"/>
      <c r="E60" s="1540">
        <f t="shared" si="2"/>
        <v>0</v>
      </c>
      <c r="F60" s="1936">
        <f t="shared" si="1"/>
        <v>0</v>
      </c>
      <c r="G60" s="1793">
        <f t="shared" si="3"/>
        <v>0</v>
      </c>
    </row>
    <row r="61" spans="1:7" x14ac:dyDescent="0.25">
      <c r="A61" s="1653"/>
      <c r="B61" s="1667"/>
      <c r="C61" s="1654"/>
      <c r="D61" s="1844"/>
      <c r="E61" s="1540">
        <f t="shared" si="2"/>
        <v>0</v>
      </c>
      <c r="F61" s="1936">
        <f t="shared" si="1"/>
        <v>0</v>
      </c>
      <c r="G61" s="1793">
        <f t="shared" si="3"/>
        <v>0</v>
      </c>
    </row>
    <row r="62" spans="1:7" x14ac:dyDescent="0.25">
      <c r="A62" s="1653"/>
      <c r="B62" s="1667"/>
      <c r="C62" s="1654"/>
      <c r="D62" s="1844"/>
      <c r="E62" s="1540">
        <f t="shared" si="2"/>
        <v>0</v>
      </c>
      <c r="F62" s="1936">
        <f t="shared" si="1"/>
        <v>0</v>
      </c>
      <c r="G62" s="1793">
        <f t="shared" si="3"/>
        <v>0</v>
      </c>
    </row>
    <row r="63" spans="1:7" x14ac:dyDescent="0.25">
      <c r="A63" s="1653"/>
      <c r="B63" s="1667"/>
      <c r="C63" s="1654"/>
      <c r="D63" s="1844"/>
      <c r="E63" s="1540">
        <f t="shared" si="2"/>
        <v>0</v>
      </c>
      <c r="F63" s="1936">
        <f t="shared" si="1"/>
        <v>0</v>
      </c>
      <c r="G63" s="1793">
        <f t="shared" si="3"/>
        <v>0</v>
      </c>
    </row>
    <row r="64" spans="1:7" x14ac:dyDescent="0.25">
      <c r="A64" s="1653"/>
      <c r="B64" s="1667"/>
      <c r="C64" s="1654"/>
      <c r="D64" s="1844"/>
      <c r="E64" s="1540">
        <f t="shared" si="2"/>
        <v>0</v>
      </c>
      <c r="F64" s="1936">
        <f t="shared" si="1"/>
        <v>0</v>
      </c>
      <c r="G64" s="1793">
        <f t="shared" si="3"/>
        <v>0</v>
      </c>
    </row>
    <row r="65" spans="1:7" x14ac:dyDescent="0.25">
      <c r="A65" s="1655"/>
      <c r="B65" s="1667"/>
      <c r="C65" s="1656"/>
      <c r="D65" s="1844"/>
      <c r="E65" s="1540">
        <f t="shared" si="2"/>
        <v>0</v>
      </c>
      <c r="F65" s="1936">
        <f t="shared" si="1"/>
        <v>0</v>
      </c>
      <c r="G65" s="1793">
        <f t="shared" si="3"/>
        <v>0</v>
      </c>
    </row>
    <row r="66" spans="1:7" x14ac:dyDescent="0.25">
      <c r="A66" s="1653"/>
      <c r="B66" s="1667"/>
      <c r="C66" s="1654"/>
      <c r="D66" s="1844"/>
      <c r="E66" s="1540">
        <f t="shared" si="2"/>
        <v>0</v>
      </c>
      <c r="F66" s="1936">
        <f t="shared" si="1"/>
        <v>0</v>
      </c>
      <c r="G66" s="1793">
        <f t="shared" si="3"/>
        <v>0</v>
      </c>
    </row>
    <row r="67" spans="1:7" x14ac:dyDescent="0.25">
      <c r="A67" s="1653"/>
      <c r="B67" s="1667"/>
      <c r="C67" s="1654"/>
      <c r="D67" s="1844"/>
      <c r="E67" s="1540">
        <f t="shared" si="2"/>
        <v>0</v>
      </c>
      <c r="F67" s="1936">
        <f t="shared" si="1"/>
        <v>0</v>
      </c>
      <c r="G67" s="1793">
        <f t="shared" si="3"/>
        <v>0</v>
      </c>
    </row>
    <row r="68" spans="1:7" x14ac:dyDescent="0.25">
      <c r="A68" s="1653"/>
      <c r="B68" s="1667"/>
      <c r="C68" s="1654"/>
      <c r="D68" s="1844"/>
      <c r="E68" s="1540">
        <f t="shared" si="2"/>
        <v>0</v>
      </c>
      <c r="F68" s="1936">
        <f t="shared" si="1"/>
        <v>0</v>
      </c>
      <c r="G68" s="1793">
        <f t="shared" si="3"/>
        <v>0</v>
      </c>
    </row>
    <row r="69" spans="1:7" x14ac:dyDescent="0.25">
      <c r="A69" s="1653"/>
      <c r="B69" s="1667"/>
      <c r="C69" s="1654"/>
      <c r="D69" s="1844"/>
      <c r="E69" s="1540">
        <f t="shared" si="2"/>
        <v>0</v>
      </c>
      <c r="F69" s="1936">
        <f t="shared" si="1"/>
        <v>0</v>
      </c>
      <c r="G69" s="1793">
        <f t="shared" si="3"/>
        <v>0</v>
      </c>
    </row>
    <row r="70" spans="1:7" x14ac:dyDescent="0.25">
      <c r="A70" s="1653"/>
      <c r="B70" s="1667"/>
      <c r="C70" s="1654"/>
      <c r="D70" s="1844"/>
      <c r="E70" s="1540">
        <f t="shared" si="2"/>
        <v>0</v>
      </c>
      <c r="F70" s="1936">
        <f t="shared" si="1"/>
        <v>0</v>
      </c>
      <c r="G70" s="1793">
        <f t="shared" si="3"/>
        <v>0</v>
      </c>
    </row>
    <row r="71" spans="1:7" x14ac:dyDescent="0.25">
      <c r="A71" s="1653"/>
      <c r="B71" s="1667"/>
      <c r="C71" s="1654"/>
      <c r="D71" s="1844"/>
      <c r="E71" s="1540">
        <f t="shared" si="2"/>
        <v>0</v>
      </c>
      <c r="F71" s="1936">
        <f t="shared" si="1"/>
        <v>0</v>
      </c>
      <c r="G71" s="1793">
        <f t="shared" si="3"/>
        <v>0</v>
      </c>
    </row>
    <row r="72" spans="1:7" x14ac:dyDescent="0.25">
      <c r="A72" s="1653"/>
      <c r="B72" s="1667"/>
      <c r="C72" s="1654"/>
      <c r="D72" s="1844"/>
      <c r="E72" s="1540">
        <f t="shared" si="2"/>
        <v>0</v>
      </c>
      <c r="F72" s="1936">
        <f t="shared" si="1"/>
        <v>0</v>
      </c>
      <c r="G72" s="1793">
        <f t="shared" si="3"/>
        <v>0</v>
      </c>
    </row>
    <row r="73" spans="1:7" x14ac:dyDescent="0.25">
      <c r="A73" s="1653"/>
      <c r="B73" s="1667"/>
      <c r="C73" s="1654"/>
      <c r="D73" s="1844"/>
      <c r="E73" s="1540">
        <f t="shared" si="2"/>
        <v>0</v>
      </c>
      <c r="F73" s="1936">
        <f t="shared" si="1"/>
        <v>0</v>
      </c>
      <c r="G73" s="1793">
        <f t="shared" si="3"/>
        <v>0</v>
      </c>
    </row>
    <row r="74" spans="1:7" x14ac:dyDescent="0.25">
      <c r="A74" s="1653"/>
      <c r="B74" s="1667"/>
      <c r="C74" s="1654"/>
      <c r="D74" s="1844"/>
      <c r="E74" s="1540">
        <f t="shared" ref="E74:E85" si="4">IF(D74&lt;=25000,D74,IF(D74&gt;25000,25000,0))</f>
        <v>0</v>
      </c>
      <c r="F74" s="1936">
        <f t="shared" si="1"/>
        <v>0</v>
      </c>
      <c r="G74" s="1793">
        <f t="shared" ref="G74:G85" si="5">IF(F74=0,0,D74-F74)</f>
        <v>0</v>
      </c>
    </row>
    <row r="75" spans="1:7" x14ac:dyDescent="0.25">
      <c r="A75" s="1653"/>
      <c r="B75" s="1667"/>
      <c r="C75" s="1654"/>
      <c r="D75" s="1844"/>
      <c r="E75" s="1540">
        <f t="shared" si="4"/>
        <v>0</v>
      </c>
      <c r="F75" s="1936">
        <f t="shared" si="1"/>
        <v>0</v>
      </c>
      <c r="G75" s="1793">
        <f t="shared" si="5"/>
        <v>0</v>
      </c>
    </row>
    <row r="76" spans="1:7" x14ac:dyDescent="0.25">
      <c r="A76" s="1653"/>
      <c r="B76" s="1667"/>
      <c r="C76" s="1654"/>
      <c r="D76" s="1844"/>
      <c r="E76" s="1540">
        <f t="shared" si="4"/>
        <v>0</v>
      </c>
      <c r="F76" s="1936">
        <f t="shared" si="1"/>
        <v>0</v>
      </c>
      <c r="G76" s="1793">
        <f t="shared" si="5"/>
        <v>0</v>
      </c>
    </row>
    <row r="77" spans="1:7" x14ac:dyDescent="0.25">
      <c r="A77" s="1653"/>
      <c r="B77" s="1667"/>
      <c r="C77" s="1654"/>
      <c r="D77" s="1844"/>
      <c r="E77" s="1540">
        <f t="shared" si="4"/>
        <v>0</v>
      </c>
      <c r="F77" s="1936">
        <f t="shared" si="1"/>
        <v>0</v>
      </c>
      <c r="G77" s="1793">
        <f t="shared" si="5"/>
        <v>0</v>
      </c>
    </row>
    <row r="78" spans="1:7" x14ac:dyDescent="0.25">
      <c r="A78" s="1653"/>
      <c r="B78" s="1667"/>
      <c r="C78" s="1654"/>
      <c r="D78" s="1844"/>
      <c r="E78" s="1540">
        <f t="shared" si="4"/>
        <v>0</v>
      </c>
      <c r="F78" s="1936">
        <f t="shared" si="1"/>
        <v>0</v>
      </c>
      <c r="G78" s="1793">
        <f t="shared" si="5"/>
        <v>0</v>
      </c>
    </row>
    <row r="79" spans="1:7" x14ac:dyDescent="0.25">
      <c r="A79" s="1653"/>
      <c r="B79" s="1667"/>
      <c r="C79" s="1654"/>
      <c r="D79" s="1844"/>
      <c r="E79" s="1540">
        <f t="shared" si="4"/>
        <v>0</v>
      </c>
      <c r="F79" s="1936">
        <f t="shared" si="1"/>
        <v>0</v>
      </c>
      <c r="G79" s="1793">
        <f t="shared" si="5"/>
        <v>0</v>
      </c>
    </row>
    <row r="80" spans="1:7" x14ac:dyDescent="0.25">
      <c r="A80" s="1653"/>
      <c r="B80" s="1667"/>
      <c r="C80" s="1654"/>
      <c r="D80" s="1844"/>
      <c r="E80" s="1540">
        <f t="shared" si="4"/>
        <v>0</v>
      </c>
      <c r="F80" s="1936">
        <f t="shared" si="1"/>
        <v>0</v>
      </c>
      <c r="G80" s="1793">
        <f t="shared" si="5"/>
        <v>0</v>
      </c>
    </row>
    <row r="81" spans="1:7" x14ac:dyDescent="0.25">
      <c r="A81" s="1653"/>
      <c r="B81" s="1667"/>
      <c r="C81" s="1654"/>
      <c r="D81" s="1844"/>
      <c r="E81" s="1540">
        <f t="shared" si="4"/>
        <v>0</v>
      </c>
      <c r="F81" s="1936">
        <f t="shared" si="1"/>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2"/>
        <v>0</v>
      </c>
      <c r="F86" s="1936">
        <f t="shared" si="6"/>
        <v>0</v>
      </c>
      <c r="G86" s="1793">
        <f t="shared" si="3"/>
        <v>0</v>
      </c>
    </row>
    <row r="87" spans="1:7" x14ac:dyDescent="0.25">
      <c r="A87" s="1653"/>
      <c r="B87" s="1667"/>
      <c r="C87" s="1654"/>
      <c r="D87" s="1844"/>
      <c r="E87" s="1540">
        <f t="shared" si="2"/>
        <v>0</v>
      </c>
      <c r="F87" s="1936">
        <f t="shared" si="6"/>
        <v>0</v>
      </c>
      <c r="G87" s="1793">
        <f t="shared" si="3"/>
        <v>0</v>
      </c>
    </row>
    <row r="88" spans="1:7" x14ac:dyDescent="0.25">
      <c r="A88" s="1653"/>
      <c r="B88" s="1667"/>
      <c r="C88" s="1654"/>
      <c r="D88" s="1844"/>
      <c r="E88" s="1540">
        <f t="shared" si="2"/>
        <v>0</v>
      </c>
      <c r="F88" s="1936">
        <f t="shared" si="6"/>
        <v>0</v>
      </c>
      <c r="G88" s="1793">
        <f t="shared" si="3"/>
        <v>0</v>
      </c>
    </row>
    <row r="89" spans="1:7" x14ac:dyDescent="0.25">
      <c r="A89" s="1653"/>
      <c r="B89" s="1667"/>
      <c r="C89" s="1654"/>
      <c r="D89" s="1844"/>
      <c r="E89" s="1540">
        <f t="shared" si="2"/>
        <v>0</v>
      </c>
      <c r="F89" s="1936">
        <f t="shared" si="6"/>
        <v>0</v>
      </c>
      <c r="G89" s="1793">
        <f t="shared" si="3"/>
        <v>0</v>
      </c>
    </row>
    <row r="90" spans="1:7" x14ac:dyDescent="0.25">
      <c r="A90" s="1653"/>
      <c r="B90" s="1667"/>
      <c r="C90" s="1654"/>
      <c r="D90" s="1844"/>
      <c r="E90" s="1540">
        <f t="shared" si="2"/>
        <v>0</v>
      </c>
      <c r="F90" s="1936">
        <f t="shared" si="6"/>
        <v>0</v>
      </c>
      <c r="G90" s="1793">
        <f t="shared" si="3"/>
        <v>0</v>
      </c>
    </row>
    <row r="91" spans="1:7" x14ac:dyDescent="0.25">
      <c r="A91" s="1653"/>
      <c r="B91" s="1667"/>
      <c r="C91" s="1654"/>
      <c r="D91" s="1844"/>
      <c r="E91" s="1540">
        <f t="shared" si="2"/>
        <v>0</v>
      </c>
      <c r="F91" s="1936">
        <f t="shared" si="6"/>
        <v>0</v>
      </c>
      <c r="G91" s="1793">
        <f t="shared" si="3"/>
        <v>0</v>
      </c>
    </row>
    <row r="92" spans="1:7" x14ac:dyDescent="0.25">
      <c r="A92" s="1653"/>
      <c r="B92" s="1667"/>
      <c r="C92" s="1654"/>
      <c r="D92" s="1844"/>
      <c r="E92" s="1540">
        <f t="shared" si="2"/>
        <v>0</v>
      </c>
      <c r="F92" s="1936">
        <f t="shared" si="6"/>
        <v>0</v>
      </c>
      <c r="G92" s="1793">
        <f t="shared" si="3"/>
        <v>0</v>
      </c>
    </row>
    <row r="93" spans="1:7" x14ac:dyDescent="0.25">
      <c r="A93" s="1653"/>
      <c r="B93" s="1667"/>
      <c r="C93" s="1654"/>
      <c r="D93" s="1844"/>
      <c r="E93" s="1540">
        <f t="shared" si="2"/>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2"/>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2"/>
        <v>0</v>
      </c>
      <c r="F141" s="1936">
        <f t="shared" si="6"/>
        <v>0</v>
      </c>
      <c r="G141" s="1793">
        <f t="shared" si="3"/>
        <v>0</v>
      </c>
    </row>
    <row r="142" spans="1:7" x14ac:dyDescent="0.25">
      <c r="A142" s="1796" t="s">
        <v>156</v>
      </c>
      <c r="B142" s="1797"/>
      <c r="C142" s="1798"/>
      <c r="D142" s="1794">
        <f>SUM(D18:D141)</f>
        <v>68257</v>
      </c>
      <c r="E142" s="1541">
        <f t="shared" si="0"/>
        <v>25000</v>
      </c>
      <c r="F142" s="1932">
        <f>SUM(F18:F141)</f>
        <v>68257</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9"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8" t="s">
        <v>1679</v>
      </c>
      <c r="B5" s="2289"/>
      <c r="C5" s="2289"/>
      <c r="D5" s="2289"/>
      <c r="E5" s="2289"/>
      <c r="F5" s="2289"/>
      <c r="G5" s="2290"/>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387789</v>
      </c>
      <c r="F10" s="974"/>
      <c r="G10" s="975"/>
      <c r="H10" s="162"/>
      <c r="I10" s="162"/>
    </row>
    <row r="11" spans="1:9" s="668" customFormat="1" ht="22.5" customHeight="1" x14ac:dyDescent="0.2">
      <c r="A11" s="2293" t="s">
        <v>1972</v>
      </c>
      <c r="B11" s="2294"/>
      <c r="C11" s="2294"/>
      <c r="D11" s="2295"/>
      <c r="E11" s="977">
        <v>58316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5854834</v>
      </c>
      <c r="F19" s="1799"/>
      <c r="G19" s="1801">
        <f>'Expenditures 15-22'!K33-SUM('Expenditures 15-22'!G33,'Expenditures 15-22'!I33)+'Expenditures 15-22'!D229</f>
        <v>5854834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401823</v>
      </c>
      <c r="F21" s="1802"/>
      <c r="G21" s="1805">
        <f>'Expenditures 15-22'!K42-SUM('Expenditures 15-22'!G42,'Expenditures 15-22'!I42)+'Expenditures 15-22'!K120-SUM('Expenditures 15-22'!G120,'Expenditures 15-22'!I120)+'Expenditures 15-22'!K180-SUM('Expenditures 15-22'!G180,'Expenditures 15-22'!I180)+'Expenditures 15-22'!D238</f>
        <v>401823</v>
      </c>
      <c r="H21" s="987"/>
      <c r="I21" s="162"/>
    </row>
    <row r="22" spans="1:9" s="668" customFormat="1" ht="12" customHeight="1" x14ac:dyDescent="0.2">
      <c r="A22" s="994" t="s">
        <v>564</v>
      </c>
      <c r="B22" s="995"/>
      <c r="C22" s="993">
        <v>2200</v>
      </c>
      <c r="D22" s="1802"/>
      <c r="E22" s="1804">
        <f>'Expenditures 15-22'!K47-SUM('Expenditures 15-22'!G47,'Expenditures 15-22'!I47)+'Expenditures 15-22'!D243</f>
        <v>214317</v>
      </c>
      <c r="F22" s="1802"/>
      <c r="G22" s="1805">
        <f>'Expenditures 15-22'!K47-SUM('Expenditures 15-22'!G47,'Expenditures 15-22'!I47)+'Expenditures 15-22'!D243</f>
        <v>214317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692544</v>
      </c>
      <c r="F23" s="1802"/>
      <c r="G23" s="1804">
        <f>'Expenditures 15-22'!K53-SUM('Expenditures 15-22'!G53,'Expenditures 15-22'!I53)+'Expenditures 15-22'!D257+'Expenditures 15-22'!K330-SUM('Expenditures 15-22'!G330,'Expenditures 15-22'!I330)</f>
        <v>692544</v>
      </c>
      <c r="H23" s="987"/>
      <c r="I23" s="162"/>
    </row>
    <row r="24" spans="1:9" s="668" customFormat="1" ht="12" customHeight="1" x14ac:dyDescent="0.2">
      <c r="A24" s="994" t="s">
        <v>566</v>
      </c>
      <c r="B24" s="995"/>
      <c r="C24" s="993">
        <v>2400</v>
      </c>
      <c r="D24" s="1802"/>
      <c r="E24" s="1804">
        <f>'Expenditures 15-22'!K57-SUM('Expenditures 15-22'!G57,'Expenditures 15-22'!I57)+'Expenditures 15-22'!D261</f>
        <v>412000</v>
      </c>
      <c r="F24" s="1802"/>
      <c r="G24" s="1805">
        <f>'Expenditures 15-22'!K57-SUM('Expenditures 15-22'!G57,'Expenditures 15-22'!I57)+'Expenditures 15-22'!D261</f>
        <v>412000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418457</v>
      </c>
      <c r="E27" s="1804">
        <f>E8</f>
        <v>0</v>
      </c>
      <c r="F27" s="1804">
        <f>'Expenditures 15-22'!K60-SUM('Expenditures 15-22'!G60,'Expenditures 15-22'!I60)+'Expenditures 15-22'!D264-E8</f>
        <v>418457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1096130</v>
      </c>
      <c r="F28" s="1806">
        <f>'Expenditures 15-22'!K61-SUM('Expenditures 15-22'!G61,'Expenditures 15-22'!I61)+'Expenditures 15-22'!K124-SUM('Expenditures 15-22'!G124,'Expenditures 15-22'!I124)+'Expenditures 15-22'!D266-E9</f>
        <v>1096130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744354</v>
      </c>
      <c r="F29" s="1802"/>
      <c r="G29" s="1805">
        <f>'Expenditures 15-22'!K62-SUM('Expenditures 15-22'!G62,'Expenditures 15-22'!I62)+'Expenditures 15-22'!K125-SUM('Expenditures 15-22'!G125,'Expenditures 15-22'!I125)+'Expenditures 15-22'!K182-SUM('Expenditures 15-22'!G182,'Expenditures 15-22'!I182)+'Expenditures 15-22'!D267</f>
        <v>744354</v>
      </c>
      <c r="H29" s="985"/>
    </row>
    <row r="30" spans="1:9" ht="12" customHeight="1" x14ac:dyDescent="0.2">
      <c r="A30" s="994" t="s">
        <v>100</v>
      </c>
      <c r="B30" s="997"/>
      <c r="C30" s="993">
        <v>2560</v>
      </c>
      <c r="D30" s="1802"/>
      <c r="E30" s="1804">
        <f>'Expenditures 15-22'!K63-SUM('Expenditures 15-22'!G63,'Expenditures 15-22'!I63)+'Expenditures 15-22'!D268-E10</f>
        <v>345366</v>
      </c>
      <c r="F30" s="1802"/>
      <c r="G30" s="1804">
        <f>'Expenditures 15-22'!K63-SUM('Expenditures 15-22'!G63,'Expenditures 15-22'!I63)+'Expenditures 15-22'!D268-E10</f>
        <v>345366</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24711</v>
      </c>
      <c r="E37" s="1804">
        <f>E14</f>
        <v>0</v>
      </c>
      <c r="F37" s="1804">
        <f>'Expenditures 15-22'!K71-SUM('Expenditures 15-22'!G71,'Expenditures 15-22'!I71)+'Expenditures 15-22'!D276-E14</f>
        <v>24711</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187007</v>
      </c>
      <c r="F39" s="1802"/>
      <c r="G39" s="1804">
        <f>'Expenditures 15-22'!K75-SUM('Expenditures 15-22'!G75,'Expenditures 15-22'!I75)+'Expenditures 15-22'!K130-SUM('Expenditures 15-22'!G130,'Expenditures 15-22'!I130)+'Expenditures 15-22'!K185-SUM('Expenditures 15-22'!G185,'Expenditures 15-22'!I185)+'Expenditures 15-22'!D280</f>
        <v>187007</v>
      </c>
    </row>
    <row r="40" spans="1:7" ht="12" customHeight="1" x14ac:dyDescent="0.2">
      <c r="A40" s="990" t="s">
        <v>1820</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443168</v>
      </c>
      <c r="E41" s="1806">
        <f>SUM(E19:E40)</f>
        <v>9948375</v>
      </c>
      <c r="F41" s="1806">
        <f>SUM(F19:F39)</f>
        <v>1539298</v>
      </c>
      <c r="G41" s="1806">
        <f>SUM(G19:G40)</f>
        <v>8852245</v>
      </c>
    </row>
    <row r="42" spans="1:7" x14ac:dyDescent="0.2">
      <c r="A42" s="987"/>
      <c r="B42" s="162"/>
      <c r="C42" s="1001"/>
      <c r="D42" s="2291" t="s">
        <v>522</v>
      </c>
      <c r="E42" s="2292"/>
      <c r="F42" s="1002" t="s">
        <v>523</v>
      </c>
      <c r="G42" s="1003"/>
    </row>
    <row r="43" spans="1:7" ht="12" customHeight="1" x14ac:dyDescent="0.2">
      <c r="A43" s="987"/>
      <c r="B43" s="162"/>
      <c r="C43" s="1001"/>
      <c r="D43" s="1807" t="s">
        <v>473</v>
      </c>
      <c r="E43" s="1808">
        <f>D41</f>
        <v>443168</v>
      </c>
      <c r="F43" s="1807" t="s">
        <v>473</v>
      </c>
      <c r="G43" s="1808">
        <f>F41</f>
        <v>1539298</v>
      </c>
    </row>
    <row r="44" spans="1:7" ht="12" customHeight="1" x14ac:dyDescent="0.2">
      <c r="A44" s="987"/>
      <c r="B44" s="162"/>
      <c r="C44" s="1001"/>
      <c r="D44" s="1807" t="s">
        <v>474</v>
      </c>
      <c r="E44" s="1808">
        <f>E41</f>
        <v>9948375</v>
      </c>
      <c r="F44" s="1807" t="s">
        <v>474</v>
      </c>
      <c r="G44" s="1808">
        <f>G41</f>
        <v>8852245</v>
      </c>
    </row>
    <row r="45" spans="1:7" ht="12" customHeight="1" x14ac:dyDescent="0.2">
      <c r="A45" s="987"/>
      <c r="B45" s="162"/>
      <c r="C45" s="162"/>
      <c r="D45" s="1809" t="s">
        <v>1006</v>
      </c>
      <c r="E45" s="1810">
        <f>(E43/E44)</f>
        <v>4.4546772714136734E-2</v>
      </c>
      <c r="F45" s="1809" t="s">
        <v>1006</v>
      </c>
      <c r="G45" s="1810">
        <f>(G43/G44)</f>
        <v>0.17388786686315166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7" activePane="bottomLeft" state="frozen"/>
      <selection activeCell="A47" sqref="A47"/>
      <selection pane="bottomLeft" activeCell="F31" sqref="F3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9" t="s">
        <v>1379</v>
      </c>
      <c r="B1" s="2299"/>
      <c r="C1" s="2299"/>
      <c r="D1" s="2299"/>
      <c r="E1" s="2299"/>
      <c r="F1" s="2299"/>
    </row>
    <row r="2" spans="1:10" x14ac:dyDescent="0.2">
      <c r="A2" s="1887" t="s">
        <v>1908</v>
      </c>
      <c r="B2" s="1848"/>
      <c r="C2" s="1887"/>
      <c r="D2" s="1848"/>
      <c r="E2" s="1848"/>
      <c r="F2" s="1849"/>
    </row>
    <row r="3" spans="1:10" x14ac:dyDescent="0.2">
      <c r="A3" s="1887" t="s">
        <v>1973</v>
      </c>
      <c r="B3" s="1848"/>
      <c r="C3" s="1887"/>
      <c r="D3" s="1848"/>
      <c r="E3" s="1848"/>
      <c r="F3" s="1849"/>
    </row>
    <row r="4" spans="1:10" ht="3.75" customHeight="1" x14ac:dyDescent="0.2">
      <c r="A4" s="1848"/>
      <c r="B4" s="1848"/>
      <c r="C4" s="1848"/>
      <c r="D4" s="1848"/>
      <c r="E4" s="1848"/>
      <c r="F4" s="1849"/>
    </row>
    <row r="5" spans="1:10" ht="15" x14ac:dyDescent="0.25">
      <c r="A5" s="2300" t="s">
        <v>1546</v>
      </c>
      <c r="B5" s="2301"/>
      <c r="C5" s="2302"/>
      <c r="D5" s="2302"/>
      <c r="E5" s="2302"/>
      <c r="F5" s="2302"/>
    </row>
    <row r="6" spans="1:10" ht="12" customHeight="1" x14ac:dyDescent="0.25">
      <c r="A6" s="1850"/>
      <c r="B6" s="1851"/>
      <c r="C6" s="2303" t="str">
        <f>COVER!A17</f>
        <v>Hamilton Co CUSD 10</v>
      </c>
      <c r="D6" s="2303"/>
      <c r="E6" s="2303"/>
      <c r="F6" s="1852"/>
    </row>
    <row r="7" spans="1:10" ht="11.25" customHeight="1" thickBot="1" x14ac:dyDescent="0.3">
      <c r="A7" s="1850"/>
      <c r="B7" s="1851"/>
      <c r="C7" s="2304">
        <f>COVER!A13</f>
        <v>20033010026</v>
      </c>
      <c r="D7" s="2304"/>
      <c r="E7" s="2304"/>
      <c r="F7" s="1852"/>
    </row>
    <row r="8" spans="1:10" ht="25.5" customHeight="1" thickBot="1" x14ac:dyDescent="0.25">
      <c r="A8" s="1893" t="s">
        <v>1904</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2063</v>
      </c>
      <c r="D26" s="1865" t="s">
        <v>2063</v>
      </c>
      <c r="E26" s="1868" t="s">
        <v>2081</v>
      </c>
      <c r="F26" s="1867" t="s">
        <v>2082</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2063</v>
      </c>
      <c r="D30" s="1865" t="s">
        <v>2063</v>
      </c>
      <c r="E30" s="1868" t="s">
        <v>2081</v>
      </c>
      <c r="F30" s="1867" t="s">
        <v>2083</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05"/>
      <c r="D35" s="2305"/>
      <c r="E35" s="2305"/>
      <c r="F35" s="2306"/>
    </row>
    <row r="36" spans="1:11" ht="12" customHeight="1" x14ac:dyDescent="0.2">
      <c r="A36" s="2296"/>
      <c r="B36" s="2297"/>
      <c r="C36" s="2297"/>
      <c r="D36" s="2297"/>
      <c r="E36" s="2297"/>
      <c r="F36" s="2298"/>
    </row>
    <row r="37" spans="1:11" ht="12" customHeight="1" x14ac:dyDescent="0.2">
      <c r="A37" s="2296"/>
      <c r="B37" s="2297"/>
      <c r="C37" s="2297"/>
      <c r="D37" s="2297"/>
      <c r="E37" s="2297"/>
      <c r="F37" s="2298"/>
    </row>
    <row r="38" spans="1:11" ht="12" customHeight="1" x14ac:dyDescent="0.2">
      <c r="A38" s="2310"/>
      <c r="B38" s="2311"/>
      <c r="C38" s="2311"/>
      <c r="D38" s="2311"/>
      <c r="E38" s="2311"/>
      <c r="F38" s="2312"/>
    </row>
    <row r="39" spans="1:11" ht="4.5" hidden="1" customHeight="1" x14ac:dyDescent="0.2">
      <c r="A39" s="1873"/>
      <c r="B39" s="1873"/>
      <c r="C39" s="1873"/>
      <c r="D39" s="1873"/>
      <c r="E39" s="1873"/>
      <c r="F39" s="1873"/>
    </row>
    <row r="40" spans="1:11" s="1870" customFormat="1" ht="12" customHeight="1" x14ac:dyDescent="0.25">
      <c r="A40" s="1874" t="s">
        <v>1391</v>
      </c>
      <c r="B40" s="1875"/>
      <c r="C40" s="2313"/>
      <c r="D40" s="2313"/>
      <c r="E40" s="2313"/>
      <c r="F40" s="2314"/>
      <c r="H40" s="1879"/>
      <c r="I40" s="1879"/>
      <c r="J40" s="1879"/>
      <c r="K40" s="1879"/>
    </row>
    <row r="41" spans="1:11" s="1870" customFormat="1" ht="12" customHeight="1" x14ac:dyDescent="0.25">
      <c r="A41" s="2315"/>
      <c r="B41" s="2316"/>
      <c r="C41" s="2316"/>
      <c r="D41" s="2316"/>
      <c r="E41" s="2316"/>
      <c r="F41" s="2317"/>
      <c r="H41" s="1879"/>
      <c r="I41" s="1879"/>
      <c r="J41" s="1879"/>
      <c r="K41" s="1879"/>
    </row>
    <row r="42" spans="1:11" s="1870" customFormat="1" ht="12" customHeight="1" x14ac:dyDescent="0.25">
      <c r="A42" s="2315"/>
      <c r="B42" s="2316"/>
      <c r="C42" s="2316"/>
      <c r="D42" s="2316"/>
      <c r="E42" s="2316"/>
      <c r="F42" s="2317"/>
      <c r="H42" s="1879"/>
      <c r="I42" s="1879"/>
      <c r="J42" s="1879"/>
      <c r="K42" s="1879"/>
    </row>
    <row r="43" spans="1:11" s="1870" customFormat="1" ht="15" x14ac:dyDescent="0.25">
      <c r="A43" s="2307"/>
      <c r="B43" s="2308"/>
      <c r="C43" s="2308"/>
      <c r="D43" s="2308"/>
      <c r="E43" s="2308"/>
      <c r="F43" s="2309"/>
      <c r="H43" s="1879"/>
      <c r="I43" s="1879"/>
      <c r="J43" s="1879"/>
      <c r="K43" s="1879"/>
    </row>
    <row r="44" spans="1:11" s="1870" customFormat="1" ht="12" hidden="1" customHeight="1" x14ac:dyDescent="0.25">
      <c r="A44" s="2307"/>
      <c r="B44" s="2308"/>
      <c r="C44" s="2308"/>
      <c r="D44" s="2308"/>
      <c r="E44" s="2308"/>
      <c r="F44" s="2309"/>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3"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3" t="str">
        <f>COVER!A17</f>
        <v>Hamilton Co CUSD 10</v>
      </c>
      <c r="J6" s="2324"/>
      <c r="Q6" s="1664"/>
    </row>
    <row r="7" spans="1:17" x14ac:dyDescent="0.2">
      <c r="A7" s="2325" t="s">
        <v>869</v>
      </c>
      <c r="B7" s="2326"/>
      <c r="C7" s="2326"/>
      <c r="D7" s="2326"/>
      <c r="E7" s="2327"/>
      <c r="F7" s="1017"/>
      <c r="G7" s="1009"/>
      <c r="H7" s="1016" t="s">
        <v>372</v>
      </c>
      <c r="I7" s="2328">
        <f>COVER!A13</f>
        <v>20033010026</v>
      </c>
      <c r="J7" s="2328"/>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1974</v>
      </c>
      <c r="F9" s="1023"/>
      <c r="G9" s="1023"/>
      <c r="H9" s="1896"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9" t="s">
        <v>481</v>
      </c>
      <c r="B11" s="2330"/>
      <c r="C11" s="233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151068</v>
      </c>
      <c r="F12" s="1039"/>
      <c r="G12" s="1811">
        <f t="shared" ref="G12:G18" si="0">SUM(E12:F12)</f>
        <v>151068</v>
      </c>
      <c r="H12" s="1040">
        <v>155800</v>
      </c>
      <c r="I12" s="1039"/>
      <c r="J12" s="1811">
        <f t="shared" ref="J12:J18" si="1">SUM(H12:I12)</f>
        <v>155800</v>
      </c>
    </row>
    <row r="13" spans="1:17" ht="15" customHeight="1" x14ac:dyDescent="0.2">
      <c r="A13" s="1035">
        <v>2</v>
      </c>
      <c r="B13" s="1036" t="s">
        <v>42</v>
      </c>
      <c r="C13" s="1037"/>
      <c r="D13" s="1038">
        <v>2330</v>
      </c>
      <c r="E13" s="1811">
        <f>'Expenditures 15-22'!K51</f>
        <v>31562</v>
      </c>
      <c r="F13" s="1039"/>
      <c r="G13" s="1811">
        <f t="shared" si="0"/>
        <v>31562</v>
      </c>
      <c r="H13" s="1040">
        <v>35884</v>
      </c>
      <c r="I13" s="1039"/>
      <c r="J13" s="1811">
        <f t="shared" si="1"/>
        <v>35884</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2" t="s">
        <v>7</v>
      </c>
      <c r="C18" s="2333"/>
      <c r="D18" s="2334"/>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182630</v>
      </c>
      <c r="F19" s="1813">
        <f t="shared" si="2"/>
        <v>0</v>
      </c>
      <c r="G19" s="1813">
        <f t="shared" si="2"/>
        <v>182630</v>
      </c>
      <c r="H19" s="1813">
        <f t="shared" si="2"/>
        <v>191684</v>
      </c>
      <c r="I19" s="1813">
        <f t="shared" si="2"/>
        <v>0</v>
      </c>
      <c r="J19" s="1813">
        <f t="shared" si="2"/>
        <v>191684</v>
      </c>
    </row>
    <row r="20" spans="1:10" ht="13.5" thickTop="1" x14ac:dyDescent="0.2">
      <c r="A20" s="1035">
        <v>9</v>
      </c>
      <c r="B20" s="2335" t="s">
        <v>1976</v>
      </c>
      <c r="C20" s="2335"/>
      <c r="D20" s="2336"/>
      <c r="E20" s="1046"/>
      <c r="F20" s="1046"/>
      <c r="G20" s="1046"/>
      <c r="H20" s="1046"/>
      <c r="I20" s="1046"/>
      <c r="J20" s="1814">
        <f>IF(AND(G19&gt;0,J19&gt;0),(((J19-G19)/G19)),"Enter Budget Data")</f>
        <v>4.9575644746208181E-2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41"/>
      <c r="D26" s="2341"/>
      <c r="E26" s="1050"/>
      <c r="F26" s="2340"/>
      <c r="G26" s="2340"/>
    </row>
    <row r="27" spans="1:10" x14ac:dyDescent="0.2">
      <c r="B27" s="1047"/>
      <c r="C27" s="1051" t="s">
        <v>1033</v>
      </c>
      <c r="D27" s="1052"/>
      <c r="E27" s="1053"/>
      <c r="F27" s="2337" t="s">
        <v>1509</v>
      </c>
      <c r="G27" s="2337"/>
    </row>
    <row r="28" spans="1:10" ht="28.5" customHeight="1" x14ac:dyDescent="0.2">
      <c r="B28" s="1047"/>
      <c r="C28" s="2339"/>
      <c r="D28" s="2339"/>
      <c r="E28" s="1054"/>
      <c r="F28" s="2339"/>
      <c r="G28" s="2339"/>
    </row>
    <row r="29" spans="1:10" x14ac:dyDescent="0.2">
      <c r="B29" s="1047"/>
      <c r="C29" s="1055" t="s">
        <v>1561</v>
      </c>
      <c r="E29" s="1056"/>
      <c r="F29" s="2338" t="s">
        <v>1510</v>
      </c>
      <c r="G29" s="233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2"/>
    </row>
    <row r="36" spans="1:10" ht="13.5" customHeight="1" x14ac:dyDescent="0.2">
      <c r="B36" s="1061"/>
      <c r="C36" s="2322" t="s">
        <v>1978</v>
      </c>
      <c r="D36" s="2321"/>
      <c r="E36" s="2321"/>
      <c r="F36" s="2321"/>
      <c r="G36" s="2321"/>
      <c r="H36" s="2321"/>
      <c r="I36" s="2321"/>
      <c r="J36" s="1063"/>
    </row>
    <row r="37" spans="1:10" ht="22.5" customHeight="1" x14ac:dyDescent="0.2">
      <c r="C37" s="2321"/>
      <c r="D37" s="2321"/>
      <c r="E37" s="2321"/>
      <c r="F37" s="2321"/>
      <c r="G37" s="2321"/>
      <c r="H37" s="2321"/>
      <c r="I37" s="2321"/>
      <c r="J37" s="1063"/>
    </row>
    <row r="38" spans="1:10" ht="7.5" customHeight="1" x14ac:dyDescent="0.2">
      <c r="C38" s="1062"/>
      <c r="D38" s="1064"/>
      <c r="E38" s="1065"/>
      <c r="F38" s="1066"/>
      <c r="G38" s="1065"/>
    </row>
    <row r="39" spans="1:10" ht="13.5" customHeight="1" x14ac:dyDescent="0.2">
      <c r="B39" s="1061"/>
      <c r="C39" s="2318" t="s">
        <v>882</v>
      </c>
      <c r="D39" s="2319"/>
      <c r="E39" s="2319"/>
      <c r="F39" s="2319"/>
      <c r="G39" s="2319"/>
      <c r="H39" s="2319"/>
      <c r="I39" s="231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5"/>
  <sheetViews>
    <sheetView showGridLines="0" topLeftCell="A40" zoomScale="110" zoomScaleNormal="110" workbookViewId="0">
      <selection activeCell="E44" sqref="E44"/>
    </sheetView>
  </sheetViews>
  <sheetFormatPr defaultRowHeight="12.75" x14ac:dyDescent="0.2"/>
  <cols>
    <col min="1" max="1" width="3.5703125" style="329" customWidth="1"/>
    <col min="2" max="2" width="63.85546875" style="329" bestFit="1" customWidth="1"/>
    <col min="3" max="3" width="32.28515625" style="329" bestFit="1" customWidth="1"/>
    <col min="4" max="4" width="9.140625" style="1945"/>
    <col min="5" max="16384" width="9.140625" style="329"/>
  </cols>
  <sheetData>
    <row r="2" spans="1:4" x14ac:dyDescent="0.2">
      <c r="A2" s="389" t="s">
        <v>258</v>
      </c>
    </row>
    <row r="3" spans="1:4" x14ac:dyDescent="0.2">
      <c r="A3" s="329" t="s">
        <v>259</v>
      </c>
    </row>
    <row r="5" spans="1:4" x14ac:dyDescent="0.2">
      <c r="A5" s="1068">
        <v>1</v>
      </c>
      <c r="B5" s="329" t="s">
        <v>2167</v>
      </c>
      <c r="C5" s="329" t="s">
        <v>2168</v>
      </c>
    </row>
    <row r="6" spans="1:4" x14ac:dyDescent="0.2">
      <c r="A6" s="1068"/>
    </row>
    <row r="7" spans="1:4" x14ac:dyDescent="0.2">
      <c r="A7" s="1068">
        <v>2</v>
      </c>
      <c r="B7" s="329" t="s">
        <v>2169</v>
      </c>
      <c r="C7" s="329" t="s">
        <v>2170</v>
      </c>
    </row>
    <row r="8" spans="1:4" x14ac:dyDescent="0.2">
      <c r="A8" s="1068"/>
    </row>
    <row r="9" spans="1:4" x14ac:dyDescent="0.2">
      <c r="A9" s="1069">
        <v>3</v>
      </c>
      <c r="B9" s="329" t="s">
        <v>2171</v>
      </c>
      <c r="C9" s="329" t="s">
        <v>2172</v>
      </c>
    </row>
    <row r="10" spans="1:4" x14ac:dyDescent="0.2">
      <c r="A10" s="1069"/>
    </row>
    <row r="11" spans="1:4" x14ac:dyDescent="0.2">
      <c r="A11" s="1069">
        <v>4</v>
      </c>
      <c r="B11" s="329" t="s">
        <v>2178</v>
      </c>
      <c r="C11" s="329" t="s">
        <v>2173</v>
      </c>
      <c r="D11" s="1945">
        <v>118893</v>
      </c>
    </row>
    <row r="12" spans="1:4" x14ac:dyDescent="0.2">
      <c r="A12" s="1069"/>
      <c r="C12" s="329" t="s">
        <v>2174</v>
      </c>
      <c r="D12" s="1945">
        <v>538</v>
      </c>
    </row>
    <row r="13" spans="1:4" x14ac:dyDescent="0.2">
      <c r="A13" s="1069"/>
      <c r="C13" s="329" t="s">
        <v>2175</v>
      </c>
      <c r="D13" s="1945">
        <v>1052</v>
      </c>
    </row>
    <row r="14" spans="1:4" x14ac:dyDescent="0.2">
      <c r="A14" s="1069"/>
      <c r="C14" s="329" t="s">
        <v>2176</v>
      </c>
      <c r="D14" s="1945">
        <v>2227</v>
      </c>
    </row>
    <row r="15" spans="1:4" x14ac:dyDescent="0.2">
      <c r="A15" s="1069"/>
      <c r="C15" s="329" t="s">
        <v>2177</v>
      </c>
      <c r="D15" s="1945">
        <v>3250</v>
      </c>
    </row>
    <row r="16" spans="1:4" ht="13.5" thickBot="1" x14ac:dyDescent="0.25">
      <c r="A16" s="1069"/>
      <c r="D16" s="1946">
        <f>SUM(D11:D15)</f>
        <v>125960</v>
      </c>
    </row>
    <row r="17" spans="1:4" ht="13.5" thickTop="1" x14ac:dyDescent="0.2">
      <c r="A17" s="1069"/>
    </row>
    <row r="18" spans="1:4" x14ac:dyDescent="0.2">
      <c r="A18" s="1069">
        <v>5</v>
      </c>
      <c r="B18" s="329" t="s">
        <v>2179</v>
      </c>
      <c r="C18" s="329" t="s">
        <v>2180</v>
      </c>
      <c r="D18" s="1945">
        <v>146</v>
      </c>
    </row>
    <row r="19" spans="1:4" x14ac:dyDescent="0.2">
      <c r="A19" s="1069"/>
      <c r="C19" s="329" t="s">
        <v>2181</v>
      </c>
      <c r="D19" s="1945">
        <v>14117</v>
      </c>
    </row>
    <row r="20" spans="1:4" x14ac:dyDescent="0.2">
      <c r="A20" s="1069"/>
      <c r="C20" s="329" t="s">
        <v>2182</v>
      </c>
      <c r="D20" s="1945">
        <v>23178</v>
      </c>
    </row>
    <row r="21" spans="1:4" x14ac:dyDescent="0.2">
      <c r="A21" s="1069"/>
      <c r="C21" s="329" t="s">
        <v>2183</v>
      </c>
      <c r="D21" s="1945">
        <v>99</v>
      </c>
    </row>
    <row r="22" spans="1:4" x14ac:dyDescent="0.2">
      <c r="A22" s="1069"/>
      <c r="C22" s="329" t="s">
        <v>2184</v>
      </c>
      <c r="D22" s="1945">
        <v>806</v>
      </c>
    </row>
    <row r="23" spans="1:4" ht="13.5" thickBot="1" x14ac:dyDescent="0.25">
      <c r="A23" s="1069"/>
      <c r="D23" s="1946">
        <f>SUM(D18:D22)</f>
        <v>38346</v>
      </c>
    </row>
    <row r="24" spans="1:4" ht="13.5" thickTop="1" x14ac:dyDescent="0.2">
      <c r="A24" s="1069"/>
    </row>
    <row r="25" spans="1:4" x14ac:dyDescent="0.2">
      <c r="A25" s="1069">
        <v>6</v>
      </c>
      <c r="B25" s="329" t="s">
        <v>2185</v>
      </c>
      <c r="C25" s="329" t="s">
        <v>2186</v>
      </c>
      <c r="D25" s="1945">
        <v>25000</v>
      </c>
    </row>
    <row r="26" spans="1:4" x14ac:dyDescent="0.2">
      <c r="A26" s="1069"/>
      <c r="C26" s="329" t="s">
        <v>2187</v>
      </c>
      <c r="D26" s="1945">
        <v>4828</v>
      </c>
    </row>
    <row r="27" spans="1:4" x14ac:dyDescent="0.2">
      <c r="A27" s="1069"/>
      <c r="C27" s="329" t="s">
        <v>2182</v>
      </c>
      <c r="D27" s="1945">
        <v>10940</v>
      </c>
    </row>
    <row r="28" spans="1:4" x14ac:dyDescent="0.2">
      <c r="A28" s="1069"/>
      <c r="C28" s="329" t="s">
        <v>2176</v>
      </c>
      <c r="D28" s="1945">
        <v>5019</v>
      </c>
    </row>
    <row r="29" spans="1:4" ht="13.5" thickBot="1" x14ac:dyDescent="0.25">
      <c r="A29" s="1069"/>
      <c r="D29" s="1946">
        <f>SUM(D25:D28)</f>
        <v>45787</v>
      </c>
    </row>
    <row r="30" spans="1:4" ht="13.5" thickTop="1" x14ac:dyDescent="0.2">
      <c r="A30" s="1069"/>
    </row>
    <row r="31" spans="1:4" x14ac:dyDescent="0.2">
      <c r="A31" s="1069">
        <v>7</v>
      </c>
      <c r="B31" s="329" t="s">
        <v>2188</v>
      </c>
      <c r="C31" s="329" t="s">
        <v>2189</v>
      </c>
      <c r="D31" s="1945">
        <v>866</v>
      </c>
    </row>
    <row r="32" spans="1:4" x14ac:dyDescent="0.2">
      <c r="A32" s="1069"/>
      <c r="C32" s="329" t="s">
        <v>2190</v>
      </c>
      <c r="D32" s="1945">
        <v>219061</v>
      </c>
    </row>
    <row r="33" spans="1:4" x14ac:dyDescent="0.2">
      <c r="A33" s="1069"/>
      <c r="C33" s="329" t="s">
        <v>2191</v>
      </c>
      <c r="D33" s="1945">
        <v>2069</v>
      </c>
    </row>
    <row r="34" spans="1:4" ht="13.5" thickBot="1" x14ac:dyDescent="0.25">
      <c r="A34" s="1069"/>
      <c r="D34" s="1946">
        <f>SUM(D31:D33)</f>
        <v>221996</v>
      </c>
    </row>
    <row r="35" spans="1:4" ht="13.5" thickTop="1" x14ac:dyDescent="0.2">
      <c r="A35" s="1069"/>
    </row>
    <row r="36" spans="1:4" x14ac:dyDescent="0.2">
      <c r="A36" s="1069">
        <v>8</v>
      </c>
      <c r="B36" s="329" t="s">
        <v>2192</v>
      </c>
      <c r="C36" s="329" t="s">
        <v>2193</v>
      </c>
    </row>
    <row r="37" spans="1:4" x14ac:dyDescent="0.2">
      <c r="A37" s="1069"/>
    </row>
    <row r="38" spans="1:4" x14ac:dyDescent="0.2">
      <c r="A38" s="1069">
        <v>9</v>
      </c>
      <c r="B38" s="329" t="s">
        <v>2194</v>
      </c>
      <c r="C38" s="329" t="s">
        <v>2195</v>
      </c>
    </row>
    <row r="39" spans="1:4" x14ac:dyDescent="0.2">
      <c r="A39" s="1069"/>
    </row>
    <row r="40" spans="1:4" x14ac:dyDescent="0.2">
      <c r="A40" s="1069">
        <v>10</v>
      </c>
      <c r="B40" s="329" t="s">
        <v>2196</v>
      </c>
      <c r="C40" s="329" t="s">
        <v>2197</v>
      </c>
    </row>
    <row r="41" spans="1:4" x14ac:dyDescent="0.2">
      <c r="A41" s="1069"/>
    </row>
    <row r="42" spans="1:4" x14ac:dyDescent="0.2">
      <c r="A42" s="1069">
        <v>11</v>
      </c>
      <c r="B42" s="329" t="s">
        <v>2198</v>
      </c>
      <c r="C42" s="329" t="s">
        <v>2190</v>
      </c>
      <c r="D42" s="1945">
        <v>219061</v>
      </c>
    </row>
    <row r="43" spans="1:4" x14ac:dyDescent="0.2">
      <c r="A43" s="1069"/>
      <c r="C43" s="329" t="s">
        <v>2199</v>
      </c>
      <c r="D43" s="1945">
        <v>64269</v>
      </c>
    </row>
    <row r="44" spans="1:4" x14ac:dyDescent="0.2">
      <c r="A44" s="1069"/>
      <c r="C44" s="329" t="s">
        <v>2094</v>
      </c>
      <c r="D44" s="1945">
        <v>32812</v>
      </c>
    </row>
    <row r="45" spans="1:4" x14ac:dyDescent="0.2">
      <c r="A45" s="1069"/>
      <c r="C45" s="329" t="s">
        <v>2202</v>
      </c>
      <c r="D45" s="1945">
        <v>40915</v>
      </c>
    </row>
    <row r="46" spans="1:4" ht="13.5" thickBot="1" x14ac:dyDescent="0.25">
      <c r="A46" s="1069"/>
      <c r="D46" s="1946">
        <f>SUM(D42:D45)</f>
        <v>357057</v>
      </c>
    </row>
    <row r="47" spans="1:4" ht="13.5" thickTop="1" x14ac:dyDescent="0.2">
      <c r="A47" s="1069"/>
    </row>
    <row r="48" spans="1:4" x14ac:dyDescent="0.2">
      <c r="A48" s="1069">
        <v>12</v>
      </c>
      <c r="B48" s="329" t="s">
        <v>2200</v>
      </c>
      <c r="C48" s="329" t="s">
        <v>2186</v>
      </c>
    </row>
    <row r="49" spans="1:3" x14ac:dyDescent="0.2">
      <c r="A49" s="1069"/>
    </row>
    <row r="50" spans="1:3" x14ac:dyDescent="0.2">
      <c r="A50" s="1069">
        <v>13</v>
      </c>
      <c r="B50" s="329" t="s">
        <v>2201</v>
      </c>
      <c r="C50" s="329" t="s">
        <v>2202</v>
      </c>
    </row>
    <row r="51" spans="1:3" x14ac:dyDescent="0.2">
      <c r="A51" s="1069"/>
    </row>
    <row r="52" spans="1:3" x14ac:dyDescent="0.2">
      <c r="A52" s="1069">
        <v>14</v>
      </c>
      <c r="B52" s="210" t="s">
        <v>2203</v>
      </c>
    </row>
    <row r="53" spans="1:3" x14ac:dyDescent="0.2">
      <c r="A53" s="1069"/>
      <c r="B53" s="329" t="s">
        <v>2204</v>
      </c>
    </row>
    <row r="54" spans="1:3" x14ac:dyDescent="0.2">
      <c r="A54" s="1069"/>
    </row>
    <row r="55" spans="1:3" x14ac:dyDescent="0.2">
      <c r="A55" s="1069"/>
    </row>
    <row r="56" spans="1:3" x14ac:dyDescent="0.2">
      <c r="A56" s="1069"/>
    </row>
    <row r="57" spans="1:3" x14ac:dyDescent="0.2">
      <c r="A57" s="1069"/>
    </row>
    <row r="58" spans="1:3" x14ac:dyDescent="0.2">
      <c r="A58" s="1069"/>
    </row>
    <row r="59" spans="1:3" x14ac:dyDescent="0.2">
      <c r="A59" s="1069"/>
    </row>
    <row r="60" spans="1:3" x14ac:dyDescent="0.2">
      <c r="A60" s="1069"/>
    </row>
    <row r="61" spans="1:3" x14ac:dyDescent="0.2">
      <c r="A61" s="1069"/>
    </row>
    <row r="62" spans="1:3" x14ac:dyDescent="0.2">
      <c r="A62" s="1069"/>
    </row>
    <row r="63" spans="1:3" x14ac:dyDescent="0.2">
      <c r="A63" s="1069"/>
    </row>
    <row r="64" spans="1:3" x14ac:dyDescent="0.2">
      <c r="A64" s="1069"/>
      <c r="B64" s="258" t="str">
        <f>COVER!A17</f>
        <v>Hamilton Co CUSD 10</v>
      </c>
    </row>
    <row r="65" spans="2:2" x14ac:dyDescent="0.2">
      <c r="B65" s="1070">
        <f>COVER!A13</f>
        <v>20033010026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6" t="s">
        <v>1611</v>
      </c>
    </row>
    <row r="23" spans="1:5" x14ac:dyDescent="0.2">
      <c r="A23" s="168"/>
      <c r="B23" s="162" t="s">
        <v>1853</v>
      </c>
      <c r="D23" s="167" t="s">
        <v>637</v>
      </c>
      <c r="E23" s="1836"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9" t="s">
        <v>1065</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691</v>
      </c>
      <c r="B40" s="2056"/>
      <c r="C40" s="2056"/>
      <c r="D40" s="2056"/>
      <c r="E40" s="2056"/>
    </row>
    <row r="41" spans="1:5" x14ac:dyDescent="0.2">
      <c r="A41" s="2057" t="s">
        <v>1608</v>
      </c>
      <c r="B41" s="2057"/>
      <c r="C41" s="2057"/>
      <c r="D41" s="2057"/>
      <c r="E41" s="2057"/>
    </row>
    <row r="42" spans="1:5" ht="12.75" customHeight="1" x14ac:dyDescent="0.2">
      <c r="A42" s="2058" t="s">
        <v>1022</v>
      </c>
      <c r="B42" s="2058"/>
      <c r="C42" s="2058"/>
      <c r="D42" s="2058"/>
      <c r="E42" s="2058"/>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2" t="s">
        <v>1685</v>
      </c>
      <c r="B18" s="234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333375</xdr:colOff>
                <xdr:row>2</xdr:row>
                <xdr:rowOff>142875</xdr:rowOff>
              </from>
              <to>
                <xdr:col>1</xdr:col>
                <xdr:colOff>1247775</xdr:colOff>
                <xdr:row>7</xdr:row>
                <xdr:rowOff>104775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1690</v>
      </c>
      <c r="B1" s="2344"/>
      <c r="C1" s="2344"/>
      <c r="D1" s="2344"/>
      <c r="E1" s="2344"/>
      <c r="F1" s="2345"/>
    </row>
    <row r="2" spans="1:8" ht="45" customHeight="1" x14ac:dyDescent="0.2">
      <c r="A2" s="2353" t="s">
        <v>1982</v>
      </c>
      <c r="B2" s="2354"/>
      <c r="C2" s="2354"/>
      <c r="D2" s="2354"/>
      <c r="E2" s="2354"/>
      <c r="F2" s="2355"/>
      <c r="G2" s="1074"/>
      <c r="H2" s="1074"/>
    </row>
    <row r="3" spans="1:8" ht="57" customHeight="1" x14ac:dyDescent="0.2">
      <c r="A3" s="2356" t="s">
        <v>1686</v>
      </c>
      <c r="B3" s="2357"/>
      <c r="C3" s="2357"/>
      <c r="D3" s="2357"/>
      <c r="E3" s="2357"/>
      <c r="F3" s="2358"/>
      <c r="G3" s="1074"/>
      <c r="H3" s="1074"/>
    </row>
    <row r="4" spans="1:8" ht="14.25" customHeight="1" x14ac:dyDescent="0.2">
      <c r="A4" s="2362" t="s">
        <v>1983</v>
      </c>
      <c r="B4" s="2363"/>
      <c r="C4" s="2363"/>
      <c r="D4" s="2363"/>
      <c r="E4" s="2363"/>
      <c r="F4" s="2364"/>
      <c r="G4" s="1074"/>
      <c r="H4" s="1074"/>
    </row>
    <row r="5" spans="1:8" ht="14.25" customHeight="1" x14ac:dyDescent="0.2">
      <c r="A5" s="2365" t="s">
        <v>1979</v>
      </c>
      <c r="B5" s="2366"/>
      <c r="C5" s="2366"/>
      <c r="D5" s="2366"/>
      <c r="E5" s="2366"/>
      <c r="F5" s="2367"/>
      <c r="G5" s="1074"/>
      <c r="H5" s="1074"/>
    </row>
    <row r="6" spans="1:8" s="1075" customFormat="1" ht="41.25" customHeight="1" x14ac:dyDescent="0.2">
      <c r="A6" s="2359" t="s">
        <v>1691</v>
      </c>
      <c r="B6" s="2360"/>
      <c r="C6" s="2360"/>
      <c r="D6" s="2360"/>
      <c r="E6" s="2360"/>
      <c r="F6" s="2361"/>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10849893</v>
      </c>
      <c r="C8" s="1815">
        <f>'Acct Summary 7-8'!D8</f>
        <v>546262</v>
      </c>
      <c r="D8" s="1815">
        <f>'Acct Summary 7-8'!F8</f>
        <v>1136716</v>
      </c>
      <c r="E8" s="1815">
        <f>'Acct Summary 7-8'!I8</f>
        <v>54370</v>
      </c>
      <c r="F8" s="1815">
        <f>SUM(B8:E8)</f>
        <v>12587241</v>
      </c>
    </row>
    <row r="9" spans="1:8" s="1079" customFormat="1" ht="14.25" customHeight="1" thickBot="1" x14ac:dyDescent="0.25">
      <c r="A9" s="1078" t="s">
        <v>1369</v>
      </c>
      <c r="B9" s="1816">
        <f>'Acct Summary 7-8'!C17</f>
        <v>9450806</v>
      </c>
      <c r="C9" s="1816">
        <f>'Acct Summary 7-8'!D17</f>
        <v>482727</v>
      </c>
      <c r="D9" s="1816">
        <f>'Acct Summary 7-8'!F17</f>
        <v>1134280</v>
      </c>
      <c r="E9" s="1815"/>
      <c r="F9" s="1815">
        <f>SUM(B9:E9)</f>
        <v>11067813</v>
      </c>
    </row>
    <row r="10" spans="1:8" s="1079" customFormat="1" ht="14.25" thickTop="1" thickBot="1" x14ac:dyDescent="0.25">
      <c r="A10" s="1080" t="s">
        <v>1370</v>
      </c>
      <c r="B10" s="1817">
        <f>(B8-B9)</f>
        <v>1399087</v>
      </c>
      <c r="C10" s="1817">
        <f>(C8-C9)</f>
        <v>63535</v>
      </c>
      <c r="D10" s="1817">
        <f>(D8-D9)</f>
        <v>2436</v>
      </c>
      <c r="E10" s="1816">
        <f>(E8-E9)</f>
        <v>54370</v>
      </c>
      <c r="F10" s="1818">
        <f>SUM(F8-F9)</f>
        <v>1519428</v>
      </c>
    </row>
    <row r="11" spans="1:8" s="1079" customFormat="1" ht="14.25" thickTop="1" thickBot="1" x14ac:dyDescent="0.25">
      <c r="A11" s="1081" t="s">
        <v>1980</v>
      </c>
      <c r="B11" s="1819">
        <f>'Acct Summary 7-8'!C81</f>
        <v>4283298</v>
      </c>
      <c r="C11" s="1819">
        <f>'Acct Summary 7-8'!D81</f>
        <v>340514</v>
      </c>
      <c r="D11" s="1819">
        <f>'Acct Summary 7-8'!F81</f>
        <v>82950</v>
      </c>
      <c r="E11" s="1819">
        <f>'Acct Summary 7-8'!I81</f>
        <v>228711</v>
      </c>
      <c r="F11" s="1820">
        <f>SUM(B11:E11)</f>
        <v>4935473</v>
      </c>
    </row>
    <row r="12" spans="1:8" ht="16.5" customHeight="1" thickTop="1" x14ac:dyDescent="0.2">
      <c r="A12" s="1082"/>
      <c r="B12" s="1083"/>
      <c r="C12" s="2347" t="str">
        <f>IF(AND(F10&lt;0,F11&gt;=0,ABS(F10*3)&gt;ABS(F11)),A16,IF(AND(F10&lt;0,F11&gt;0,ABS(F10*3)&lt;=ABS(F11)),A17,IF(AND(F10&lt;0,F11&lt;0),A16,IF(F11=0,A19,A18))))</f>
        <v>Balanced - no deficit reduction plan is required.</v>
      </c>
      <c r="D12" s="2348"/>
      <c r="E12" s="2348"/>
      <c r="F12" s="2349"/>
    </row>
    <row r="13" spans="1:8" ht="19.5" customHeight="1" x14ac:dyDescent="0.2">
      <c r="A13" s="1084"/>
      <c r="B13" s="1085"/>
      <c r="C13" s="2347"/>
      <c r="D13" s="2348"/>
      <c r="E13" s="2348"/>
      <c r="F13" s="2349"/>
      <c r="H13" s="1074"/>
    </row>
    <row r="14" spans="1:8" ht="19.5" customHeight="1" x14ac:dyDescent="0.2">
      <c r="A14" s="1084"/>
      <c r="B14" s="1085"/>
      <c r="C14" s="2347"/>
      <c r="D14" s="2348"/>
      <c r="E14" s="2348"/>
      <c r="F14" s="2349"/>
      <c r="H14" s="1074"/>
    </row>
    <row r="15" spans="1:8" ht="17.25" customHeight="1" x14ac:dyDescent="0.2">
      <c r="A15" s="1084"/>
      <c r="B15" s="1085"/>
      <c r="C15" s="2350"/>
      <c r="D15" s="2351"/>
      <c r="E15" s="2351"/>
      <c r="F15" s="2352"/>
      <c r="H15" s="1074"/>
    </row>
    <row r="16" spans="1:8" s="310" customFormat="1" ht="51.75" hidden="1" customHeight="1" x14ac:dyDescent="0.2">
      <c r="A16" s="2346" t="s">
        <v>1687</v>
      </c>
      <c r="B16" s="2346"/>
      <c r="C16" s="2346"/>
      <c r="D16" s="2346"/>
      <c r="E16" s="2346"/>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3" colorId="8" zoomScale="110" zoomScaleNormal="110" workbookViewId="0">
      <selection activeCell="D69" sqref="D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8" t="s">
        <v>665</v>
      </c>
      <c r="B3" s="2369"/>
      <c r="C3" s="2369"/>
      <c r="D3" s="2370"/>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9" t="s">
        <v>1504</v>
      </c>
      <c r="D7" s="2380"/>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1" t="s">
        <v>1008</v>
      </c>
      <c r="B15" s="2372"/>
      <c r="C15" s="2372"/>
      <c r="D15" s="2373"/>
    </row>
    <row r="16" spans="1:4" s="668" customFormat="1" ht="24" customHeight="1" x14ac:dyDescent="0.2">
      <c r="A16" s="2374" t="s">
        <v>663</v>
      </c>
      <c r="B16" s="2375"/>
      <c r="C16" s="2375"/>
      <c r="D16" s="2376"/>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3" t="s">
        <v>314</v>
      </c>
      <c r="D21" s="2384"/>
    </row>
    <row r="22" spans="1:10" ht="12.75" x14ac:dyDescent="0.2">
      <c r="A22" s="1139"/>
      <c r="B22" s="1140">
        <v>2</v>
      </c>
      <c r="C22" s="2381" t="s">
        <v>1524</v>
      </c>
      <c r="D22" s="2382"/>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5" t="s">
        <v>536</v>
      </c>
      <c r="D43" s="2386"/>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7" t="s">
        <v>784</v>
      </c>
      <c r="D56" s="2378"/>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ERROR!</v>
      </c>
    </row>
    <row r="70" spans="1:4" x14ac:dyDescent="0.2">
      <c r="A70" s="1098"/>
      <c r="B70" s="1120">
        <f>B66+1</f>
        <v>9</v>
      </c>
      <c r="C70" s="2377" t="s">
        <v>1696</v>
      </c>
      <c r="D70" s="2378"/>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20033010026</v>
      </c>
    </row>
    <row r="3" spans="1:2" x14ac:dyDescent="0.2">
      <c r="A3" t="s">
        <v>956</v>
      </c>
      <c r="B3" s="138" t="str">
        <f>COVER!A15</f>
        <v>Hamilton</v>
      </c>
    </row>
    <row r="4" spans="1:2" x14ac:dyDescent="0.2">
      <c r="A4" t="s">
        <v>1007</v>
      </c>
      <c r="B4" s="138" t="str">
        <f>COVER!A17</f>
        <v>Hamilton Co CUSD 10</v>
      </c>
    </row>
    <row r="5" spans="1:2" x14ac:dyDescent="0.2">
      <c r="A5" t="s">
        <v>704</v>
      </c>
      <c r="B5" s="138" t="str">
        <f>COVER!A38</f>
        <v>Jeff Fetcho</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066-003657</v>
      </c>
    </row>
    <row r="16" spans="1:2" x14ac:dyDescent="0.2">
      <c r="A16" t="s">
        <v>422</v>
      </c>
      <c r="B16" s="138" t="str">
        <f>COVER!T13</f>
        <v>Botsch &amp; Associates, CPA's, LLC</v>
      </c>
    </row>
    <row r="17" spans="1:2" x14ac:dyDescent="0.2">
      <c r="A17" t="s">
        <v>884</v>
      </c>
      <c r="B17" s="138" t="str">
        <f>COVER!T15</f>
        <v>Arlynne Stroman, CPA</v>
      </c>
    </row>
    <row r="18" spans="1:2" x14ac:dyDescent="0.2">
      <c r="A18" t="s">
        <v>1150</v>
      </c>
      <c r="B18" s="138" t="str">
        <f>COVER!T17</f>
        <v>113 East Main Street</v>
      </c>
    </row>
    <row r="19" spans="1:2" x14ac:dyDescent="0.2">
      <c r="A19" t="s">
        <v>886</v>
      </c>
      <c r="B19" s="138" t="str">
        <f>COVER!T25</f>
        <v>arlynne.stroman@botsch.com</v>
      </c>
    </row>
    <row r="20" spans="1:2" x14ac:dyDescent="0.2">
      <c r="A20" t="s">
        <v>887</v>
      </c>
      <c r="B20" s="138" t="str">
        <f>COVER!T19</f>
        <v>Carmi</v>
      </c>
    </row>
    <row r="21" spans="1:2" x14ac:dyDescent="0.2">
      <c r="A21" t="s">
        <v>479</v>
      </c>
      <c r="B21" s="138" t="str">
        <f>COVER!X19</f>
        <v>IL</v>
      </c>
    </row>
    <row r="22" spans="1:2" x14ac:dyDescent="0.2">
      <c r="A22" t="s">
        <v>888</v>
      </c>
      <c r="B22" s="138">
        <f>COVER!Z19</f>
        <v>62821</v>
      </c>
    </row>
    <row r="23" spans="1:2" x14ac:dyDescent="0.2">
      <c r="A23" t="s">
        <v>1152</v>
      </c>
      <c r="B23" s="138" t="str">
        <f>COVER!T21</f>
        <v>618-382-4151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1017608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4383247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99949</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99949</v>
      </c>
      <c r="C91" s="2" t="s">
        <v>573</v>
      </c>
      <c r="D91" s="2" t="str">
        <f t="shared" si="0"/>
        <v>Error?</v>
      </c>
    </row>
    <row r="92" spans="1:4" x14ac:dyDescent="0.2">
      <c r="A92" s="5">
        <v>31</v>
      </c>
      <c r="B92" s="138">
        <f>'Assets-Liab 5-6'!C39</f>
        <v>4283298</v>
      </c>
      <c r="D92" s="2" t="str">
        <f t="shared" si="0"/>
        <v>Error?</v>
      </c>
    </row>
    <row r="93" spans="1:4" x14ac:dyDescent="0.2">
      <c r="A93" s="5">
        <v>32</v>
      </c>
      <c r="B93" s="138">
        <f>'Assets-Liab 5-6'!C41</f>
        <v>4383247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340514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340514</v>
      </c>
      <c r="D123" s="2" t="str">
        <f t="shared" si="0"/>
        <v>Error?</v>
      </c>
    </row>
    <row r="124" spans="1:4" x14ac:dyDescent="0.2">
      <c r="A124" s="5">
        <v>63</v>
      </c>
      <c r="B124" s="138">
        <f>'Assets-Liab 5-6'!D41</f>
        <v>340514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144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144</v>
      </c>
      <c r="D140" s="2" t="str">
        <f t="shared" si="1"/>
        <v>Error?</v>
      </c>
    </row>
    <row r="141" spans="1:4" x14ac:dyDescent="0.2">
      <c r="A141" s="5">
        <v>80</v>
      </c>
      <c r="B141" s="138">
        <f>'Assets-Liab 5-6'!E41</f>
        <v>144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84191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1241</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1241</v>
      </c>
      <c r="C169" s="2" t="s">
        <v>573</v>
      </c>
      <c r="D169" s="2" t="str">
        <f t="shared" si="1"/>
        <v>Error?</v>
      </c>
    </row>
    <row r="170" spans="1:4" x14ac:dyDescent="0.2">
      <c r="A170" s="5">
        <v>109</v>
      </c>
      <c r="B170" s="138">
        <f>'Assets-Liab 5-6'!F39</f>
        <v>82950</v>
      </c>
      <c r="D170" s="2" t="str">
        <f t="shared" si="1"/>
        <v>Error?</v>
      </c>
    </row>
    <row r="171" spans="1:4" x14ac:dyDescent="0.2">
      <c r="A171" s="5">
        <v>110</v>
      </c>
      <c r="B171" s="138">
        <f>'Assets-Liab 5-6'!F41</f>
        <v>84191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176023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176023</v>
      </c>
      <c r="D189" s="2" t="str">
        <f t="shared" si="1"/>
        <v>Error?</v>
      </c>
    </row>
    <row r="190" spans="1:4" x14ac:dyDescent="0.2">
      <c r="A190" s="5">
        <v>129</v>
      </c>
      <c r="B190" s="138">
        <f>'Assets-Liab 5-6'!G41</f>
        <v>176023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198599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198599</v>
      </c>
      <c r="D212" s="2" t="str">
        <f t="shared" si="2"/>
        <v>Error?</v>
      </c>
    </row>
    <row r="213" spans="1:4" x14ac:dyDescent="0.2">
      <c r="A213" s="12">
        <v>152</v>
      </c>
      <c r="B213" s="138">
        <f>'Assets-Liab 5-6'!H41</f>
        <v>198599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330394</v>
      </c>
      <c r="D273" s="2" t="str">
        <f t="shared" si="3"/>
        <v>Error?</v>
      </c>
    </row>
    <row r="274" spans="1:4" x14ac:dyDescent="0.2">
      <c r="A274" s="5">
        <v>213</v>
      </c>
      <c r="B274" s="138">
        <f>'Assets-Liab 5-6'!M17</f>
        <v>12794814</v>
      </c>
      <c r="D274" s="2" t="str">
        <f t="shared" si="3"/>
        <v>Error?</v>
      </c>
    </row>
    <row r="275" spans="1:4" x14ac:dyDescent="0.2">
      <c r="A275" s="5">
        <v>214</v>
      </c>
      <c r="B275" s="138">
        <f>'Assets-Liab 5-6'!M18</f>
        <v>120572</v>
      </c>
      <c r="D275" s="2" t="str">
        <f t="shared" si="3"/>
        <v>Error?</v>
      </c>
    </row>
    <row r="276" spans="1:4" x14ac:dyDescent="0.2">
      <c r="A276" s="5">
        <v>215</v>
      </c>
      <c r="B276" s="138">
        <f>'Assets-Liab 5-6'!M19</f>
        <v>1393036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14638816</v>
      </c>
      <c r="C279" s="2" t="s">
        <v>573</v>
      </c>
      <c r="D279" s="2" t="str">
        <f t="shared" si="3"/>
        <v>Error?</v>
      </c>
    </row>
    <row r="280" spans="1:4" x14ac:dyDescent="0.2">
      <c r="A280" s="5">
        <v>219</v>
      </c>
      <c r="B280" s="138">
        <f>'Assets-Liab 5-6'!M40</f>
        <v>14638816</v>
      </c>
      <c r="D280" s="2" t="str">
        <f t="shared" si="3"/>
        <v>Error?</v>
      </c>
    </row>
    <row r="281" spans="1:4" x14ac:dyDescent="0.2">
      <c r="A281" s="5">
        <v>220</v>
      </c>
      <c r="B281" s="138">
        <f>'Assets-Liab 5-6'!M41</f>
        <v>14638816</v>
      </c>
      <c r="C281" s="2" t="s">
        <v>573</v>
      </c>
      <c r="D281" s="2" t="str">
        <f t="shared" si="3"/>
        <v>Error?</v>
      </c>
    </row>
    <row r="282" spans="1:4" x14ac:dyDescent="0.2">
      <c r="A282" s="5">
        <v>221</v>
      </c>
      <c r="B282" s="138">
        <f>'Assets-Liab 5-6'!N21</f>
        <v>144</v>
      </c>
      <c r="D282" s="2" t="str">
        <f t="shared" si="3"/>
        <v>Error?</v>
      </c>
    </row>
    <row r="283" spans="1:4" x14ac:dyDescent="0.2">
      <c r="A283" s="5">
        <v>222</v>
      </c>
      <c r="B283" s="138">
        <f>'Assets-Liab 5-6'!N22</f>
        <v>1547547</v>
      </c>
      <c r="D283" s="2" t="str">
        <f t="shared" si="3"/>
        <v>Error?</v>
      </c>
    </row>
    <row r="284" spans="1:4" x14ac:dyDescent="0.2">
      <c r="A284" s="5">
        <v>223</v>
      </c>
      <c r="B284" s="138">
        <f>'Assets-Liab 5-6'!N23</f>
        <v>1547691</v>
      </c>
      <c r="C284" s="2" t="s">
        <v>573</v>
      </c>
      <c r="D284" s="2" t="str">
        <f t="shared" si="3"/>
        <v>Error?</v>
      </c>
    </row>
    <row r="285" spans="1:4" x14ac:dyDescent="0.2">
      <c r="A285" s="5">
        <v>224</v>
      </c>
      <c r="B285" s="138">
        <f>'Assets-Liab 5-6'!N36</f>
        <v>1547691</v>
      </c>
      <c r="D285" s="2" t="str">
        <f t="shared" si="3"/>
        <v>Error?</v>
      </c>
    </row>
    <row r="286" spans="1:4" x14ac:dyDescent="0.2">
      <c r="A286" s="10">
        <v>225</v>
      </c>
      <c r="D286" s="2" t="str">
        <f t="shared" si="3"/>
        <v>OK</v>
      </c>
    </row>
    <row r="287" spans="1:4" x14ac:dyDescent="0.2">
      <c r="A287" s="5">
        <v>226</v>
      </c>
      <c r="B287" s="138">
        <f>'Assets-Liab 5-6'!N37</f>
        <v>1547691</v>
      </c>
      <c r="C287" s="2" t="s">
        <v>573</v>
      </c>
      <c r="D287" s="2" t="str">
        <f t="shared" si="3"/>
        <v>Error?</v>
      </c>
    </row>
    <row r="288" spans="1:4" x14ac:dyDescent="0.2">
      <c r="A288" s="5">
        <v>227</v>
      </c>
      <c r="B288" s="138">
        <f>'Assets-Liab 5-6'!N41</f>
        <v>1547691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3003696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123995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4397328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123564</v>
      </c>
      <c r="D722" s="2" t="str">
        <f t="shared" si="10"/>
        <v>Error?</v>
      </c>
    </row>
    <row r="723" spans="1:4" x14ac:dyDescent="0.2">
      <c r="A723" s="5">
        <v>662</v>
      </c>
      <c r="B723" s="138">
        <f>'Expenditures 15-22'!C38</f>
        <v>77559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115003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316126</v>
      </c>
      <c r="C727" s="2" t="s">
        <v>573</v>
      </c>
      <c r="D727" s="2" t="str">
        <f t="shared" si="10"/>
        <v>Error?</v>
      </c>
    </row>
    <row r="728" spans="1:4" x14ac:dyDescent="0.2">
      <c r="A728" s="5">
        <v>667</v>
      </c>
      <c r="B728" s="138">
        <f>'Expenditures 15-22'!C44</f>
        <v>59282</v>
      </c>
      <c r="D728" s="2" t="str">
        <f t="shared" si="10"/>
        <v>Error?</v>
      </c>
    </row>
    <row r="729" spans="1:4" x14ac:dyDescent="0.2">
      <c r="A729" s="5">
        <v>668</v>
      </c>
      <c r="B729" s="138">
        <f>'Expenditures 15-22'!C45</f>
        <v>67829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127111</v>
      </c>
      <c r="C731" s="2" t="s">
        <v>573</v>
      </c>
      <c r="D731" s="2" t="str">
        <f t="shared" si="10"/>
        <v>Error?</v>
      </c>
    </row>
    <row r="732" spans="1:4" x14ac:dyDescent="0.2">
      <c r="A732" s="5">
        <v>671</v>
      </c>
      <c r="B732" s="138">
        <f>'Expenditures 15-22'!C49</f>
        <v>1960</v>
      </c>
      <c r="D732" s="2" t="str">
        <f t="shared" si="10"/>
        <v>Error?</v>
      </c>
    </row>
    <row r="733" spans="1:4" x14ac:dyDescent="0.2">
      <c r="A733" s="5">
        <v>672</v>
      </c>
      <c r="B733" s="138">
        <f>'Expenditures 15-22'!C50</f>
        <v>126251</v>
      </c>
      <c r="D733" s="2" t="str">
        <f t="shared" si="10"/>
        <v>Error?</v>
      </c>
    </row>
    <row r="734" spans="1:4" x14ac:dyDescent="0.2">
      <c r="A734" s="5">
        <v>673</v>
      </c>
      <c r="B734" s="138">
        <f>'Expenditures 15-22'!C53</f>
        <v>150359</v>
      </c>
      <c r="C734" s="2" t="s">
        <v>573</v>
      </c>
      <c r="D734" s="2" t="str">
        <f t="shared" si="10"/>
        <v>Error?</v>
      </c>
    </row>
    <row r="735" spans="1:4" x14ac:dyDescent="0.2">
      <c r="A735" s="5">
        <v>674</v>
      </c>
      <c r="B735" s="138">
        <f>'Expenditures 15-22'!C55</f>
        <v>341643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341643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289671</v>
      </c>
      <c r="D739" s="2" t="str">
        <f t="shared" si="10"/>
        <v>Error?</v>
      </c>
    </row>
    <row r="740" spans="1:4" x14ac:dyDescent="0.2">
      <c r="A740" s="5">
        <v>679</v>
      </c>
      <c r="B740" s="138">
        <f>'Expenditures 15-22'!C61</f>
        <v>465791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225404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980866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18050</v>
      </c>
      <c r="D751" s="2" t="str">
        <f t="shared" si="10"/>
        <v>Error?</v>
      </c>
    </row>
    <row r="752" spans="1:4" x14ac:dyDescent="0.2">
      <c r="A752" s="10">
        <v>691</v>
      </c>
      <c r="D752" s="2" t="str">
        <f t="shared" si="10"/>
        <v>OK</v>
      </c>
    </row>
    <row r="753" spans="1:4" x14ac:dyDescent="0.2">
      <c r="A753" s="5">
        <v>692</v>
      </c>
      <c r="B753" s="138">
        <f>'Expenditures 15-22'!C72</f>
        <v>18050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1934155</v>
      </c>
      <c r="C755" s="2" t="s">
        <v>573</v>
      </c>
      <c r="D755" s="2" t="str">
        <f t="shared" si="10"/>
        <v>Error?</v>
      </c>
    </row>
    <row r="756" spans="1:4" x14ac:dyDescent="0.2">
      <c r="A756" s="5">
        <v>695</v>
      </c>
      <c r="B756" s="138">
        <f>'Expenditures 15-22'!C75</f>
        <v>117755</v>
      </c>
      <c r="D756" s="2" t="str">
        <f t="shared" si="10"/>
        <v>Error?</v>
      </c>
    </row>
    <row r="757" spans="1:4" x14ac:dyDescent="0.2">
      <c r="A757" s="5">
        <v>696</v>
      </c>
      <c r="B757" s="138">
        <f>'Expenditures 15-22'!C114</f>
        <v>6449238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628134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9872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927111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33238</v>
      </c>
      <c r="D780" s="2" t="str">
        <f t="shared" si="11"/>
        <v>Error?</v>
      </c>
    </row>
    <row r="781" spans="1:4" x14ac:dyDescent="0.2">
      <c r="A781" s="5">
        <v>720</v>
      </c>
      <c r="B781" s="138">
        <f>'Expenditures 15-22'!D38</f>
        <v>19792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13759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66789</v>
      </c>
      <c r="C785" s="2" t="s">
        <v>573</v>
      </c>
      <c r="D785" s="2" t="str">
        <f t="shared" si="11"/>
        <v>Error?</v>
      </c>
    </row>
    <row r="786" spans="1:4" x14ac:dyDescent="0.2">
      <c r="A786" s="5">
        <v>725</v>
      </c>
      <c r="B786" s="138">
        <f>'Expenditures 15-22'!D44</f>
        <v>11808</v>
      </c>
      <c r="D786" s="2" t="str">
        <f t="shared" si="11"/>
        <v>Error?</v>
      </c>
    </row>
    <row r="787" spans="1:4" x14ac:dyDescent="0.2">
      <c r="A787" s="5">
        <v>726</v>
      </c>
      <c r="B787" s="138">
        <f>'Expenditures 15-22'!D45</f>
        <v>21211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33019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17078</v>
      </c>
      <c r="D791" s="2" t="str">
        <f t="shared" si="11"/>
        <v>Error?</v>
      </c>
    </row>
    <row r="792" spans="1:4" x14ac:dyDescent="0.2">
      <c r="A792" s="5">
        <v>731</v>
      </c>
      <c r="B792" s="138">
        <f>'Expenditures 15-22'!D53</f>
        <v>21956</v>
      </c>
      <c r="C792" s="2" t="s">
        <v>573</v>
      </c>
      <c r="D792" s="2" t="str">
        <f t="shared" si="11"/>
        <v>Error?</v>
      </c>
    </row>
    <row r="793" spans="1:4" x14ac:dyDescent="0.2">
      <c r="A793" s="5">
        <v>732</v>
      </c>
      <c r="B793" s="138">
        <f>'Expenditures 15-22'!D55</f>
        <v>63258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63258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43634</v>
      </c>
      <c r="D797" s="2" t="str">
        <f t="shared" si="11"/>
        <v>Error?</v>
      </c>
    </row>
    <row r="798" spans="1:4" x14ac:dyDescent="0.2">
      <c r="A798" s="5">
        <v>737</v>
      </c>
      <c r="B798" s="138">
        <f>'Expenditures 15-22'!D61</f>
        <v>78896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37575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160105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6661</v>
      </c>
      <c r="D809" s="2" t="str">
        <f t="shared" si="11"/>
        <v>Error?</v>
      </c>
    </row>
    <row r="810" spans="1:4" x14ac:dyDescent="0.2">
      <c r="A810" s="10">
        <v>749</v>
      </c>
      <c r="D810" s="2" t="str">
        <f t="shared" si="11"/>
        <v>OK</v>
      </c>
    </row>
    <row r="811" spans="1:4" x14ac:dyDescent="0.2">
      <c r="A811" s="5">
        <v>750</v>
      </c>
      <c r="B811" s="138">
        <f>'Expenditures 15-22'!D72</f>
        <v>6661</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351788</v>
      </c>
      <c r="C813" s="2" t="s">
        <v>573</v>
      </c>
      <c r="D813" s="2" t="str">
        <f t="shared" si="11"/>
        <v>Error?</v>
      </c>
    </row>
    <row r="814" spans="1:4" x14ac:dyDescent="0.2">
      <c r="A814" s="5">
        <v>753</v>
      </c>
      <c r="B814" s="138">
        <f>'Expenditures 15-22'!D75</f>
        <v>46176</v>
      </c>
      <c r="D814" s="2" t="str">
        <f t="shared" si="11"/>
        <v>Error?</v>
      </c>
    </row>
    <row r="815" spans="1:4" x14ac:dyDescent="0.2">
      <c r="A815" s="5">
        <v>754</v>
      </c>
      <c r="B815" s="138">
        <f>'Expenditures 15-22'!D114</f>
        <v>1325075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32016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58078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149991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365</v>
      </c>
      <c r="D838" s="2" t="str">
        <f t="shared" si="12"/>
        <v>Error?</v>
      </c>
    </row>
    <row r="839" spans="1:4" x14ac:dyDescent="0.2">
      <c r="A839" s="5">
        <v>778</v>
      </c>
      <c r="B839" s="138">
        <f>'Expenditures 15-22'!E38</f>
        <v>127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177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669</v>
      </c>
      <c r="C843" s="2" t="s">
        <v>573</v>
      </c>
      <c r="D843" s="2" t="str">
        <f t="shared" si="12"/>
        <v>Error?</v>
      </c>
    </row>
    <row r="844" spans="1:4" x14ac:dyDescent="0.2">
      <c r="A844" s="5">
        <v>783</v>
      </c>
      <c r="B844" s="138">
        <f>'Expenditures 15-22'!E44</f>
        <v>32090</v>
      </c>
      <c r="D844" s="2" t="str">
        <f t="shared" si="12"/>
        <v>Error?</v>
      </c>
    </row>
    <row r="845" spans="1:4" x14ac:dyDescent="0.2">
      <c r="A845" s="5">
        <v>784</v>
      </c>
      <c r="B845" s="138">
        <f>'Expenditures 15-22'!E45</f>
        <v>3833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35923</v>
      </c>
      <c r="C847" s="2" t="s">
        <v>573</v>
      </c>
      <c r="D847" s="2" t="str">
        <f t="shared" si="12"/>
        <v>Error?</v>
      </c>
    </row>
    <row r="848" spans="1:4" x14ac:dyDescent="0.2">
      <c r="A848" s="5">
        <v>787</v>
      </c>
      <c r="B848" s="138">
        <f>'Expenditures 15-22'!E49</f>
        <v>60197</v>
      </c>
      <c r="D848" s="2" t="str">
        <f t="shared" si="12"/>
        <v>Error?</v>
      </c>
    </row>
    <row r="849" spans="1:4" x14ac:dyDescent="0.2">
      <c r="A849" s="5">
        <v>788</v>
      </c>
      <c r="B849" s="138">
        <f>'Expenditures 15-22'!E50</f>
        <v>6104</v>
      </c>
      <c r="D849" s="2" t="str">
        <f t="shared" si="12"/>
        <v>Error?</v>
      </c>
    </row>
    <row r="850" spans="1:4" x14ac:dyDescent="0.2">
      <c r="A850" s="5">
        <v>789</v>
      </c>
      <c r="B850" s="138">
        <f>'Expenditures 15-22'!E53</f>
        <v>69613</v>
      </c>
      <c r="C850" s="2" t="s">
        <v>573</v>
      </c>
      <c r="D850" s="2" t="str">
        <f t="shared" si="12"/>
        <v>Error?</v>
      </c>
    </row>
    <row r="851" spans="1:4" x14ac:dyDescent="0.2">
      <c r="A851" s="5">
        <v>790</v>
      </c>
      <c r="B851" s="138">
        <f>'Expenditures 15-22'!E55</f>
        <v>1147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1147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1719</v>
      </c>
      <c r="D855" s="2" t="str">
        <f t="shared" si="12"/>
        <v>Error?</v>
      </c>
    </row>
    <row r="856" spans="1:4" x14ac:dyDescent="0.2">
      <c r="A856" s="5">
        <v>795</v>
      </c>
      <c r="B856" s="138">
        <f>'Expenditures 15-22'!E61</f>
        <v>1745</v>
      </c>
      <c r="D856" s="2" t="str">
        <f t="shared" si="12"/>
        <v>Error?</v>
      </c>
    </row>
    <row r="857" spans="1:4" x14ac:dyDescent="0.2">
      <c r="A857" s="5">
        <v>796</v>
      </c>
      <c r="B857" s="138">
        <f>'Expenditures 15-22'!E62</f>
        <v>11000</v>
      </c>
      <c r="D857" s="2" t="str">
        <f t="shared" si="12"/>
        <v>Error?</v>
      </c>
    </row>
    <row r="858" spans="1:4" x14ac:dyDescent="0.2">
      <c r="A858" s="5">
        <v>797</v>
      </c>
      <c r="B858" s="138">
        <f>'Expenditures 15-22'!E63</f>
        <v>2497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16961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124313</v>
      </c>
      <c r="C871" s="2" t="s">
        <v>573</v>
      </c>
      <c r="D871" s="2" t="str">
        <f t="shared" si="12"/>
        <v>Error?</v>
      </c>
    </row>
    <row r="872" spans="1:4" x14ac:dyDescent="0.2">
      <c r="A872" s="5">
        <v>811</v>
      </c>
      <c r="B872" s="138">
        <f>'Expenditures 15-22'!E75</f>
        <v>7837</v>
      </c>
      <c r="D872" s="2" t="str">
        <f t="shared" si="12"/>
        <v>Error?</v>
      </c>
    </row>
    <row r="873" spans="1:4" x14ac:dyDescent="0.2">
      <c r="A873" s="5">
        <v>812</v>
      </c>
      <c r="B873" s="138">
        <f>'Expenditures 15-22'!E114</f>
        <v>297985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66657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20137</v>
      </c>
      <c r="D891" s="2" t="str">
        <f t="shared" si="12"/>
        <v>Error?</v>
      </c>
    </row>
    <row r="892" spans="1:4" x14ac:dyDescent="0.2">
      <c r="A892" s="5">
        <v>831</v>
      </c>
      <c r="B892" s="138">
        <f>'Expenditures 15-22'!F14</f>
        <v>23542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232646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1706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328</v>
      </c>
      <c r="D899" s="2" t="str">
        <f t="shared" si="13"/>
        <v>Error?</v>
      </c>
    </row>
    <row r="900" spans="1:4" x14ac:dyDescent="0.2">
      <c r="A900" s="5">
        <v>839</v>
      </c>
      <c r="B900" s="138">
        <f>'Expenditures 15-22'!F41</f>
        <v>2378</v>
      </c>
      <c r="D900" s="2" t="str">
        <f t="shared" si="13"/>
        <v>Error?</v>
      </c>
    </row>
    <row r="901" spans="1:4" x14ac:dyDescent="0.2">
      <c r="A901" s="5">
        <v>840</v>
      </c>
      <c r="B901" s="138">
        <f>'Expenditures 15-22'!F42</f>
        <v>4412</v>
      </c>
      <c r="C901" s="2" t="s">
        <v>573</v>
      </c>
      <c r="D901" s="2" t="str">
        <f t="shared" si="13"/>
        <v>Error?</v>
      </c>
    </row>
    <row r="902" spans="1:4" x14ac:dyDescent="0.2">
      <c r="A902" s="5">
        <v>841</v>
      </c>
      <c r="B902" s="138">
        <f>'Expenditures 15-22'!F44</f>
        <v>5757</v>
      </c>
      <c r="D902" s="2" t="str">
        <f t="shared" si="13"/>
        <v>Error?</v>
      </c>
    </row>
    <row r="903" spans="1:4" x14ac:dyDescent="0.2">
      <c r="A903" s="5">
        <v>842</v>
      </c>
      <c r="B903" s="138">
        <f>'Expenditures 15-22'!F45</f>
        <v>3122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8879</v>
      </c>
      <c r="C905" s="2" t="s">
        <v>573</v>
      </c>
      <c r="D905" s="2" t="str">
        <f t="shared" si="13"/>
        <v>Error?</v>
      </c>
    </row>
    <row r="906" spans="1:4" x14ac:dyDescent="0.2">
      <c r="A906" s="5">
        <v>845</v>
      </c>
      <c r="B906" s="138">
        <f>'Expenditures 15-22'!F49</f>
        <v>2604</v>
      </c>
      <c r="D906" s="2" t="str">
        <f t="shared" si="13"/>
        <v>Error?</v>
      </c>
    </row>
    <row r="907" spans="1:4" x14ac:dyDescent="0.2">
      <c r="A907" s="5">
        <v>846</v>
      </c>
      <c r="B907" s="138">
        <f>'Expenditures 15-22'!F50</f>
        <v>200</v>
      </c>
      <c r="D907" s="2" t="str">
        <f t="shared" si="13"/>
        <v>Error?</v>
      </c>
    </row>
    <row r="908" spans="1:4" x14ac:dyDescent="0.2">
      <c r="A908" s="5">
        <v>847</v>
      </c>
      <c r="B908" s="138">
        <f>'Expenditures 15-22'!F53</f>
        <v>4028</v>
      </c>
      <c r="C908" s="2" t="s">
        <v>573</v>
      </c>
      <c r="D908" s="2" t="str">
        <f t="shared" si="13"/>
        <v>Error?</v>
      </c>
    </row>
    <row r="909" spans="1:4" x14ac:dyDescent="0.2">
      <c r="A909" s="5">
        <v>848</v>
      </c>
      <c r="B909" s="138">
        <f>'Expenditures 15-22'!F55</f>
        <v>1547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1547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11525</v>
      </c>
      <c r="D913" s="2" t="str">
        <f t="shared" si="13"/>
        <v>Error?</v>
      </c>
    </row>
    <row r="914" spans="1:4" x14ac:dyDescent="0.2">
      <c r="A914" s="5">
        <v>853</v>
      </c>
      <c r="B914" s="138">
        <f>'Expenditures 15-22'!F61</f>
        <v>13311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427727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452563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471429</v>
      </c>
      <c r="C929" s="2" t="s">
        <v>573</v>
      </c>
      <c r="D929" s="2" t="str">
        <f t="shared" si="13"/>
        <v>Error?</v>
      </c>
    </row>
    <row r="930" spans="1:4" x14ac:dyDescent="0.2">
      <c r="A930" s="5">
        <v>869</v>
      </c>
      <c r="B930" s="138">
        <f>'Expenditures 15-22'!F75</f>
        <v>15124</v>
      </c>
      <c r="D930" s="2" t="str">
        <f t="shared" si="13"/>
        <v>Error?</v>
      </c>
    </row>
    <row r="931" spans="1:4" x14ac:dyDescent="0.2">
      <c r="A931" s="5">
        <v>870</v>
      </c>
      <c r="B931" s="138">
        <f>'Expenditures 15-22'!F114</f>
        <v>719199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4828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27230</v>
      </c>
      <c r="D949" s="2" t="str">
        <f t="shared" si="13"/>
        <v>Error?</v>
      </c>
    </row>
    <row r="950" spans="1:4" x14ac:dyDescent="0.2">
      <c r="A950" s="5">
        <v>889</v>
      </c>
      <c r="B950" s="138">
        <f>'Expenditures 15-22'!G14</f>
        <v>1566</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55363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890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890</v>
      </c>
      <c r="C959" s="2" t="s">
        <v>573</v>
      </c>
      <c r="D959" s="2" t="str">
        <f t="shared" ref="D959:D1022" si="14">IF(ISBLANK(B959),"OK",IF(A959-B959=0,"OK","Error?"))</f>
        <v>Error?</v>
      </c>
    </row>
    <row r="960" spans="1:4" x14ac:dyDescent="0.2">
      <c r="A960" s="5">
        <v>899</v>
      </c>
      <c r="B960" s="138">
        <f>'Expenditures 15-22'!G44</f>
        <v>2607</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2607</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119088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21191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140279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143776</v>
      </c>
      <c r="C987" s="2" t="s">
        <v>573</v>
      </c>
      <c r="D987" s="2" t="str">
        <f t="shared" si="14"/>
        <v>Error?</v>
      </c>
    </row>
    <row r="988" spans="1:4" x14ac:dyDescent="0.2">
      <c r="A988" s="5">
        <v>927</v>
      </c>
      <c r="B988" s="138">
        <f>'Expenditures 15-22'!G75</f>
        <v>22776</v>
      </c>
      <c r="D988" s="2" t="str">
        <f t="shared" si="14"/>
        <v>Error?</v>
      </c>
    </row>
    <row r="989" spans="1:4" x14ac:dyDescent="0.2">
      <c r="A989" s="5">
        <v>928</v>
      </c>
      <c r="B989" s="138">
        <f>'Expenditures 15-22'!G114</f>
        <v>221915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10465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9943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20408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70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70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12748</v>
      </c>
      <c r="D1022" s="2" t="str">
        <f t="shared" si="14"/>
        <v>Error?</v>
      </c>
    </row>
    <row r="1023" spans="1:4" x14ac:dyDescent="0.2">
      <c r="A1023" s="5">
        <v>962</v>
      </c>
      <c r="B1023" s="138">
        <f>'Expenditures 15-22'!H50</f>
        <v>1435</v>
      </c>
      <c r="D1023" s="2" t="str">
        <f t="shared" ref="D1023:D1086" si="15">IF(ISBLANK(B1023),"OK",IF(A1023-B1023=0,"OK","Error?"))</f>
        <v>Error?</v>
      </c>
    </row>
    <row r="1024" spans="1:4" x14ac:dyDescent="0.2">
      <c r="A1024" s="5">
        <v>963</v>
      </c>
      <c r="B1024" s="138">
        <f>'Expenditures 15-22'!H53</f>
        <v>14183</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1854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1854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16107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400879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437394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3745796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47367</v>
      </c>
      <c r="C1105" s="2" t="s">
        <v>573</v>
      </c>
      <c r="D1105" s="2" t="str">
        <f t="shared" si="16"/>
        <v>Error?</v>
      </c>
    </row>
    <row r="1106" spans="1:4" x14ac:dyDescent="0.2">
      <c r="A1106" s="5">
        <v>1045</v>
      </c>
      <c r="B1106" s="138">
        <f>'Expenditures 15-22'!K14</f>
        <v>226996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5782847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157167</v>
      </c>
      <c r="C1110" s="2" t="s">
        <v>573</v>
      </c>
      <c r="D1110" s="2" t="str">
        <f t="shared" si="16"/>
        <v>Error?</v>
      </c>
    </row>
    <row r="1111" spans="1:4" x14ac:dyDescent="0.2">
      <c r="A1111" s="5">
        <v>1050</v>
      </c>
      <c r="B1111" s="138">
        <f>'Expenditures 15-22'!K38</f>
        <v>100144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129267</v>
      </c>
      <c r="C1113" s="2" t="s">
        <v>573</v>
      </c>
      <c r="D1113" s="2" t="str">
        <f t="shared" si="16"/>
        <v>Error?</v>
      </c>
    </row>
    <row r="1114" spans="1:4" x14ac:dyDescent="0.2">
      <c r="A1114" s="5">
        <v>1053</v>
      </c>
      <c r="B1114" s="138">
        <f>'Expenditures 15-22'!K41</f>
        <v>2378</v>
      </c>
      <c r="C1114" s="2" t="s">
        <v>573</v>
      </c>
      <c r="D1114" s="2" t="str">
        <f t="shared" si="16"/>
        <v>Error?</v>
      </c>
    </row>
    <row r="1115" spans="1:4" x14ac:dyDescent="0.2">
      <c r="A1115" s="5">
        <v>1054</v>
      </c>
      <c r="B1115" s="138">
        <f>'Expenditures 15-22'!K42</f>
        <v>388956</v>
      </c>
      <c r="C1115" s="2" t="s">
        <v>573</v>
      </c>
      <c r="D1115" s="2" t="str">
        <f t="shared" si="16"/>
        <v>Error?</v>
      </c>
    </row>
    <row r="1116" spans="1:4" x14ac:dyDescent="0.2">
      <c r="A1116" s="5">
        <v>1055</v>
      </c>
      <c r="B1116" s="138">
        <f>'Expenditures 15-22'!K44</f>
        <v>111544</v>
      </c>
      <c r="C1116" s="2" t="s">
        <v>573</v>
      </c>
      <c r="D1116" s="2" t="str">
        <f t="shared" si="16"/>
        <v>Error?</v>
      </c>
    </row>
    <row r="1117" spans="1:4" x14ac:dyDescent="0.2">
      <c r="A1117" s="5">
        <v>1056</v>
      </c>
      <c r="B1117" s="138">
        <f>'Expenditures 15-22'!K45</f>
        <v>95995</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207539</v>
      </c>
      <c r="C1119" s="2" t="s">
        <v>573</v>
      </c>
      <c r="D1119" s="2" t="str">
        <f t="shared" si="16"/>
        <v>Error?</v>
      </c>
    </row>
    <row r="1120" spans="1:4" x14ac:dyDescent="0.2">
      <c r="A1120" s="5">
        <v>1059</v>
      </c>
      <c r="B1120" s="138">
        <f>'Expenditures 15-22'!K49</f>
        <v>77509</v>
      </c>
      <c r="C1120" s="2" t="s">
        <v>573</v>
      </c>
      <c r="D1120" s="2" t="str">
        <f t="shared" si="16"/>
        <v>Error?</v>
      </c>
    </row>
    <row r="1121" spans="1:4" x14ac:dyDescent="0.2">
      <c r="A1121" s="5">
        <v>1060</v>
      </c>
      <c r="B1121" s="138">
        <f>'Expenditures 15-22'!K50</f>
        <v>151068</v>
      </c>
      <c r="C1121" s="2" t="s">
        <v>573</v>
      </c>
      <c r="D1121" s="2" t="str">
        <f t="shared" si="16"/>
        <v>Error?</v>
      </c>
    </row>
    <row r="1122" spans="1:4" x14ac:dyDescent="0.2">
      <c r="A1122" s="5">
        <v>1061</v>
      </c>
      <c r="B1122" s="138">
        <f>'Expenditures 15-22'!K53</f>
        <v>260139</v>
      </c>
      <c r="C1122" s="2" t="s">
        <v>573</v>
      </c>
      <c r="D1122" s="2" t="str">
        <f t="shared" si="16"/>
        <v>Error?</v>
      </c>
    </row>
    <row r="1123" spans="1:4" x14ac:dyDescent="0.2">
      <c r="A1123" s="5">
        <v>1062</v>
      </c>
      <c r="B1123" s="138">
        <f>'Expenditures 15-22'!K55</f>
        <v>407595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407595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346549</v>
      </c>
      <c r="C1127" s="2" t="s">
        <v>573</v>
      </c>
      <c r="D1127" s="2" t="str">
        <f t="shared" si="16"/>
        <v>Error?</v>
      </c>
    </row>
    <row r="1128" spans="1:4" x14ac:dyDescent="0.2">
      <c r="A1128" s="5">
        <v>1067</v>
      </c>
      <c r="B1128" s="138">
        <f>'Expenditures 15-22'!K61</f>
        <v>678831</v>
      </c>
      <c r="C1128" s="2" t="s">
        <v>573</v>
      </c>
      <c r="D1128" s="2" t="str">
        <f t="shared" si="16"/>
        <v>Error?</v>
      </c>
    </row>
    <row r="1129" spans="1:4" x14ac:dyDescent="0.2">
      <c r="A1129" s="5">
        <v>1068</v>
      </c>
      <c r="B1129" s="138">
        <f>'Expenditures 15-22'!K62</f>
        <v>11000</v>
      </c>
      <c r="C1129" s="2" t="s">
        <v>573</v>
      </c>
      <c r="D1129" s="2" t="str">
        <f t="shared" si="16"/>
        <v>Error?</v>
      </c>
    </row>
    <row r="1130" spans="1:4" x14ac:dyDescent="0.2">
      <c r="A1130" s="5">
        <v>1069</v>
      </c>
      <c r="B1130" s="138">
        <f>'Expenditures 15-22'!K63</f>
        <v>716248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1752628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24711</v>
      </c>
      <c r="C1139" s="2" t="s">
        <v>573</v>
      </c>
      <c r="D1139" s="2" t="str">
        <f t="shared" si="16"/>
        <v>Error?</v>
      </c>
    </row>
    <row r="1140" spans="1:4" x14ac:dyDescent="0.2">
      <c r="A1140" s="10">
        <v>1079</v>
      </c>
      <c r="D1140" s="2" t="str">
        <f t="shared" si="16"/>
        <v>OK</v>
      </c>
    </row>
    <row r="1141" spans="1:4" x14ac:dyDescent="0.2">
      <c r="A1141" s="5">
        <v>1080</v>
      </c>
      <c r="B1141" s="138">
        <f>'Expenditures 15-22'!K72</f>
        <v>24711</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3041568</v>
      </c>
      <c r="C1143" s="2" t="s">
        <v>573</v>
      </c>
      <c r="D1143" s="2" t="str">
        <f t="shared" si="16"/>
        <v>Error?</v>
      </c>
    </row>
    <row r="1144" spans="1:4" x14ac:dyDescent="0.2">
      <c r="A1144" s="5">
        <v>1083</v>
      </c>
      <c r="B1144" s="138">
        <f>'Expenditures 15-22'!K75</f>
        <v>209668</v>
      </c>
      <c r="C1144" s="2" t="s">
        <v>573</v>
      </c>
      <c r="D1144" s="2" t="str">
        <f t="shared" si="16"/>
        <v>Error?</v>
      </c>
    </row>
    <row r="1145" spans="1:4" x14ac:dyDescent="0.2">
      <c r="A1145" s="5">
        <v>1084</v>
      </c>
      <c r="B1145" s="138">
        <f>'Expenditures 15-22'!K102</f>
        <v>416723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9450806</v>
      </c>
      <c r="C1152" s="2" t="s">
        <v>573</v>
      </c>
      <c r="D1152" s="2" t="str">
        <f t="shared" si="17"/>
        <v>Error?</v>
      </c>
    </row>
    <row r="1153" spans="1:4" x14ac:dyDescent="0.2">
      <c r="A1153" s="5">
        <v>1092</v>
      </c>
      <c r="B1153" s="138">
        <f>'Expenditures 15-22'!K115</f>
        <v>1399087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68105</v>
      </c>
      <c r="D1237" s="2" t="str">
        <f t="shared" si="18"/>
        <v>Error?</v>
      </c>
    </row>
    <row r="1238" spans="1:4" x14ac:dyDescent="0.2">
      <c r="A1238" s="10">
        <v>1177</v>
      </c>
      <c r="D1238" s="2" t="str">
        <f t="shared" si="18"/>
        <v>OK</v>
      </c>
    </row>
    <row r="1239" spans="1:4" x14ac:dyDescent="0.2">
      <c r="A1239" s="5">
        <v>1178</v>
      </c>
      <c r="B1239" s="138">
        <f>'Expenditures 15-22'!E127</f>
        <v>68105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68105</v>
      </c>
      <c r="C1241" s="2" t="s">
        <v>573</v>
      </c>
      <c r="D1241" s="2" t="str">
        <f t="shared" si="18"/>
        <v>Error?</v>
      </c>
    </row>
    <row r="1242" spans="1:4" x14ac:dyDescent="0.2">
      <c r="A1242" s="5">
        <v>1181</v>
      </c>
      <c r="B1242" s="138">
        <f>'Expenditures 15-22'!E151</f>
        <v>68105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390892</v>
      </c>
      <c r="D1245" s="2" t="str">
        <f t="shared" si="18"/>
        <v>Error?</v>
      </c>
    </row>
    <row r="1246" spans="1:4" x14ac:dyDescent="0.2">
      <c r="A1246" s="10">
        <v>1185</v>
      </c>
      <c r="D1246" s="2" t="str">
        <f t="shared" si="18"/>
        <v>OK</v>
      </c>
    </row>
    <row r="1247" spans="1:4" x14ac:dyDescent="0.2">
      <c r="A1247" s="5">
        <v>1186</v>
      </c>
      <c r="B1247" s="138">
        <f>'Expenditures 15-22'!F127</f>
        <v>390892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390892</v>
      </c>
      <c r="C1249" s="2" t="s">
        <v>573</v>
      </c>
      <c r="D1249" s="2" t="str">
        <f t="shared" si="18"/>
        <v>Error?</v>
      </c>
    </row>
    <row r="1250" spans="1:4" x14ac:dyDescent="0.2">
      <c r="A1250" s="5">
        <v>1189</v>
      </c>
      <c r="B1250" s="138">
        <f>'Expenditures 15-22'!F151</f>
        <v>390892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23730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23730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23730</v>
      </c>
      <c r="C1258" s="2" t="s">
        <v>573</v>
      </c>
      <c r="D1258" s="2" t="str">
        <f t="shared" si="18"/>
        <v>Error?</v>
      </c>
    </row>
    <row r="1259" spans="1:4" x14ac:dyDescent="0.2">
      <c r="A1259" s="5">
        <v>1198</v>
      </c>
      <c r="B1259" s="138">
        <f>'Expenditures 15-22'!G151</f>
        <v>23730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482727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482727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482727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482727</v>
      </c>
      <c r="C1288" s="2" t="s">
        <v>573</v>
      </c>
      <c r="D1288" s="2" t="str">
        <f t="shared" si="19"/>
        <v>Error?</v>
      </c>
    </row>
    <row r="1289" spans="1:4" x14ac:dyDescent="0.2">
      <c r="A1289" s="5">
        <v>1228</v>
      </c>
      <c r="B1289" s="138">
        <f>'Expenditures 15-22'!K152</f>
        <v>63535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37687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226900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264587</v>
      </c>
      <c r="C1317" s="2" t="s">
        <v>573</v>
      </c>
      <c r="D1317" s="2" t="str">
        <f t="shared" si="19"/>
        <v>Error?</v>
      </c>
    </row>
    <row r="1318" spans="1:4" x14ac:dyDescent="0.2">
      <c r="A1318" s="5">
        <v>1257</v>
      </c>
      <c r="B1318" s="138">
        <f>'Expenditures 15-22'!H174</f>
        <v>264587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37687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226900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264587</v>
      </c>
      <c r="C1331" s="2" t="s">
        <v>573</v>
      </c>
      <c r="D1331" s="2" t="str">
        <f t="shared" si="19"/>
        <v>Error?</v>
      </c>
    </row>
    <row r="1332" spans="1:4" x14ac:dyDescent="0.2">
      <c r="A1332" s="5">
        <v>1271</v>
      </c>
      <c r="B1332" s="138">
        <f>'Expenditures 15-22'!K174</f>
        <v>264587</v>
      </c>
      <c r="C1332" s="2" t="s">
        <v>573</v>
      </c>
      <c r="D1332" s="2" t="str">
        <f t="shared" si="19"/>
        <v>Error?</v>
      </c>
    </row>
    <row r="1333" spans="1:4" x14ac:dyDescent="0.2">
      <c r="A1333" s="5">
        <v>1272</v>
      </c>
      <c r="B1333" s="138">
        <f>'Expenditures 15-22'!K175</f>
        <v>-5677</v>
      </c>
      <c r="C1333" s="2" t="s">
        <v>573</v>
      </c>
      <c r="D1333" s="2" t="str">
        <f t="shared" si="19"/>
        <v>Error?</v>
      </c>
    </row>
    <row r="1334" spans="1:4" x14ac:dyDescent="0.2">
      <c r="A1334" s="10">
        <v>1273</v>
      </c>
      <c r="D1334" s="2" t="str">
        <f t="shared" si="19"/>
        <v>OK</v>
      </c>
    </row>
    <row r="1335" spans="1:4" x14ac:dyDescent="0.2">
      <c r="A1335" s="5">
        <v>1274</v>
      </c>
      <c r="B1335" s="138">
        <f>'Expenditures 15-22'!C182</f>
        <v>390884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390884</v>
      </c>
      <c r="C1339" s="2" t="s">
        <v>573</v>
      </c>
      <c r="D1339" s="2" t="str">
        <f t="shared" si="19"/>
        <v>Error?</v>
      </c>
    </row>
    <row r="1340" spans="1:4" x14ac:dyDescent="0.2">
      <c r="A1340" s="5">
        <v>1279</v>
      </c>
      <c r="B1340" s="138">
        <f>'Expenditures 15-22'!C210</f>
        <v>390884</v>
      </c>
      <c r="C1340" s="2" t="s">
        <v>573</v>
      </c>
      <c r="D1340" s="2" t="str">
        <f t="shared" si="19"/>
        <v>Error?</v>
      </c>
    </row>
    <row r="1341" spans="1:4" x14ac:dyDescent="0.2">
      <c r="A1341" s="5">
        <v>1280</v>
      </c>
      <c r="B1341" s="138">
        <f>'Expenditures 15-22'!D182</f>
        <v>84791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84791</v>
      </c>
      <c r="C1345" s="2" t="s">
        <v>573</v>
      </c>
      <c r="D1345" s="2" t="str">
        <f t="shared" si="20"/>
        <v>Error?</v>
      </c>
    </row>
    <row r="1346" spans="1:4" x14ac:dyDescent="0.2">
      <c r="A1346" s="5">
        <v>1285</v>
      </c>
      <c r="B1346" s="138">
        <f>'Expenditures 15-22'!D210</f>
        <v>84791</v>
      </c>
      <c r="C1346" s="2" t="s">
        <v>573</v>
      </c>
      <c r="D1346" s="2" t="str">
        <f t="shared" si="20"/>
        <v>Error?</v>
      </c>
    </row>
    <row r="1347" spans="1:4" x14ac:dyDescent="0.2">
      <c r="A1347" s="5">
        <v>1286</v>
      </c>
      <c r="B1347" s="138">
        <f>'Expenditures 15-22'!E182</f>
        <v>27754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27754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27754</v>
      </c>
      <c r="C1353" s="2" t="s">
        <v>573</v>
      </c>
      <c r="D1353" s="2" t="str">
        <f t="shared" si="20"/>
        <v>Error?</v>
      </c>
    </row>
    <row r="1354" spans="1:4" x14ac:dyDescent="0.2">
      <c r="A1354" s="5">
        <v>1293</v>
      </c>
      <c r="B1354" s="138">
        <f>'Expenditures 15-22'!F182</f>
        <v>157262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157262</v>
      </c>
      <c r="C1358" s="2" t="s">
        <v>573</v>
      </c>
      <c r="D1358" s="2" t="str">
        <f t="shared" si="20"/>
        <v>Error?</v>
      </c>
    </row>
    <row r="1359" spans="1:4" x14ac:dyDescent="0.2">
      <c r="A1359" s="5">
        <v>1298</v>
      </c>
      <c r="B1359" s="138">
        <f>'Expenditures 15-22'!F210</f>
        <v>157262</v>
      </c>
      <c r="C1359" s="2" t="s">
        <v>573</v>
      </c>
      <c r="D1359" s="2" t="str">
        <f t="shared" si="20"/>
        <v>Error?</v>
      </c>
    </row>
    <row r="1360" spans="1:4" x14ac:dyDescent="0.2">
      <c r="A1360" s="5">
        <v>1299</v>
      </c>
      <c r="B1360" s="138">
        <f>'Expenditures 15-22'!G182</f>
        <v>362219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362219</v>
      </c>
      <c r="C1364" s="2" t="s">
        <v>573</v>
      </c>
      <c r="D1364" s="2" t="str">
        <f t="shared" si="20"/>
        <v>Error?</v>
      </c>
    </row>
    <row r="1365" spans="1:4" x14ac:dyDescent="0.2">
      <c r="A1365" s="5">
        <v>1304</v>
      </c>
      <c r="B1365" s="138">
        <f>'Expenditures 15-22'!G210</f>
        <v>362219</v>
      </c>
      <c r="C1365" s="2" t="s">
        <v>573</v>
      </c>
      <c r="D1365" s="2" t="str">
        <f t="shared" si="20"/>
        <v>Error?</v>
      </c>
    </row>
    <row r="1366" spans="1:4" x14ac:dyDescent="0.2">
      <c r="A1366" s="5">
        <v>1305</v>
      </c>
      <c r="B1366" s="138">
        <f>'Expenditures 15-22'!H182</f>
        <v>2706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2706</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108664</v>
      </c>
      <c r="C1375" s="2" t="s">
        <v>573</v>
      </c>
      <c r="D1375" s="2" t="str">
        <f t="shared" si="20"/>
        <v>Error?</v>
      </c>
    </row>
    <row r="1376" spans="1:4" x14ac:dyDescent="0.2">
      <c r="A1376" s="5">
        <v>1315</v>
      </c>
      <c r="B1376" s="138">
        <f>'Expenditures 15-22'!H210</f>
        <v>111370</v>
      </c>
      <c r="C1376" s="2" t="s">
        <v>573</v>
      </c>
      <c r="D1376" s="2" t="str">
        <f t="shared" si="20"/>
        <v>Error?</v>
      </c>
    </row>
    <row r="1377" spans="1:4" x14ac:dyDescent="0.2">
      <c r="A1377" s="5">
        <v>1316</v>
      </c>
      <c r="B1377" s="138">
        <f>'Expenditures 15-22'!K182</f>
        <v>1025616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1025616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108664</v>
      </c>
      <c r="C1387" s="2" t="s">
        <v>573</v>
      </c>
      <c r="D1387" s="2" t="str">
        <f t="shared" si="20"/>
        <v>Error?</v>
      </c>
    </row>
    <row r="1388" spans="1:4" x14ac:dyDescent="0.2">
      <c r="A1388" s="5">
        <v>1327</v>
      </c>
      <c r="B1388" s="138">
        <f>'Expenditures 15-22'!K210</f>
        <v>1134280</v>
      </c>
      <c r="C1388" s="2" t="s">
        <v>573</v>
      </c>
      <c r="D1388" s="2" t="str">
        <f t="shared" si="20"/>
        <v>Error?</v>
      </c>
    </row>
    <row r="1389" spans="1:4" x14ac:dyDescent="0.2">
      <c r="A1389" s="5">
        <v>1328</v>
      </c>
      <c r="B1389" s="138">
        <f>'Expenditures 15-22'!K211</f>
        <v>2436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5668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127350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1766</v>
      </c>
      <c r="D1412" s="2" t="str">
        <f t="shared" si="21"/>
        <v>Error?</v>
      </c>
    </row>
    <row r="1413" spans="1:4" x14ac:dyDescent="0.2">
      <c r="A1413" s="5">
        <v>1352</v>
      </c>
      <c r="B1413" s="138">
        <f>'Expenditures 15-22'!D234</f>
        <v>10290</v>
      </c>
      <c r="D1413" s="2" t="str">
        <f t="shared" si="21"/>
        <v>Error?</v>
      </c>
    </row>
    <row r="1414" spans="1:4" x14ac:dyDescent="0.2">
      <c r="A1414" s="5">
        <v>1353</v>
      </c>
      <c r="B1414" s="138">
        <f>'Expenditures 15-22'!D235</f>
        <v>1701</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13757</v>
      </c>
      <c r="C1417" s="2" t="s">
        <v>573</v>
      </c>
      <c r="D1417" s="2" t="str">
        <f t="shared" si="21"/>
        <v>Error?</v>
      </c>
    </row>
    <row r="1418" spans="1:4" x14ac:dyDescent="0.2">
      <c r="A1418" s="5">
        <v>1357</v>
      </c>
      <c r="B1418" s="138">
        <f>'Expenditures 15-22'!D240</f>
        <v>6395</v>
      </c>
      <c r="D1418" s="2" t="str">
        <f t="shared" si="21"/>
        <v>Error?</v>
      </c>
    </row>
    <row r="1419" spans="1:4" x14ac:dyDescent="0.2">
      <c r="A1419" s="5">
        <v>1358</v>
      </c>
      <c r="B1419" s="138">
        <f>'Expenditures 15-22'!D241</f>
        <v>2990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9385</v>
      </c>
      <c r="C1421" s="2" t="s">
        <v>573</v>
      </c>
      <c r="D1421" s="2" t="str">
        <f t="shared" si="21"/>
        <v>Error?</v>
      </c>
    </row>
    <row r="1422" spans="1:4" x14ac:dyDescent="0.2">
      <c r="A1422" s="5">
        <v>1361</v>
      </c>
      <c r="B1422" s="138">
        <f>'Expenditures 15-22'!D245</f>
        <v>21</v>
      </c>
      <c r="D1422" s="2" t="str">
        <f t="shared" si="21"/>
        <v>Error?</v>
      </c>
    </row>
    <row r="1423" spans="1:4" x14ac:dyDescent="0.2">
      <c r="A1423" s="5">
        <v>1362</v>
      </c>
      <c r="B1423" s="138">
        <f>'Expenditures 15-22'!D246</f>
        <v>1719</v>
      </c>
      <c r="D1423" s="2" t="str">
        <f t="shared" si="21"/>
        <v>Error?</v>
      </c>
    </row>
    <row r="1424" spans="1:4" x14ac:dyDescent="0.2">
      <c r="A1424" s="5">
        <v>1363</v>
      </c>
      <c r="B1424" s="138">
        <f>'Expenditures 15-22'!D257</f>
        <v>1740</v>
      </c>
      <c r="C1424" s="2" t="s">
        <v>573</v>
      </c>
      <c r="D1424" s="2" t="str">
        <f t="shared" si="21"/>
        <v>Error?</v>
      </c>
    </row>
    <row r="1425" spans="1:4" x14ac:dyDescent="0.2">
      <c r="A1425" s="5">
        <v>1364</v>
      </c>
      <c r="B1425" s="138">
        <f>'Expenditures 15-22'!D259</f>
        <v>4405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4405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71908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77390</v>
      </c>
      <c r="D1431" s="2" t="str">
        <f t="shared" si="21"/>
        <v>Error?</v>
      </c>
    </row>
    <row r="1432" spans="1:4" x14ac:dyDescent="0.2">
      <c r="A1432" s="5">
        <v>1371</v>
      </c>
      <c r="B1432" s="138">
        <f>'Expenditures 15-22'!D267</f>
        <v>69957</v>
      </c>
      <c r="D1432" s="2" t="str">
        <f t="shared" si="21"/>
        <v>Error?</v>
      </c>
    </row>
    <row r="1433" spans="1:4" x14ac:dyDescent="0.2">
      <c r="A1433" s="5">
        <v>1372</v>
      </c>
      <c r="B1433" s="138">
        <f>'Expenditures 15-22'!D268</f>
        <v>38098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257353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286640</v>
      </c>
      <c r="C1446" s="2" t="s">
        <v>573</v>
      </c>
      <c r="D1446" s="2" t="str">
        <f t="shared" si="21"/>
        <v>Error?</v>
      </c>
    </row>
    <row r="1447" spans="1:4" x14ac:dyDescent="0.2">
      <c r="A1447" s="5">
        <v>1386</v>
      </c>
      <c r="B1447" s="138">
        <f>'Expenditures 15-22'!D280</f>
        <v>115</v>
      </c>
      <c r="D1447" s="2" t="str">
        <f t="shared" si="21"/>
        <v>Error?</v>
      </c>
    </row>
    <row r="1448" spans="1:4" x14ac:dyDescent="0.2">
      <c r="A1448" s="5">
        <v>1387</v>
      </c>
      <c r="B1448" s="138">
        <f>'Expenditures 15-22'!D295</f>
        <v>414105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5668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127350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1766</v>
      </c>
      <c r="C1476" s="2" t="s">
        <v>573</v>
      </c>
      <c r="D1476" s="2" t="str">
        <f t="shared" si="22"/>
        <v>Error?</v>
      </c>
    </row>
    <row r="1477" spans="1:4" x14ac:dyDescent="0.2">
      <c r="A1477" s="5">
        <v>1416</v>
      </c>
      <c r="B1477" s="138">
        <f>'Expenditures 15-22'!K234</f>
        <v>10290</v>
      </c>
      <c r="C1477" s="2" t="s">
        <v>573</v>
      </c>
      <c r="D1477" s="2" t="str">
        <f t="shared" si="22"/>
        <v>Error?</v>
      </c>
    </row>
    <row r="1478" spans="1:4" x14ac:dyDescent="0.2">
      <c r="A1478" s="5">
        <v>1417</v>
      </c>
      <c r="B1478" s="138">
        <f>'Expenditures 15-22'!K235</f>
        <v>1701</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13757</v>
      </c>
      <c r="C1481" s="2" t="s">
        <v>573</v>
      </c>
      <c r="D1481" s="2" t="str">
        <f t="shared" si="22"/>
        <v>Error?</v>
      </c>
    </row>
    <row r="1482" spans="1:4" x14ac:dyDescent="0.2">
      <c r="A1482" s="5">
        <v>1421</v>
      </c>
      <c r="B1482" s="138">
        <f>'Expenditures 15-22'!K240</f>
        <v>6395</v>
      </c>
      <c r="C1482" s="2" t="s">
        <v>573</v>
      </c>
      <c r="D1482" s="2" t="str">
        <f t="shared" si="22"/>
        <v>Error?</v>
      </c>
    </row>
    <row r="1483" spans="1:4" x14ac:dyDescent="0.2">
      <c r="A1483" s="5">
        <v>1422</v>
      </c>
      <c r="B1483" s="138">
        <f>'Expenditures 15-22'!K241</f>
        <v>2990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9385</v>
      </c>
      <c r="C1485" s="2" t="s">
        <v>573</v>
      </c>
      <c r="D1485" s="2" t="str">
        <f t="shared" si="22"/>
        <v>Error?</v>
      </c>
    </row>
    <row r="1486" spans="1:4" x14ac:dyDescent="0.2">
      <c r="A1486" s="5">
        <v>1425</v>
      </c>
      <c r="B1486" s="138">
        <f>'Expenditures 15-22'!K245</f>
        <v>21</v>
      </c>
      <c r="C1486" s="2" t="s">
        <v>573</v>
      </c>
      <c r="D1486" s="2" t="str">
        <f t="shared" si="22"/>
        <v>Error?</v>
      </c>
    </row>
    <row r="1487" spans="1:4" x14ac:dyDescent="0.2">
      <c r="A1487" s="5">
        <v>1426</v>
      </c>
      <c r="B1487" s="138">
        <f>'Expenditures 15-22'!K246</f>
        <v>1719</v>
      </c>
      <c r="C1487" s="2" t="s">
        <v>573</v>
      </c>
      <c r="D1487" s="2" t="str">
        <f t="shared" si="22"/>
        <v>Error?</v>
      </c>
    </row>
    <row r="1488" spans="1:4" x14ac:dyDescent="0.2">
      <c r="A1488" s="5">
        <v>1427</v>
      </c>
      <c r="B1488" s="138">
        <f>'Expenditures 15-22'!K257</f>
        <v>1740</v>
      </c>
      <c r="C1488" s="2" t="s">
        <v>573</v>
      </c>
      <c r="D1488" s="2" t="str">
        <f t="shared" si="22"/>
        <v>Error?</v>
      </c>
    </row>
    <row r="1489" spans="1:4" x14ac:dyDescent="0.2">
      <c r="A1489" s="5">
        <v>1428</v>
      </c>
      <c r="B1489" s="138">
        <f>'Expenditures 15-22'!K259</f>
        <v>4405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4405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71908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77390</v>
      </c>
      <c r="C1495" s="2" t="s">
        <v>573</v>
      </c>
      <c r="D1495" s="2" t="str">
        <f t="shared" si="22"/>
        <v>Error?</v>
      </c>
    </row>
    <row r="1496" spans="1:4" x14ac:dyDescent="0.2">
      <c r="A1496" s="5">
        <v>1435</v>
      </c>
      <c r="B1496" s="138">
        <f>'Expenditures 15-22'!K267</f>
        <v>69957</v>
      </c>
      <c r="C1496" s="2" t="s">
        <v>573</v>
      </c>
      <c r="D1496" s="2" t="str">
        <f t="shared" si="22"/>
        <v>Error?</v>
      </c>
    </row>
    <row r="1497" spans="1:4" x14ac:dyDescent="0.2">
      <c r="A1497" s="5">
        <v>1436</v>
      </c>
      <c r="B1497" s="138">
        <f>'Expenditures 15-22'!K268</f>
        <v>38098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257353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286640</v>
      </c>
      <c r="C1510" s="2" t="s">
        <v>573</v>
      </c>
      <c r="D1510" s="2" t="str">
        <f t="shared" si="22"/>
        <v>Error?</v>
      </c>
    </row>
    <row r="1511" spans="1:4" x14ac:dyDescent="0.2">
      <c r="A1511" s="5">
        <v>1450</v>
      </c>
      <c r="B1511" s="138">
        <f>'Expenditures 15-22'!K280</f>
        <v>115</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414105</v>
      </c>
      <c r="C1517" s="2" t="s">
        <v>573</v>
      </c>
      <c r="D1517" s="2" t="str">
        <f t="shared" si="22"/>
        <v>Error?</v>
      </c>
    </row>
    <row r="1518" spans="1:4" x14ac:dyDescent="0.2">
      <c r="A1518" s="5">
        <v>1457</v>
      </c>
      <c r="B1518" s="138">
        <f>'Expenditures 15-22'!K296</f>
        <v>13649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134900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134900</v>
      </c>
      <c r="C1535" s="2" t="s">
        <v>573</v>
      </c>
      <c r="D1535" s="2" t="str">
        <f t="shared" ref="D1535:D1598" si="23">IF(ISBLANK(B1535),"OK",IF(A1535-B1535=0,"OK","Error?"))</f>
        <v>Error?</v>
      </c>
    </row>
    <row r="1536" spans="1:4" x14ac:dyDescent="0.2">
      <c r="A1536" s="5">
        <v>1475</v>
      </c>
      <c r="B1536" s="138">
        <f>'Expenditures 15-22'!E312</f>
        <v>134900</v>
      </c>
      <c r="C1536" s="2" t="s">
        <v>573</v>
      </c>
      <c r="D1536" s="2" t="str">
        <f t="shared" si="23"/>
        <v>Error?</v>
      </c>
    </row>
    <row r="1537" spans="1:4" x14ac:dyDescent="0.2">
      <c r="A1537" s="5">
        <v>1476</v>
      </c>
      <c r="B1537" s="138">
        <f>'Expenditures 15-22'!F301</f>
        <v>7052</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7052</v>
      </c>
      <c r="C1541" s="2" t="s">
        <v>573</v>
      </c>
      <c r="D1541" s="2" t="str">
        <f t="shared" si="23"/>
        <v>Error?</v>
      </c>
    </row>
    <row r="1542" spans="1:4" x14ac:dyDescent="0.2">
      <c r="A1542" s="5">
        <v>1481</v>
      </c>
      <c r="B1542" s="138">
        <f>'Expenditures 15-22'!F312</f>
        <v>7052</v>
      </c>
      <c r="C1542" s="2" t="s">
        <v>573</v>
      </c>
      <c r="D1542" s="2" t="str">
        <f t="shared" si="23"/>
        <v>Error?</v>
      </c>
    </row>
    <row r="1543" spans="1:4" x14ac:dyDescent="0.2">
      <c r="A1543" s="5">
        <v>1482</v>
      </c>
      <c r="B1543" s="138">
        <f>'Expenditures 15-22'!G301</f>
        <v>125056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125056</v>
      </c>
      <c r="C1547" s="2" t="s">
        <v>573</v>
      </c>
      <c r="D1547" s="2" t="str">
        <f t="shared" si="23"/>
        <v>Error?</v>
      </c>
    </row>
    <row r="1548" spans="1:4" x14ac:dyDescent="0.2">
      <c r="A1548" s="5">
        <v>1487</v>
      </c>
      <c r="B1548" s="138">
        <f>'Expenditures 15-22'!G312</f>
        <v>125056</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267008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267008</v>
      </c>
      <c r="C1559" s="2" t="s">
        <v>573</v>
      </c>
      <c r="D1559" s="2" t="str">
        <f t="shared" si="23"/>
        <v>Error?</v>
      </c>
    </row>
    <row r="1560" spans="1:4" x14ac:dyDescent="0.2">
      <c r="A1560" s="5">
        <v>1499</v>
      </c>
      <c r="B1560" s="138">
        <f>'Expenditures 15-22'!K312</f>
        <v>267008</v>
      </c>
      <c r="C1560" s="2" t="s">
        <v>573</v>
      </c>
      <c r="D1560" s="2" t="str">
        <f t="shared" si="23"/>
        <v>Error?</v>
      </c>
    </row>
    <row r="1561" spans="1:4" x14ac:dyDescent="0.2">
      <c r="A1561" s="5">
        <v>1500</v>
      </c>
      <c r="B1561" s="138">
        <f>'Expenditures 15-22'!K313</f>
        <v>55621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2835601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4283298</v>
      </c>
      <c r="C1630" s="2" t="s">
        <v>573</v>
      </c>
      <c r="D1630" s="2" t="str">
        <f t="shared" si="24"/>
        <v>Error?</v>
      </c>
    </row>
    <row r="1631" spans="1:4" x14ac:dyDescent="0.2">
      <c r="A1631" s="5">
        <v>1570</v>
      </c>
      <c r="B1631" s="138">
        <f>'Acct Summary 7-8'!D79</f>
        <v>276979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340514</v>
      </c>
      <c r="C1644" s="2" t="s">
        <v>573</v>
      </c>
      <c r="D1644" s="2" t="str">
        <f t="shared" si="24"/>
        <v>Error?</v>
      </c>
    </row>
    <row r="1645" spans="1:4" x14ac:dyDescent="0.2">
      <c r="A1645" s="5">
        <v>1584</v>
      </c>
      <c r="B1645" s="138">
        <f>'Acct Summary 7-8'!E79</f>
        <v>5821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144</v>
      </c>
      <c r="C1658" s="2" t="s">
        <v>573</v>
      </c>
      <c r="D1658" s="2" t="str">
        <f t="shared" si="24"/>
        <v>Error?</v>
      </c>
    </row>
    <row r="1659" spans="1:4" x14ac:dyDescent="0.2">
      <c r="A1659" s="5">
        <v>1598</v>
      </c>
      <c r="B1659" s="138">
        <f>'Acct Summary 7-8'!F79</f>
        <v>80514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82950</v>
      </c>
      <c r="C1672" s="2" t="s">
        <v>573</v>
      </c>
      <c r="D1672" s="2" t="str">
        <f t="shared" si="25"/>
        <v>Error?</v>
      </c>
    </row>
    <row r="1673" spans="1:4" x14ac:dyDescent="0.2">
      <c r="A1673" s="5">
        <v>1612</v>
      </c>
      <c r="B1673" s="138">
        <f>'Acct Summary 7-8'!G79</f>
        <v>172993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176023</v>
      </c>
      <c r="C1686" s="2" t="s">
        <v>573</v>
      </c>
      <c r="D1686" s="2" t="str">
        <f t="shared" si="25"/>
        <v>Error?</v>
      </c>
    </row>
    <row r="1687" spans="1:4" x14ac:dyDescent="0.2">
      <c r="A1687" s="5">
        <v>1626</v>
      </c>
      <c r="B1687" s="138">
        <f>'Acct Summary 7-8'!H79</f>
        <v>142978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198599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1994232</v>
      </c>
      <c r="C1744" s="2" t="s">
        <v>573</v>
      </c>
      <c r="D1744" s="2" t="str">
        <f t="shared" si="26"/>
        <v>Error?</v>
      </c>
    </row>
    <row r="1745" spans="1:5" x14ac:dyDescent="0.2">
      <c r="A1745" s="5">
        <v>1684</v>
      </c>
      <c r="B1745" s="138">
        <f>'Tax Sched 23'!B5</f>
        <v>498558</v>
      </c>
      <c r="C1745" s="2" t="s">
        <v>573</v>
      </c>
      <c r="D1745" s="2" t="str">
        <f t="shared" si="26"/>
        <v>Error?</v>
      </c>
    </row>
    <row r="1746" spans="1:5" x14ac:dyDescent="0.2">
      <c r="A1746" s="5">
        <v>1685</v>
      </c>
      <c r="B1746" s="138">
        <f>'Tax Sched 23'!B6</f>
        <v>236183</v>
      </c>
      <c r="C1746" s="2" t="s">
        <v>573</v>
      </c>
      <c r="D1746" s="2" t="str">
        <f t="shared" si="26"/>
        <v>Error?</v>
      </c>
    </row>
    <row r="1747" spans="1:5" x14ac:dyDescent="0.2">
      <c r="A1747" s="5">
        <v>1686</v>
      </c>
      <c r="B1747" s="138">
        <f>'Tax Sched 23'!B7</f>
        <v>199423</v>
      </c>
      <c r="C1747" s="2" t="s">
        <v>573</v>
      </c>
      <c r="D1747" s="2" t="str">
        <f t="shared" si="26"/>
        <v>Error?</v>
      </c>
    </row>
    <row r="1748" spans="1:5" x14ac:dyDescent="0.2">
      <c r="A1748" s="5">
        <v>1687</v>
      </c>
      <c r="B1748" s="138">
        <f>'Tax Sched 23'!B8</f>
        <v>220814</v>
      </c>
      <c r="C1748" s="2" t="s">
        <v>573</v>
      </c>
      <c r="D1748" s="2" t="str">
        <f t="shared" si="26"/>
        <v>Error?</v>
      </c>
    </row>
    <row r="1749" spans="1:5" x14ac:dyDescent="0.2">
      <c r="A1749" s="5">
        <v>1688</v>
      </c>
      <c r="B1749" s="138">
        <f>'Tax Sched 23'!B10</f>
        <v>49856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402012</v>
      </c>
      <c r="C1752" s="2" t="s">
        <v>573</v>
      </c>
      <c r="D1752" s="2" t="str">
        <f t="shared" si="26"/>
        <v>Error?</v>
      </c>
    </row>
    <row r="1753" spans="1:5" x14ac:dyDescent="0.2">
      <c r="A1753" s="5">
        <v>1692</v>
      </c>
      <c r="B1753" s="138">
        <f>'Tax Sched 23'!B12</f>
        <v>49856</v>
      </c>
      <c r="C1753" s="2" t="s">
        <v>573</v>
      </c>
      <c r="D1753" s="2" t="str">
        <f t="shared" si="26"/>
        <v>Error?</v>
      </c>
    </row>
    <row r="1754" spans="1:5" x14ac:dyDescent="0.2">
      <c r="A1754" s="5">
        <v>1693</v>
      </c>
      <c r="B1754" s="138">
        <f>'Tax Sched 23'!B14</f>
        <v>39885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3871728</v>
      </c>
      <c r="C1759" s="2" t="s">
        <v>573</v>
      </c>
      <c r="D1759" s="2" t="str">
        <f t="shared" si="26"/>
        <v>Error?</v>
      </c>
    </row>
    <row r="1760" spans="1:5" x14ac:dyDescent="0.2">
      <c r="A1760" s="5">
        <v>1699</v>
      </c>
      <c r="B1760" s="138">
        <f>'Tax Sched 23'!D4</f>
        <v>1994232</v>
      </c>
      <c r="C1760" s="2" t="s">
        <v>573</v>
      </c>
      <c r="D1760" s="2" t="str">
        <f t="shared" si="26"/>
        <v>Error?</v>
      </c>
    </row>
    <row r="1761" spans="1:5" x14ac:dyDescent="0.2">
      <c r="A1761" s="5">
        <v>1700</v>
      </c>
      <c r="B1761" s="138">
        <f>'Tax Sched 23'!D5</f>
        <v>498558</v>
      </c>
      <c r="C1761" s="2" t="s">
        <v>573</v>
      </c>
      <c r="D1761" s="2" t="str">
        <f t="shared" si="26"/>
        <v>Error?</v>
      </c>
    </row>
    <row r="1762" spans="1:5" s="8" customFormat="1" x14ac:dyDescent="0.2">
      <c r="A1762" s="5">
        <v>1701</v>
      </c>
      <c r="B1762" s="138">
        <f>'Tax Sched 23'!D6</f>
        <v>236183</v>
      </c>
      <c r="C1762" s="2" t="s">
        <v>573</v>
      </c>
      <c r="D1762" s="2" t="str">
        <f t="shared" si="26"/>
        <v>Error?</v>
      </c>
      <c r="E1762" s="9"/>
    </row>
    <row r="1763" spans="1:5" x14ac:dyDescent="0.2">
      <c r="A1763" s="5">
        <v>1702</v>
      </c>
      <c r="B1763" s="138">
        <f>'Tax Sched 23'!D7</f>
        <v>199423</v>
      </c>
      <c r="C1763" s="2" t="s">
        <v>573</v>
      </c>
      <c r="D1763" s="2" t="str">
        <f t="shared" si="26"/>
        <v>Error?</v>
      </c>
    </row>
    <row r="1764" spans="1:5" x14ac:dyDescent="0.2">
      <c r="A1764" s="5">
        <v>1703</v>
      </c>
      <c r="B1764" s="138">
        <f>'Tax Sched 23'!D8</f>
        <v>220814</v>
      </c>
      <c r="C1764" s="2" t="s">
        <v>573</v>
      </c>
      <c r="D1764" s="2" t="str">
        <f t="shared" si="26"/>
        <v>Error?</v>
      </c>
    </row>
    <row r="1765" spans="1:5" x14ac:dyDescent="0.2">
      <c r="A1765" s="5">
        <v>1704</v>
      </c>
      <c r="B1765" s="138">
        <f>'Tax Sched 23'!D10</f>
        <v>49856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402012</v>
      </c>
      <c r="C1768" s="2" t="s">
        <v>573</v>
      </c>
      <c r="D1768" s="2" t="str">
        <f t="shared" si="26"/>
        <v>Error?</v>
      </c>
    </row>
    <row r="1769" spans="1:5" x14ac:dyDescent="0.2">
      <c r="A1769" s="5">
        <v>1708</v>
      </c>
      <c r="B1769" s="138">
        <f>'Tax Sched 23'!D12</f>
        <v>49856</v>
      </c>
      <c r="C1769" s="2" t="s">
        <v>573</v>
      </c>
      <c r="D1769" s="2" t="str">
        <f t="shared" si="26"/>
        <v>Error?</v>
      </c>
    </row>
    <row r="1770" spans="1:5" x14ac:dyDescent="0.2">
      <c r="A1770" s="5">
        <v>1709</v>
      </c>
      <c r="B1770" s="138">
        <f>'Tax Sched 23'!D14</f>
        <v>39885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3871728</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2113470</v>
      </c>
      <c r="C1792" s="2" t="s">
        <v>573</v>
      </c>
      <c r="D1792" s="2" t="str">
        <f t="shared" si="27"/>
        <v>Error?</v>
      </c>
    </row>
    <row r="1793" spans="1:4" x14ac:dyDescent="0.2">
      <c r="A1793" s="5">
        <v>1732</v>
      </c>
      <c r="B1793" s="138">
        <f>'Tax Sched 23'!F5</f>
        <v>475531</v>
      </c>
      <c r="C1793" s="2" t="s">
        <v>573</v>
      </c>
      <c r="D1793" s="2" t="str">
        <f t="shared" si="27"/>
        <v>Error?</v>
      </c>
    </row>
    <row r="1794" spans="1:4" x14ac:dyDescent="0.2">
      <c r="A1794" s="5">
        <v>1733</v>
      </c>
      <c r="B1794" s="138">
        <f>'Tax Sched 23'!F6</f>
        <v>250000</v>
      </c>
      <c r="C1794" s="2" t="s">
        <v>573</v>
      </c>
      <c r="D1794" s="2" t="str">
        <f t="shared" si="27"/>
        <v>Error?</v>
      </c>
    </row>
    <row r="1795" spans="1:4" x14ac:dyDescent="0.2">
      <c r="A1795" s="5">
        <v>1734</v>
      </c>
      <c r="B1795" s="138">
        <f>'Tax Sched 23'!F7</f>
        <v>211347</v>
      </c>
      <c r="C1795" s="2" t="s">
        <v>573</v>
      </c>
      <c r="D1795" s="2" t="str">
        <f t="shared" si="27"/>
        <v>Error?</v>
      </c>
    </row>
    <row r="1796" spans="1:4" x14ac:dyDescent="0.2">
      <c r="A1796" s="5">
        <v>1735</v>
      </c>
      <c r="B1796" s="138">
        <f>'Tax Sched 23'!F8</f>
        <v>220000</v>
      </c>
      <c r="C1796" s="2" t="s">
        <v>573</v>
      </c>
      <c r="D1796" s="2" t="str">
        <f t="shared" si="27"/>
        <v>Error?</v>
      </c>
    </row>
    <row r="1797" spans="1:4" x14ac:dyDescent="0.2">
      <c r="A1797" s="5">
        <v>1736</v>
      </c>
      <c r="B1797" s="138">
        <f>'Tax Sched 23'!F10</f>
        <v>52837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450000</v>
      </c>
      <c r="C1800" s="2" t="s">
        <v>573</v>
      </c>
      <c r="D1800" s="2" t="str">
        <f t="shared" si="27"/>
        <v>Error?</v>
      </c>
    </row>
    <row r="1801" spans="1:4" x14ac:dyDescent="0.2">
      <c r="A1801" s="5">
        <v>1740</v>
      </c>
      <c r="B1801" s="138">
        <f>'Tax Sched 23'!F12</f>
        <v>52837</v>
      </c>
      <c r="C1801" s="2" t="s">
        <v>573</v>
      </c>
      <c r="D1801" s="2" t="str">
        <f t="shared" si="27"/>
        <v>Error?</v>
      </c>
    </row>
    <row r="1802" spans="1:4" x14ac:dyDescent="0.2">
      <c r="A1802" s="5">
        <v>1741</v>
      </c>
      <c r="B1802" s="138">
        <f>'Tax Sched 23'!F14</f>
        <v>42269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4048291</v>
      </c>
      <c r="C1807" s="2" t="s">
        <v>573</v>
      </c>
      <c r="D1807" s="2" t="str">
        <f t="shared" si="27"/>
        <v>Error?</v>
      </c>
    </row>
    <row r="1808" spans="1:4" x14ac:dyDescent="0.2">
      <c r="A1808" s="5">
        <v>1747</v>
      </c>
      <c r="B1808" s="138">
        <f>'Tax Sched 23'!E4</f>
        <v>2113470</v>
      </c>
      <c r="D1808" s="2" t="str">
        <f t="shared" si="27"/>
        <v>Error?</v>
      </c>
    </row>
    <row r="1809" spans="1:4" x14ac:dyDescent="0.2">
      <c r="A1809" s="5">
        <v>1748</v>
      </c>
      <c r="B1809" s="138">
        <f>'Tax Sched 23'!E5</f>
        <v>475531</v>
      </c>
      <c r="D1809" s="2" t="str">
        <f t="shared" si="27"/>
        <v>Error?</v>
      </c>
    </row>
    <row r="1810" spans="1:4" x14ac:dyDescent="0.2">
      <c r="A1810" s="5">
        <v>1749</v>
      </c>
      <c r="B1810" s="138">
        <f>'Tax Sched 23'!E6</f>
        <v>250000</v>
      </c>
      <c r="D1810" s="2" t="str">
        <f t="shared" si="27"/>
        <v>Error?</v>
      </c>
    </row>
    <row r="1811" spans="1:4" x14ac:dyDescent="0.2">
      <c r="A1811" s="5">
        <v>1750</v>
      </c>
      <c r="B1811" s="138">
        <f>'Tax Sched 23'!E7</f>
        <v>211347</v>
      </c>
      <c r="D1811" s="2" t="str">
        <f t="shared" si="27"/>
        <v>Error?</v>
      </c>
    </row>
    <row r="1812" spans="1:4" x14ac:dyDescent="0.2">
      <c r="A1812" s="5">
        <v>1751</v>
      </c>
      <c r="B1812" s="138">
        <f>'Tax Sched 23'!E8</f>
        <v>220000</v>
      </c>
      <c r="D1812" s="2" t="str">
        <f t="shared" si="27"/>
        <v>Error?</v>
      </c>
    </row>
    <row r="1813" spans="1:4" x14ac:dyDescent="0.2">
      <c r="A1813" s="5">
        <v>1752</v>
      </c>
      <c r="B1813" s="138">
        <f>'Tax Sched 23'!E10</f>
        <v>52837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450000</v>
      </c>
      <c r="D1816" s="2" t="str">
        <f t="shared" si="27"/>
        <v>Error?</v>
      </c>
    </row>
    <row r="1817" spans="1:4" x14ac:dyDescent="0.2">
      <c r="A1817" s="5">
        <v>1756</v>
      </c>
      <c r="B1817" s="138">
        <f>'Tax Sched 23'!E12</f>
        <v>52837</v>
      </c>
      <c r="D1817" s="2" t="str">
        <f t="shared" si="27"/>
        <v>Error?</v>
      </c>
    </row>
    <row r="1818" spans="1:4" x14ac:dyDescent="0.2">
      <c r="A1818" s="5">
        <v>1757</v>
      </c>
      <c r="B1818" s="138">
        <f>'Tax Sched 23'!E14</f>
        <v>42269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4048291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1875261</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39885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357057</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396942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18122</v>
      </c>
      <c r="D1980" s="2" t="str">
        <f t="shared" si="29"/>
        <v>Error?</v>
      </c>
    </row>
    <row r="1981" spans="1:5" x14ac:dyDescent="0.2">
      <c r="A1981" s="10">
        <v>1920</v>
      </c>
      <c r="D1981" s="2" t="str">
        <f t="shared" si="29"/>
        <v>OK</v>
      </c>
      <c r="E1981" s="2" t="s">
        <v>135</v>
      </c>
    </row>
    <row r="1982" spans="1:5" x14ac:dyDescent="0.2">
      <c r="A1982" s="5">
        <v>1921</v>
      </c>
      <c r="B1982" s="138">
        <f>'Rest Tax Levies-Tort Im 25'!H23</f>
        <v>396942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330394</v>
      </c>
      <c r="D2008" s="2" t="str">
        <f t="shared" si="30"/>
        <v>Error?</v>
      </c>
    </row>
    <row r="2009" spans="1:4" x14ac:dyDescent="0.2">
      <c r="A2009" s="5">
        <v>1948</v>
      </c>
      <c r="B2009" s="138">
        <f>'Cap Outlay Deprec 26'!C8</f>
        <v>22929801</v>
      </c>
      <c r="D2009" s="2" t="str">
        <f t="shared" si="30"/>
        <v>Error?</v>
      </c>
    </row>
    <row r="2010" spans="1:4" x14ac:dyDescent="0.2">
      <c r="A2010" s="5">
        <v>1949</v>
      </c>
      <c r="B2010" s="138">
        <f>'Cap Outlay Deprec 26'!C10</f>
        <v>252454</v>
      </c>
      <c r="D2010" s="2" t="str">
        <f t="shared" si="30"/>
        <v>Error?</v>
      </c>
    </row>
    <row r="2011" spans="1:4" x14ac:dyDescent="0.2">
      <c r="A2011" s="5">
        <v>1950</v>
      </c>
      <c r="B2011" s="138">
        <f>'Cap Outlay Deprec 26'!C12</f>
        <v>4728840</v>
      </c>
      <c r="D2011" s="2" t="str">
        <f t="shared" si="30"/>
        <v>Error?</v>
      </c>
    </row>
    <row r="2012" spans="1:4" x14ac:dyDescent="0.2">
      <c r="A2012" s="5">
        <v>1951</v>
      </c>
      <c r="B2012" s="138">
        <f>'Cap Outlay Deprec 26'!C13</f>
        <v>1267865</v>
      </c>
      <c r="D2012" s="2" t="str">
        <f t="shared" si="30"/>
        <v>Error?</v>
      </c>
    </row>
    <row r="2013" spans="1:4" x14ac:dyDescent="0.2">
      <c r="A2013" s="5">
        <v>1952</v>
      </c>
      <c r="B2013" s="138">
        <f>'Cap Outlay Deprec 26'!C16</f>
        <v>29509354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80758</v>
      </c>
      <c r="D2015" s="2" t="str">
        <f t="shared" si="30"/>
        <v>Error?</v>
      </c>
    </row>
    <row r="2016" spans="1:4" x14ac:dyDescent="0.2">
      <c r="A2016" s="5">
        <v>1955</v>
      </c>
      <c r="B2016" s="138">
        <f>'Cap Outlay Deprec 26'!D10</f>
        <v>49824</v>
      </c>
      <c r="D2016" s="2" t="str">
        <f t="shared" si="30"/>
        <v>Error?</v>
      </c>
    </row>
    <row r="2017" spans="1:4" x14ac:dyDescent="0.2">
      <c r="A2017" s="5">
        <v>1956</v>
      </c>
      <c r="B2017" s="138">
        <f>'Cap Outlay Deprec 26'!D12</f>
        <v>240119</v>
      </c>
      <c r="D2017" s="2" t="str">
        <f t="shared" si="30"/>
        <v>Error?</v>
      </c>
    </row>
    <row r="2018" spans="1:4" x14ac:dyDescent="0.2">
      <c r="A2018" s="5">
        <v>1957</v>
      </c>
      <c r="B2018" s="138">
        <f>'Cap Outlay Deprec 26'!D13</f>
        <v>362219</v>
      </c>
      <c r="D2018" s="2" t="str">
        <f t="shared" si="30"/>
        <v>Error?</v>
      </c>
    </row>
    <row r="2019" spans="1:4" x14ac:dyDescent="0.2">
      <c r="A2019" s="5">
        <v>1958</v>
      </c>
      <c r="B2019" s="138">
        <f>'Cap Outlay Deprec 26'!D16</f>
        <v>732920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46818</v>
      </c>
      <c r="D2024" s="2" t="str">
        <f t="shared" si="30"/>
        <v>Error?</v>
      </c>
    </row>
    <row r="2025" spans="1:4" x14ac:dyDescent="0.2">
      <c r="A2025" s="5">
        <v>1964</v>
      </c>
      <c r="B2025" s="138">
        <f>'Cap Outlay Deprec 26'!E16</f>
        <v>46818</v>
      </c>
      <c r="C2025" s="2" t="s">
        <v>573</v>
      </c>
      <c r="D2025" s="2" t="str">
        <f t="shared" si="30"/>
        <v>Error?</v>
      </c>
    </row>
    <row r="2026" spans="1:4" x14ac:dyDescent="0.2">
      <c r="A2026" s="5">
        <v>1965</v>
      </c>
      <c r="B2026" s="138">
        <f>'Cap Outlay Deprec 26'!F5</f>
        <v>330394</v>
      </c>
      <c r="C2026" s="2" t="s">
        <v>573</v>
      </c>
      <c r="D2026" s="2" t="str">
        <f t="shared" si="30"/>
        <v>Error?</v>
      </c>
    </row>
    <row r="2027" spans="1:4" x14ac:dyDescent="0.2">
      <c r="A2027" s="5">
        <v>1966</v>
      </c>
      <c r="B2027" s="138">
        <f>'Cap Outlay Deprec 26'!F8</f>
        <v>23010559</v>
      </c>
      <c r="C2027" s="2" t="s">
        <v>573</v>
      </c>
      <c r="D2027" s="2" t="str">
        <f t="shared" si="30"/>
        <v>Error?</v>
      </c>
    </row>
    <row r="2028" spans="1:4" x14ac:dyDescent="0.2">
      <c r="A2028" s="5">
        <v>1967</v>
      </c>
      <c r="B2028" s="138">
        <f>'Cap Outlay Deprec 26'!F10</f>
        <v>302278</v>
      </c>
      <c r="C2028" s="2" t="s">
        <v>573</v>
      </c>
      <c r="D2028" s="2" t="str">
        <f t="shared" si="30"/>
        <v>Error?</v>
      </c>
    </row>
    <row r="2029" spans="1:4" x14ac:dyDescent="0.2">
      <c r="A2029" s="5">
        <v>1968</v>
      </c>
      <c r="B2029" s="138">
        <f>'Cap Outlay Deprec 26'!F12</f>
        <v>4968959</v>
      </c>
      <c r="C2029" s="2" t="s">
        <v>573</v>
      </c>
      <c r="D2029" s="2" t="str">
        <f t="shared" si="30"/>
        <v>Error?</v>
      </c>
    </row>
    <row r="2030" spans="1:4" x14ac:dyDescent="0.2">
      <c r="A2030" s="5">
        <v>1969</v>
      </c>
      <c r="B2030" s="138">
        <f>'Cap Outlay Deprec 26'!F13</f>
        <v>1583266</v>
      </c>
      <c r="C2030" s="2" t="s">
        <v>573</v>
      </c>
      <c r="D2030" s="2" t="str">
        <f t="shared" si="30"/>
        <v>Error?</v>
      </c>
    </row>
    <row r="2031" spans="1:4" x14ac:dyDescent="0.2">
      <c r="A2031" s="5">
        <v>1970</v>
      </c>
      <c r="B2031" s="138">
        <f>'Cap Outlay Deprec 26'!F16</f>
        <v>30195456</v>
      </c>
      <c r="C2031" s="2" t="s">
        <v>573</v>
      </c>
      <c r="D2031" s="2" t="str">
        <f t="shared" si="30"/>
        <v>Error?</v>
      </c>
    </row>
    <row r="2032" spans="1:4" x14ac:dyDescent="0.2">
      <c r="A2032" s="10">
        <v>1971</v>
      </c>
      <c r="D2032" s="2" t="str">
        <f t="shared" si="30"/>
        <v>OK</v>
      </c>
    </row>
    <row r="2033" spans="1:4" x14ac:dyDescent="0.2">
      <c r="A2033" s="5">
        <v>1972</v>
      </c>
      <c r="B2033" s="138">
        <f>'Cap Outlay Deprec 26'!H8</f>
        <v>9756341</v>
      </c>
      <c r="D2033" s="2" t="str">
        <f t="shared" si="30"/>
        <v>Error?</v>
      </c>
    </row>
    <row r="2034" spans="1:4" x14ac:dyDescent="0.2">
      <c r="A2034" s="5">
        <v>1973</v>
      </c>
      <c r="B2034" s="138">
        <f>'Cap Outlay Deprec 26'!H10</f>
        <v>175156</v>
      </c>
      <c r="D2034" s="2" t="str">
        <f t="shared" si="30"/>
        <v>Error?</v>
      </c>
    </row>
    <row r="2035" spans="1:4" x14ac:dyDescent="0.2">
      <c r="A2035" s="5">
        <v>1974</v>
      </c>
      <c r="B2035" s="138">
        <f>'Cap Outlay Deprec 26'!H12</f>
        <v>4039348</v>
      </c>
      <c r="D2035" s="2" t="str">
        <f t="shared" si="30"/>
        <v>Error?</v>
      </c>
    </row>
    <row r="2036" spans="1:4" x14ac:dyDescent="0.2">
      <c r="A2036" s="5">
        <v>1975</v>
      </c>
      <c r="B2036" s="138">
        <f>'Cap Outlay Deprec 26'!H13</f>
        <v>906339</v>
      </c>
      <c r="D2036" s="2" t="str">
        <f t="shared" si="30"/>
        <v>Error?</v>
      </c>
    </row>
    <row r="2037" spans="1:4" x14ac:dyDescent="0.2">
      <c r="A2037" s="5">
        <v>1976</v>
      </c>
      <c r="B2037" s="138">
        <f>'Cap Outlay Deprec 26'!H16</f>
        <v>14877184</v>
      </c>
      <c r="C2037" s="2" t="s">
        <v>573</v>
      </c>
      <c r="D2037" s="2" t="str">
        <f t="shared" si="30"/>
        <v>Error?</v>
      </c>
    </row>
    <row r="2038" spans="1:4" x14ac:dyDescent="0.2">
      <c r="A2038" s="10">
        <v>1977</v>
      </c>
      <c r="D2038" s="2" t="str">
        <f t="shared" si="30"/>
        <v>OK</v>
      </c>
    </row>
    <row r="2039" spans="1:4" x14ac:dyDescent="0.2">
      <c r="A2039" s="5">
        <v>1978</v>
      </c>
      <c r="B2039" s="138">
        <f>'Cap Outlay Deprec 26'!I8</f>
        <v>459404</v>
      </c>
      <c r="D2039" s="2" t="str">
        <f t="shared" si="30"/>
        <v>Error?</v>
      </c>
    </row>
    <row r="2040" spans="1:4" x14ac:dyDescent="0.2">
      <c r="A2040" s="5">
        <v>1979</v>
      </c>
      <c r="B2040" s="138">
        <f>'Cap Outlay Deprec 26'!I10</f>
        <v>6550</v>
      </c>
      <c r="D2040" s="2" t="str">
        <f t="shared" si="30"/>
        <v>Error?</v>
      </c>
    </row>
    <row r="2041" spans="1:4" x14ac:dyDescent="0.2">
      <c r="A2041" s="5">
        <v>1980</v>
      </c>
      <c r="B2041" s="138">
        <f>'Cap Outlay Deprec 26'!I12</f>
        <v>121568</v>
      </c>
      <c r="D2041" s="2" t="str">
        <f t="shared" si="30"/>
        <v>Error?</v>
      </c>
    </row>
    <row r="2042" spans="1:4" x14ac:dyDescent="0.2">
      <c r="A2042" s="5">
        <v>1981</v>
      </c>
      <c r="B2042" s="138">
        <f>'Cap Outlay Deprec 26'!I13</f>
        <v>125180</v>
      </c>
      <c r="D2042" s="2" t="str">
        <f t="shared" si="30"/>
        <v>Error?</v>
      </c>
    </row>
    <row r="2043" spans="1:4" x14ac:dyDescent="0.2">
      <c r="A2043" s="5">
        <v>1982</v>
      </c>
      <c r="B2043" s="138">
        <f>'Cap Outlay Deprec 26'!I16</f>
        <v>712702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33246</v>
      </c>
      <c r="D2048" s="2" t="str">
        <f t="shared" si="31"/>
        <v>Error?</v>
      </c>
    </row>
    <row r="2049" spans="1:4" x14ac:dyDescent="0.2">
      <c r="A2049" s="5">
        <v>1988</v>
      </c>
      <c r="B2049" s="138">
        <f>'Cap Outlay Deprec 26'!J16</f>
        <v>33246</v>
      </c>
      <c r="C2049" s="2" t="s">
        <v>573</v>
      </c>
      <c r="D2049" s="2" t="str">
        <f t="shared" si="31"/>
        <v>Error?</v>
      </c>
    </row>
    <row r="2050" spans="1:4" x14ac:dyDescent="0.2">
      <c r="A2050" s="10">
        <v>1989</v>
      </c>
      <c r="D2050" s="2" t="str">
        <f t="shared" si="31"/>
        <v>OK</v>
      </c>
    </row>
    <row r="2051" spans="1:4" x14ac:dyDescent="0.2">
      <c r="A2051" s="5">
        <v>1990</v>
      </c>
      <c r="B2051" s="138">
        <f>'Cap Outlay Deprec 26'!K8</f>
        <v>10215745</v>
      </c>
      <c r="C2051" s="2" t="s">
        <v>573</v>
      </c>
      <c r="D2051" s="2" t="str">
        <f t="shared" si="31"/>
        <v>Error?</v>
      </c>
    </row>
    <row r="2052" spans="1:4" x14ac:dyDescent="0.2">
      <c r="A2052" s="5">
        <v>1991</v>
      </c>
      <c r="B2052" s="138">
        <f>'Cap Outlay Deprec 26'!K10</f>
        <v>181706</v>
      </c>
      <c r="C2052" s="2" t="s">
        <v>573</v>
      </c>
      <c r="D2052" s="2" t="str">
        <f t="shared" si="31"/>
        <v>Error?</v>
      </c>
    </row>
    <row r="2053" spans="1:4" x14ac:dyDescent="0.2">
      <c r="A2053" s="5">
        <v>1992</v>
      </c>
      <c r="B2053" s="138">
        <f>'Cap Outlay Deprec 26'!K12</f>
        <v>4160916</v>
      </c>
      <c r="C2053" s="2" t="s">
        <v>573</v>
      </c>
      <c r="D2053" s="2" t="str">
        <f t="shared" si="31"/>
        <v>Error?</v>
      </c>
    </row>
    <row r="2054" spans="1:4" x14ac:dyDescent="0.2">
      <c r="A2054" s="5">
        <v>1993</v>
      </c>
      <c r="B2054" s="138">
        <f>'Cap Outlay Deprec 26'!K13</f>
        <v>998273</v>
      </c>
      <c r="C2054" s="2" t="s">
        <v>573</v>
      </c>
      <c r="D2054" s="2" t="str">
        <f t="shared" si="31"/>
        <v>Error?</v>
      </c>
    </row>
    <row r="2055" spans="1:4" x14ac:dyDescent="0.2">
      <c r="A2055" s="5">
        <v>1994</v>
      </c>
      <c r="B2055" s="138">
        <f>'Cap Outlay Deprec 26'!K16</f>
        <v>15556640</v>
      </c>
      <c r="C2055" s="2" t="s">
        <v>573</v>
      </c>
      <c r="D2055" s="2" t="str">
        <f t="shared" si="31"/>
        <v>Error?</v>
      </c>
    </row>
    <row r="2056" spans="1:4" x14ac:dyDescent="0.2">
      <c r="A2056" s="5">
        <v>1995</v>
      </c>
      <c r="B2056" s="138">
        <f>'Cap Outlay Deprec 26'!L5</f>
        <v>330394</v>
      </c>
      <c r="C2056" s="2" t="s">
        <v>573</v>
      </c>
      <c r="D2056" s="2" t="str">
        <f t="shared" si="31"/>
        <v>Error?</v>
      </c>
    </row>
    <row r="2057" spans="1:4" x14ac:dyDescent="0.2">
      <c r="A2057" s="5">
        <v>1996</v>
      </c>
      <c r="B2057" s="138">
        <f>'Cap Outlay Deprec 26'!L8</f>
        <v>12794814</v>
      </c>
      <c r="C2057" s="2" t="s">
        <v>573</v>
      </c>
      <c r="D2057" s="2" t="str">
        <f t="shared" si="31"/>
        <v>Error?</v>
      </c>
    </row>
    <row r="2058" spans="1:4" x14ac:dyDescent="0.2">
      <c r="A2058" s="5">
        <v>1997</v>
      </c>
      <c r="B2058" s="138">
        <f>'Cap Outlay Deprec 26'!L10</f>
        <v>120572</v>
      </c>
      <c r="C2058" s="2" t="s">
        <v>573</v>
      </c>
      <c r="D2058" s="2" t="str">
        <f t="shared" si="31"/>
        <v>Error?</v>
      </c>
    </row>
    <row r="2059" spans="1:4" x14ac:dyDescent="0.2">
      <c r="A2059" s="5">
        <v>1998</v>
      </c>
      <c r="B2059" s="138">
        <f>'Cap Outlay Deprec 26'!L12</f>
        <v>808043</v>
      </c>
      <c r="C2059" s="2" t="s">
        <v>573</v>
      </c>
      <c r="D2059" s="2" t="str">
        <f t="shared" si="31"/>
        <v>Error?</v>
      </c>
    </row>
    <row r="2060" spans="1:4" x14ac:dyDescent="0.2">
      <c r="A2060" s="5">
        <v>1999</v>
      </c>
      <c r="B2060" s="138">
        <f>'Cap Outlay Deprec 26'!L13</f>
        <v>584993</v>
      </c>
      <c r="C2060" s="2" t="s">
        <v>573</v>
      </c>
      <c r="D2060" s="2" t="str">
        <f t="shared" si="31"/>
        <v>Error?</v>
      </c>
    </row>
    <row r="2061" spans="1:4" x14ac:dyDescent="0.2">
      <c r="A2061" s="5">
        <v>2000</v>
      </c>
      <c r="B2061" s="138">
        <f>'Cap Outlay Deprec 26'!L16</f>
        <v>14638816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400879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416723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2949846</v>
      </c>
      <c r="C2551" s="2" t="s">
        <v>573</v>
      </c>
      <c r="D2551" s="2" t="str">
        <f t="shared" si="38"/>
        <v>Error?</v>
      </c>
    </row>
    <row r="2552" spans="1:4" x14ac:dyDescent="0.2">
      <c r="A2552" s="10">
        <v>2491</v>
      </c>
      <c r="D2552" s="2" t="str">
        <f t="shared" si="38"/>
        <v>OK</v>
      </c>
    </row>
    <row r="2553" spans="1:4" x14ac:dyDescent="0.2">
      <c r="A2553" s="5">
        <v>2492</v>
      </c>
      <c r="B2553" s="138">
        <f>'Acct Summary 7-8'!C6</f>
        <v>7012578</v>
      </c>
      <c r="C2553" s="2" t="s">
        <v>573</v>
      </c>
      <c r="D2553" s="2" t="str">
        <f t="shared" si="38"/>
        <v>Error?</v>
      </c>
    </row>
    <row r="2554" spans="1:4" x14ac:dyDescent="0.2">
      <c r="A2554" s="5">
        <v>2493</v>
      </c>
      <c r="B2554" s="138">
        <f>'Acct Summary 7-8'!C7</f>
        <v>830553</v>
      </c>
      <c r="C2554" s="2" t="s">
        <v>573</v>
      </c>
      <c r="D2554" s="2" t="str">
        <f t="shared" si="38"/>
        <v>Error?</v>
      </c>
    </row>
    <row r="2555" spans="1:4" x14ac:dyDescent="0.2">
      <c r="A2555" s="5">
        <v>2494</v>
      </c>
      <c r="B2555" s="138">
        <f>'Acct Summary 7-8'!C8</f>
        <v>10849893</v>
      </c>
      <c r="C2555" s="2" t="s">
        <v>573</v>
      </c>
      <c r="D2555" s="2" t="str">
        <f t="shared" si="38"/>
        <v>Error?</v>
      </c>
    </row>
    <row r="2556" spans="1:4" x14ac:dyDescent="0.2">
      <c r="A2556" s="5">
        <v>2495</v>
      </c>
      <c r="B2556" s="138">
        <f>'Acct Summary 7-8'!C12</f>
        <v>5782847</v>
      </c>
      <c r="C2556" s="2" t="s">
        <v>573</v>
      </c>
      <c r="D2556" s="2" t="str">
        <f t="shared" si="38"/>
        <v>Error?</v>
      </c>
    </row>
    <row r="2557" spans="1:4" x14ac:dyDescent="0.2">
      <c r="A2557" s="5">
        <v>2496</v>
      </c>
      <c r="B2557" s="138">
        <f>'Acct Summary 7-8'!C13</f>
        <v>3041568</v>
      </c>
      <c r="C2557" s="2" t="s">
        <v>573</v>
      </c>
      <c r="D2557" s="2" t="str">
        <f t="shared" si="38"/>
        <v>Error?</v>
      </c>
    </row>
    <row r="2558" spans="1:4" x14ac:dyDescent="0.2">
      <c r="A2558" s="5">
        <v>2497</v>
      </c>
      <c r="B2558" s="138">
        <f>'Acct Summary 7-8'!C14</f>
        <v>209668</v>
      </c>
      <c r="C2558" s="2" t="s">
        <v>573</v>
      </c>
      <c r="D2558" s="2" t="str">
        <f t="shared" si="38"/>
        <v>Error?</v>
      </c>
    </row>
    <row r="2559" spans="1:4" x14ac:dyDescent="0.2">
      <c r="A2559" s="5">
        <v>2498</v>
      </c>
      <c r="B2559" s="138">
        <f>'Acct Summary 7-8'!C15</f>
        <v>416723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9450806</v>
      </c>
      <c r="C2561" s="2" t="s">
        <v>573</v>
      </c>
      <c r="D2561" s="2" t="str">
        <f t="shared" si="39"/>
        <v>Error?</v>
      </c>
    </row>
    <row r="2562" spans="1:4" x14ac:dyDescent="0.2">
      <c r="A2562" s="5">
        <v>2501</v>
      </c>
      <c r="B2562" s="138">
        <f>'Acct Summary 7-8'!C20</f>
        <v>1399087</v>
      </c>
      <c r="C2562" s="2" t="s">
        <v>573</v>
      </c>
      <c r="D2562" s="2" t="str">
        <f t="shared" si="39"/>
        <v>Error?</v>
      </c>
    </row>
    <row r="2563" spans="1:4" x14ac:dyDescent="0.2">
      <c r="A2563" s="5">
        <v>2502</v>
      </c>
      <c r="B2563" s="138">
        <f>'Acct Summary 7-8'!C80</f>
        <v>48610</v>
      </c>
      <c r="D2563" s="2" t="str">
        <f t="shared" si="39"/>
        <v>Error?</v>
      </c>
    </row>
    <row r="2564" spans="1:4" x14ac:dyDescent="0.2">
      <c r="A2564" s="5">
        <v>2503</v>
      </c>
      <c r="B2564" s="138">
        <f>'Acct Summary 7-8'!D4</f>
        <v>546262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546262</v>
      </c>
      <c r="C2568" s="2" t="s">
        <v>573</v>
      </c>
      <c r="D2568" s="2" t="str">
        <f t="shared" si="39"/>
        <v>Error?</v>
      </c>
    </row>
    <row r="2569" spans="1:4" x14ac:dyDescent="0.2">
      <c r="A2569" s="5">
        <v>2508</v>
      </c>
      <c r="B2569" s="138">
        <f>'Acct Summary 7-8'!D13</f>
        <v>482727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482727</v>
      </c>
      <c r="C2573" s="2" t="s">
        <v>573</v>
      </c>
      <c r="D2573" s="2" t="str">
        <f t="shared" si="39"/>
        <v>Error?</v>
      </c>
    </row>
    <row r="2574" spans="1:4" x14ac:dyDescent="0.2">
      <c r="A2574" s="5">
        <v>2513</v>
      </c>
      <c r="B2574" s="138">
        <f>'Acct Summary 7-8'!D20</f>
        <v>63535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285459</v>
      </c>
      <c r="C2591" s="2" t="s">
        <v>573</v>
      </c>
      <c r="D2591" s="2" t="str">
        <f t="shared" si="39"/>
        <v>Error?</v>
      </c>
    </row>
    <row r="2592" spans="1:4" x14ac:dyDescent="0.2">
      <c r="A2592" s="10">
        <v>2531</v>
      </c>
      <c r="D2592" s="2" t="str">
        <f t="shared" si="39"/>
        <v>OK</v>
      </c>
    </row>
    <row r="2593" spans="1:4" x14ac:dyDescent="0.2">
      <c r="A2593" s="5">
        <v>2532</v>
      </c>
      <c r="B2593" s="138">
        <f>'Acct Summary 7-8'!F6</f>
        <v>851257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1136716</v>
      </c>
      <c r="C2595" s="2" t="s">
        <v>573</v>
      </c>
      <c r="D2595" s="2" t="str">
        <f t="shared" si="39"/>
        <v>Error?</v>
      </c>
    </row>
    <row r="2596" spans="1:4" x14ac:dyDescent="0.2">
      <c r="A2596" s="5">
        <v>2535</v>
      </c>
      <c r="B2596" s="138">
        <f>'Acct Summary 7-8'!F13</f>
        <v>1025616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108664</v>
      </c>
      <c r="C2599" s="2" t="s">
        <v>573</v>
      </c>
      <c r="D2599" s="2" t="str">
        <f t="shared" si="39"/>
        <v>Error?</v>
      </c>
    </row>
    <row r="2600" spans="1:4" x14ac:dyDescent="0.2">
      <c r="A2600" s="5">
        <v>2539</v>
      </c>
      <c r="B2600" s="138">
        <f>'Acct Summary 7-8'!F17</f>
        <v>1134280</v>
      </c>
      <c r="C2600" s="2" t="s">
        <v>573</v>
      </c>
      <c r="D2600" s="2" t="str">
        <f t="shared" si="39"/>
        <v>Error?</v>
      </c>
    </row>
    <row r="2601" spans="1:4" x14ac:dyDescent="0.2">
      <c r="A2601" s="5">
        <v>2540</v>
      </c>
      <c r="B2601" s="138">
        <f>'Acct Summary 7-8'!F20</f>
        <v>2436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427754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427754</v>
      </c>
      <c r="C2606" s="2" t="s">
        <v>573</v>
      </c>
      <c r="D2606" s="2" t="str">
        <f t="shared" si="39"/>
        <v>Error?</v>
      </c>
    </row>
    <row r="2607" spans="1:4" x14ac:dyDescent="0.2">
      <c r="A2607" s="5">
        <v>2546</v>
      </c>
      <c r="B2607" s="138">
        <f>'Acct Summary 7-8'!G12</f>
        <v>127350</v>
      </c>
      <c r="C2607" s="2" t="s">
        <v>573</v>
      </c>
      <c r="D2607" s="2" t="str">
        <f t="shared" si="39"/>
        <v>Error?</v>
      </c>
    </row>
    <row r="2608" spans="1:4" x14ac:dyDescent="0.2">
      <c r="A2608" s="5">
        <v>2547</v>
      </c>
      <c r="B2608" s="138">
        <f>'Acct Summary 7-8'!G13</f>
        <v>286640</v>
      </c>
      <c r="C2608" s="2" t="s">
        <v>573</v>
      </c>
      <c r="D2608" s="2" t="str">
        <f t="shared" si="39"/>
        <v>Error?</v>
      </c>
    </row>
    <row r="2609" spans="1:4" x14ac:dyDescent="0.2">
      <c r="A2609" s="5">
        <v>2548</v>
      </c>
      <c r="B2609" s="138">
        <f>'Acct Summary 7-8'!G14</f>
        <v>115</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414105</v>
      </c>
      <c r="C2612" s="2" t="s">
        <v>573</v>
      </c>
      <c r="D2612" s="2" t="str">
        <f t="shared" si="39"/>
        <v>Error?</v>
      </c>
    </row>
    <row r="2613" spans="1:4" x14ac:dyDescent="0.2">
      <c r="A2613" s="5">
        <v>2552</v>
      </c>
      <c r="B2613" s="138">
        <f>'Acct Summary 7-8'!G20</f>
        <v>13649</v>
      </c>
      <c r="C2613" s="2" t="s">
        <v>573</v>
      </c>
      <c r="D2613" s="2" t="str">
        <f t="shared" si="39"/>
        <v>Error?</v>
      </c>
    </row>
    <row r="2614" spans="1:4" x14ac:dyDescent="0.2">
      <c r="A2614" s="5">
        <v>2553</v>
      </c>
      <c r="B2614" s="138">
        <f>'Acct Summary 7-8'!G80</f>
        <v>-10619</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258910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258910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264587</v>
      </c>
      <c r="C2634" s="2" t="s">
        <v>573</v>
      </c>
      <c r="D2634" s="2" t="str">
        <f t="shared" si="40"/>
        <v>Error?</v>
      </c>
    </row>
    <row r="2635" spans="1:4" x14ac:dyDescent="0.2">
      <c r="A2635" s="5">
        <v>2574</v>
      </c>
      <c r="B2635" s="138">
        <f>'Acct Summary 7-8'!E17</f>
        <v>264587</v>
      </c>
      <c r="C2635" s="2" t="s">
        <v>573</v>
      </c>
      <c r="D2635" s="2" t="str">
        <f t="shared" si="40"/>
        <v>Error?</v>
      </c>
    </row>
    <row r="2636" spans="1:4" x14ac:dyDescent="0.2">
      <c r="A2636" s="5">
        <v>2575</v>
      </c>
      <c r="B2636" s="138">
        <f>'Acct Summary 7-8'!E20</f>
        <v>-5677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322629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322629</v>
      </c>
      <c r="C2658" s="2" t="s">
        <v>573</v>
      </c>
      <c r="D2658" s="2" t="str">
        <f t="shared" si="40"/>
        <v>Error?</v>
      </c>
    </row>
    <row r="2659" spans="1:4" x14ac:dyDescent="0.2">
      <c r="A2659" s="5">
        <v>2598</v>
      </c>
      <c r="B2659" s="138">
        <f>'Acct Summary 7-8'!H13</f>
        <v>267008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267008</v>
      </c>
      <c r="C2661" s="2" t="s">
        <v>573</v>
      </c>
      <c r="D2661" s="2" t="str">
        <f t="shared" si="40"/>
        <v>Error?</v>
      </c>
    </row>
    <row r="2662" spans="1:4" x14ac:dyDescent="0.2">
      <c r="A2662" s="5">
        <v>2601</v>
      </c>
      <c r="B2662" s="138">
        <f>'Acct Summary 7-8'!H20</f>
        <v>55621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22148</v>
      </c>
      <c r="D2718" s="2" t="str">
        <f t="shared" si="41"/>
        <v>Error?</v>
      </c>
    </row>
    <row r="2719" spans="1:4" x14ac:dyDescent="0.2">
      <c r="A2719" s="5">
        <v>2658</v>
      </c>
      <c r="B2719" s="138">
        <f>'Expenditures 15-22'!D51</f>
        <v>4878</v>
      </c>
      <c r="D2719" s="2" t="str">
        <f t="shared" si="41"/>
        <v>Error?</v>
      </c>
    </row>
    <row r="2720" spans="1:4" x14ac:dyDescent="0.2">
      <c r="A2720" s="5">
        <v>2659</v>
      </c>
      <c r="B2720" s="138">
        <f>'Expenditures 15-22'!E51</f>
        <v>3312</v>
      </c>
      <c r="D2720" s="2" t="str">
        <f t="shared" si="41"/>
        <v>Error?</v>
      </c>
    </row>
    <row r="2721" spans="1:4" x14ac:dyDescent="0.2">
      <c r="A2721" s="5">
        <v>2660</v>
      </c>
      <c r="B2721" s="138">
        <f>'Expenditures 15-22'!F51</f>
        <v>1224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31562</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15844</v>
      </c>
      <c r="C2789" s="2" t="s">
        <v>573</v>
      </c>
      <c r="D2789" s="2" t="str">
        <f t="shared" si="42"/>
        <v>Error?</v>
      </c>
    </row>
    <row r="2790" spans="1:4" x14ac:dyDescent="0.2">
      <c r="A2790" s="5">
        <v>2729</v>
      </c>
      <c r="B2790" s="138">
        <f>'Expenditures 15-22'!E102</f>
        <v>15844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228711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534611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228711</v>
      </c>
      <c r="D2912" s="2" t="str">
        <f t="shared" si="44"/>
        <v>Error?</v>
      </c>
    </row>
    <row r="2913" spans="1:4" x14ac:dyDescent="0.2">
      <c r="A2913" s="5">
        <v>2852</v>
      </c>
      <c r="B2913" s="138">
        <f>'Assets-Liab 5-6'!I41</f>
        <v>228711</v>
      </c>
      <c r="C2913" s="2" t="s">
        <v>573</v>
      </c>
      <c r="D2913" s="2" t="str">
        <f t="shared" si="44"/>
        <v>Error?</v>
      </c>
    </row>
    <row r="2914" spans="1:4" x14ac:dyDescent="0.2">
      <c r="A2914" s="5">
        <v>2853</v>
      </c>
      <c r="B2914" s="138">
        <f>'Assets-Liab 5-6'!L33</f>
        <v>534611</v>
      </c>
      <c r="D2914" s="2" t="str">
        <f t="shared" si="44"/>
        <v>Error?</v>
      </c>
    </row>
    <row r="2915" spans="1:4" x14ac:dyDescent="0.2">
      <c r="A2915" s="10">
        <v>2854</v>
      </c>
      <c r="D2915" s="2" t="str">
        <f t="shared" si="44"/>
        <v>OK</v>
      </c>
    </row>
    <row r="2916" spans="1:4" x14ac:dyDescent="0.2">
      <c r="A2916" s="5">
        <v>2855</v>
      </c>
      <c r="B2916" s="138">
        <f>'Assets-Liab 5-6'!L34</f>
        <v>534611</v>
      </c>
      <c r="C2916" s="2" t="s">
        <v>573</v>
      </c>
      <c r="D2916" s="2" t="str">
        <f t="shared" si="44"/>
        <v>Error?</v>
      </c>
    </row>
    <row r="2917" spans="1:4" x14ac:dyDescent="0.2">
      <c r="A2917" s="5">
        <v>2856</v>
      </c>
      <c r="B2917" s="138">
        <f>'Assets-Liab 5-6'!L41</f>
        <v>534611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15844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3206</v>
      </c>
      <c r="D2955" s="2" t="str">
        <f t="shared" si="45"/>
        <v>Error?</v>
      </c>
    </row>
    <row r="2956" spans="1:4" x14ac:dyDescent="0.2">
      <c r="A2956" s="5">
        <v>2895</v>
      </c>
      <c r="B2956" s="138">
        <f>'Expenditures 15-22'!H79</f>
        <v>397673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3206</v>
      </c>
      <c r="C2973" s="2" t="s">
        <v>573</v>
      </c>
      <c r="D2973" s="2" t="str">
        <f t="shared" si="45"/>
        <v>Error?</v>
      </c>
    </row>
    <row r="2974" spans="1:4" x14ac:dyDescent="0.2">
      <c r="A2974" s="5">
        <v>2913</v>
      </c>
      <c r="B2974" s="138">
        <f>'Expenditures 15-22'!K79</f>
        <v>413517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163470</v>
      </c>
      <c r="D3055" s="2" t="str">
        <f t="shared" si="46"/>
        <v>Error?</v>
      </c>
    </row>
    <row r="3056" spans="1:4" x14ac:dyDescent="0.2">
      <c r="A3056" s="5">
        <v>2995</v>
      </c>
      <c r="B3056" s="138">
        <f>'Expenditures 15-22'!D10</f>
        <v>48946</v>
      </c>
      <c r="D3056" s="2" t="str">
        <f t="shared" si="46"/>
        <v>Error?</v>
      </c>
    </row>
    <row r="3057" spans="1:4" x14ac:dyDescent="0.2">
      <c r="A3057" s="5">
        <v>2996</v>
      </c>
      <c r="B3057" s="138">
        <f>'Expenditures 15-22'!E10</f>
        <v>54313</v>
      </c>
      <c r="D3057" s="2" t="str">
        <f t="shared" si="46"/>
        <v>Error?</v>
      </c>
    </row>
    <row r="3058" spans="1:4" x14ac:dyDescent="0.2">
      <c r="A3058" s="5">
        <v>2997</v>
      </c>
      <c r="B3058" s="138">
        <f>'Expenditures 15-22'!F10</f>
        <v>86699</v>
      </c>
      <c r="D3058" s="2" t="str">
        <f t="shared" si="46"/>
        <v>Error?</v>
      </c>
    </row>
    <row r="3059" spans="1:4" x14ac:dyDescent="0.2">
      <c r="A3059" s="5">
        <v>2998</v>
      </c>
      <c r="B3059" s="138">
        <f>'Expenditures 15-22'!G10</f>
        <v>8000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361428</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54370</v>
      </c>
      <c r="C3225" s="2" t="s">
        <v>573</v>
      </c>
      <c r="D3225" s="2" t="str">
        <f t="shared" si="49"/>
        <v>Error?</v>
      </c>
    </row>
    <row r="3226" spans="1:4" x14ac:dyDescent="0.2">
      <c r="A3226" s="5">
        <v>3165</v>
      </c>
      <c r="B3226" s="138">
        <f>'Acct Summary 7-8'!I8</f>
        <v>54370</v>
      </c>
      <c r="C3226" s="2" t="s">
        <v>573</v>
      </c>
      <c r="D3226" s="2" t="str">
        <f t="shared" si="49"/>
        <v>Error?</v>
      </c>
    </row>
    <row r="3227" spans="1:4" x14ac:dyDescent="0.2">
      <c r="A3227" s="5">
        <v>3166</v>
      </c>
      <c r="B3227" s="138">
        <f>'Acct Summary 7-8'!I20</f>
        <v>54370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1399087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63535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2436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13649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-5677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55621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54370</v>
      </c>
      <c r="C3320" s="2" t="s">
        <v>573</v>
      </c>
      <c r="D3320" s="2" t="str">
        <f t="shared" si="50"/>
        <v>Error?</v>
      </c>
    </row>
    <row r="3321" spans="1:4" x14ac:dyDescent="0.2">
      <c r="A3321" s="5">
        <v>3260</v>
      </c>
      <c r="B3321" s="138">
        <f>'Acct Summary 7-8'!I79</f>
        <v>174341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228711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892860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184351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212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2303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1079726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47630</v>
      </c>
      <c r="D3387" s="2" t="str">
        <f t="shared" si="51"/>
        <v>Error?</v>
      </c>
    </row>
    <row r="3388" spans="1:4" x14ac:dyDescent="0.2">
      <c r="A3388" s="5">
        <v>3327</v>
      </c>
      <c r="B3388" s="138">
        <f>'Expenditures 15-22'!D217</f>
        <v>74052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47630</v>
      </c>
      <c r="C3390" s="2" t="s">
        <v>573</v>
      </c>
      <c r="D3390" s="2" t="str">
        <f t="shared" si="51"/>
        <v>Error?</v>
      </c>
    </row>
    <row r="3391" spans="1:4" x14ac:dyDescent="0.2">
      <c r="A3391" s="5">
        <v>3330</v>
      </c>
      <c r="B3391" s="138">
        <f>'Expenditures 15-22'!K217</f>
        <v>74052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56916</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3365639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340514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144</v>
      </c>
      <c r="D3417" s="2" t="str">
        <f t="shared" si="52"/>
        <v>Error?</v>
      </c>
    </row>
    <row r="3418" spans="1:4" x14ac:dyDescent="0.2">
      <c r="A3418" s="10">
        <v>3357</v>
      </c>
      <c r="D3418" s="2" t="str">
        <f t="shared" si="52"/>
        <v>OK</v>
      </c>
    </row>
    <row r="3419" spans="1:4" x14ac:dyDescent="0.2">
      <c r="A3419" s="5">
        <v>3358</v>
      </c>
      <c r="B3419" s="138">
        <f>'Assets-Liab 5-6'!F4</f>
        <v>84191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176023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198599</v>
      </c>
      <c r="D3425" s="2" t="str">
        <f t="shared" si="52"/>
        <v>Error?</v>
      </c>
    </row>
    <row r="3426" spans="1:4" x14ac:dyDescent="0.2">
      <c r="A3426" s="10">
        <v>3365</v>
      </c>
      <c r="D3426" s="2" t="str">
        <f t="shared" si="52"/>
        <v>OK</v>
      </c>
    </row>
    <row r="3427" spans="1:4" x14ac:dyDescent="0.2">
      <c r="A3427" s="5">
        <v>3366</v>
      </c>
      <c r="B3427" s="138">
        <f>'Assets-Liab 5-6'!I4</f>
        <v>228711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534611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180909</v>
      </c>
      <c r="C3446" s="2" t="s">
        <v>573</v>
      </c>
      <c r="D3446" s="2" t="str">
        <f t="shared" si="52"/>
        <v>Error?</v>
      </c>
    </row>
    <row r="3447" spans="1:4" x14ac:dyDescent="0.2">
      <c r="A3447" s="5">
        <v>3386</v>
      </c>
      <c r="B3447" s="138">
        <f>'Tax Sched 23'!D16</f>
        <v>180909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180000</v>
      </c>
      <c r="C3449" s="2" t="s">
        <v>573</v>
      </c>
      <c r="D3449" s="2" t="str">
        <f t="shared" si="52"/>
        <v>Error?</v>
      </c>
    </row>
    <row r="3450" spans="1:4" x14ac:dyDescent="0.2">
      <c r="A3450" s="5">
        <v>3389</v>
      </c>
      <c r="B3450" s="138">
        <f>'Tax Sched 23'!E16</f>
        <v>180000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110684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110684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110684</v>
      </c>
      <c r="D3567" s="2" t="str">
        <f t="shared" si="54"/>
        <v>Error?</v>
      </c>
    </row>
    <row r="3568" spans="1:4" x14ac:dyDescent="0.2">
      <c r="A3568" s="5">
        <v>3507</v>
      </c>
      <c r="B3568" s="138">
        <f>'Assets-Liab 5-6'!K41</f>
        <v>110684</v>
      </c>
      <c r="C3568" s="2" t="s">
        <v>573</v>
      </c>
      <c r="D3568" s="2" t="str">
        <f t="shared" si="54"/>
        <v>Error?</v>
      </c>
    </row>
    <row r="3569" spans="1:4" x14ac:dyDescent="0.2">
      <c r="A3569" s="5">
        <v>3508</v>
      </c>
      <c r="B3569" s="138">
        <f>'Acct Summary 7-8'!K4</f>
        <v>51844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51844</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51844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51844</v>
      </c>
      <c r="C3588" s="2" t="s">
        <v>573</v>
      </c>
      <c r="D3588" s="2" t="str">
        <f t="shared" si="55"/>
        <v>Error?</v>
      </c>
    </row>
    <row r="3589" spans="1:4" x14ac:dyDescent="0.2">
      <c r="A3589" s="5">
        <v>3528</v>
      </c>
      <c r="B3589" s="138">
        <f>'Acct Summary 7-8'!K79</f>
        <v>58840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110684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51844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387789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3624084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14473977</v>
      </c>
      <c r="C4122" s="2" t="s">
        <v>573</v>
      </c>
      <c r="D4122" s="2" t="str">
        <f t="shared" si="63"/>
        <v>Error?</v>
      </c>
    </row>
    <row r="4123" spans="1:4" x14ac:dyDescent="0.2">
      <c r="A4123" s="5">
        <v>4062</v>
      </c>
      <c r="B4123" s="138">
        <f>'Acct Summary 7-8'!D10</f>
        <v>546262</v>
      </c>
      <c r="C4123" s="2" t="s">
        <v>573</v>
      </c>
      <c r="D4123" s="2" t="str">
        <f t="shared" si="63"/>
        <v>Error?</v>
      </c>
    </row>
    <row r="4124" spans="1:4" x14ac:dyDescent="0.2">
      <c r="A4124" s="5">
        <v>4063</v>
      </c>
      <c r="B4124" s="138">
        <f>'Acct Summary 7-8'!E10</f>
        <v>258910</v>
      </c>
      <c r="C4124" s="2" t="s">
        <v>573</v>
      </c>
      <c r="D4124" s="2" t="str">
        <f t="shared" si="63"/>
        <v>Error?</v>
      </c>
    </row>
    <row r="4125" spans="1:4" x14ac:dyDescent="0.2">
      <c r="A4125" s="5">
        <v>4064</v>
      </c>
      <c r="B4125" s="138">
        <f>'Acct Summary 7-8'!F10</f>
        <v>1136716</v>
      </c>
      <c r="C4125" s="2" t="s">
        <v>573</v>
      </c>
      <c r="D4125" s="2" t="str">
        <f t="shared" si="63"/>
        <v>Error?</v>
      </c>
    </row>
    <row r="4126" spans="1:4" x14ac:dyDescent="0.2">
      <c r="A4126" s="5">
        <v>4065</v>
      </c>
      <c r="B4126" s="138">
        <f>'Acct Summary 7-8'!G10</f>
        <v>427754</v>
      </c>
      <c r="C4126" s="2" t="s">
        <v>573</v>
      </c>
      <c r="D4126" s="2" t="str">
        <f t="shared" si="63"/>
        <v>Error?</v>
      </c>
    </row>
    <row r="4127" spans="1:4" x14ac:dyDescent="0.2">
      <c r="A4127" s="5">
        <v>4066</v>
      </c>
      <c r="B4127" s="138">
        <f>'Acct Summary 7-8'!H10</f>
        <v>322629</v>
      </c>
      <c r="C4127" s="2" t="s">
        <v>573</v>
      </c>
      <c r="D4127" s="2" t="str">
        <f t="shared" si="63"/>
        <v>Error?</v>
      </c>
    </row>
    <row r="4128" spans="1:4" x14ac:dyDescent="0.2">
      <c r="A4128" s="5">
        <v>4067</v>
      </c>
      <c r="B4128" s="138">
        <f>'Acct Summary 7-8'!I10</f>
        <v>54370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51844</v>
      </c>
      <c r="C4130" s="2" t="s">
        <v>573</v>
      </c>
      <c r="D4130" s="2" t="str">
        <f t="shared" si="63"/>
        <v>Error?</v>
      </c>
    </row>
    <row r="4131" spans="1:4" x14ac:dyDescent="0.2">
      <c r="A4131" s="5">
        <v>4070</v>
      </c>
      <c r="B4131" s="138">
        <f>'Acct Summary 7-8'!C18</f>
        <v>3624084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13074890</v>
      </c>
      <c r="C4136" s="2" t="s">
        <v>573</v>
      </c>
      <c r="D4136" s="2" t="str">
        <f t="shared" si="63"/>
        <v>Error?</v>
      </c>
    </row>
    <row r="4137" spans="1:4" x14ac:dyDescent="0.2">
      <c r="A4137" s="5">
        <v>4076</v>
      </c>
      <c r="B4137" s="138">
        <f>'Acct Summary 7-8'!D19</f>
        <v>482727</v>
      </c>
      <c r="C4137" s="2" t="s">
        <v>573</v>
      </c>
      <c r="D4137" s="2" t="str">
        <f t="shared" si="63"/>
        <v>Error?</v>
      </c>
    </row>
    <row r="4138" spans="1:4" x14ac:dyDescent="0.2">
      <c r="A4138" s="5">
        <v>4077</v>
      </c>
      <c r="B4138" s="138">
        <f>'Acct Summary 7-8'!E19</f>
        <v>264587</v>
      </c>
      <c r="C4138" s="2" t="s">
        <v>573</v>
      </c>
      <c r="D4138" s="2" t="str">
        <f t="shared" si="63"/>
        <v>Error?</v>
      </c>
    </row>
    <row r="4139" spans="1:4" x14ac:dyDescent="0.2">
      <c r="A4139" s="5">
        <v>4078</v>
      </c>
      <c r="B4139" s="138">
        <f>'Acct Summary 7-8'!F19</f>
        <v>1134280</v>
      </c>
      <c r="C4139" s="2" t="s">
        <v>573</v>
      </c>
      <c r="D4139" s="2" t="str">
        <f t="shared" si="63"/>
        <v>Error?</v>
      </c>
    </row>
    <row r="4140" spans="1:4" x14ac:dyDescent="0.2">
      <c r="A4140" s="5">
        <v>4079</v>
      </c>
      <c r="B4140" s="138">
        <f>'Acct Summary 7-8'!G19</f>
        <v>414105</v>
      </c>
      <c r="C4140" s="2" t="s">
        <v>573</v>
      </c>
      <c r="D4140" s="2" t="str">
        <f t="shared" si="63"/>
        <v>Error?</v>
      </c>
    </row>
    <row r="4141" spans="1:4" x14ac:dyDescent="0.2">
      <c r="A4141" s="5">
        <v>4080</v>
      </c>
      <c r="B4141" s="138">
        <f>'Acct Summary 7-8'!H19</f>
        <v>267008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1547691</v>
      </c>
      <c r="C4171" s="2" t="s">
        <v>573</v>
      </c>
      <c r="D4171" s="2" t="str">
        <f t="shared" si="64"/>
        <v>Error?</v>
      </c>
    </row>
    <row r="4172" spans="1:4" x14ac:dyDescent="0.2">
      <c r="A4172" s="5">
        <v>4111</v>
      </c>
      <c r="B4172" s="138">
        <f>'Short-Term Long-Term Debt 24'!J49</f>
        <v>1547547</v>
      </c>
      <c r="C4172" s="2" t="s">
        <v>573</v>
      </c>
      <c r="D4172" s="2" t="str">
        <f t="shared" si="64"/>
        <v>Error?</v>
      </c>
    </row>
    <row r="4173" spans="1:4" x14ac:dyDescent="0.2">
      <c r="A4173" s="5">
        <v>4112</v>
      </c>
      <c r="B4173" s="138">
        <f>'Short-Term Long-Term Debt 24'!H49</f>
        <v>327570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100670</v>
      </c>
      <c r="D4210" s="2" t="str">
        <f t="shared" si="64"/>
        <v>Error?</v>
      </c>
    </row>
    <row r="4211" spans="1:4" x14ac:dyDescent="0.2">
      <c r="A4211" s="5">
        <v>4150</v>
      </c>
      <c r="B4211" s="138">
        <f>'Expenditures 15-22'!K206</f>
        <v>100670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2700</v>
      </c>
      <c r="C4268" s="2" t="s">
        <v>573</v>
      </c>
      <c r="D4268" s="2" t="str">
        <f t="shared" si="65"/>
        <v>Error?</v>
      </c>
    </row>
    <row r="4269" spans="1:5" x14ac:dyDescent="0.2">
      <c r="A4269" s="12">
        <v>4208</v>
      </c>
      <c r="B4269" s="138">
        <f>'FP Info 3'!J16</f>
        <v>4935473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5484</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5062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28912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221996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358</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99234602</v>
      </c>
      <c r="D4995" s="2" t="str">
        <f t="shared" si="77"/>
        <v>Error?</v>
      </c>
    </row>
    <row r="4996" spans="1:4" x14ac:dyDescent="0.2">
      <c r="A4996" s="12">
        <v>4935</v>
      </c>
      <c r="B4996" s="138">
        <f>'FP Info 3'!H31</f>
        <v>13694375.076000001</v>
      </c>
      <c r="D4996" s="2" t="str">
        <f t="shared" si="77"/>
        <v>Error?</v>
      </c>
    </row>
    <row r="4997" spans="1:4" x14ac:dyDescent="0.2">
      <c r="A4997" s="12">
        <v>4936</v>
      </c>
      <c r="B4997" s="138">
        <f>'FP Info 3'!H37</f>
        <v>1547691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1994232</v>
      </c>
      <c r="D5061" s="2" t="str">
        <f t="shared" si="78"/>
        <v>Error?</v>
      </c>
    </row>
    <row r="5062" spans="1:4" x14ac:dyDescent="0.2">
      <c r="A5062" s="10">
        <v>5001</v>
      </c>
      <c r="D5062" s="2" t="str">
        <f t="shared" si="78"/>
        <v>OK</v>
      </c>
    </row>
    <row r="5063" spans="1:4" x14ac:dyDescent="0.2">
      <c r="A5063" s="5">
        <v>5002</v>
      </c>
      <c r="B5063" s="138">
        <f>'Revenues 9-14'!C7</f>
        <v>39885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2034117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263096</v>
      </c>
      <c r="D5069" s="2" t="str">
        <f t="shared" si="78"/>
        <v>Error?</v>
      </c>
    </row>
    <row r="5070" spans="1:4" x14ac:dyDescent="0.2">
      <c r="A5070" s="5">
        <v>5009</v>
      </c>
      <c r="B5070" s="138">
        <f>'Revenues 9-14'!C17</f>
        <v>775</v>
      </c>
      <c r="D5070" s="2" t="str">
        <f t="shared" si="78"/>
        <v>Error?</v>
      </c>
    </row>
    <row r="5071" spans="1:4" x14ac:dyDescent="0.2">
      <c r="A5071" s="5">
        <v>5010</v>
      </c>
      <c r="B5071" s="138">
        <f>'Revenues 9-14'!C18</f>
        <v>263871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97182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97182</v>
      </c>
      <c r="C5090" s="2" t="s">
        <v>573</v>
      </c>
      <c r="D5090" s="2" t="str">
        <f t="shared" si="78"/>
        <v>Error?</v>
      </c>
    </row>
    <row r="5091" spans="1:4" x14ac:dyDescent="0.2">
      <c r="A5091" s="5">
        <v>5030</v>
      </c>
      <c r="B5091" s="138">
        <f>'Revenues 9-14'!C70</f>
        <v>1891</v>
      </c>
      <c r="D5091" s="2" t="str">
        <f t="shared" si="78"/>
        <v>Error?</v>
      </c>
    </row>
    <row r="5092" spans="1:4" x14ac:dyDescent="0.2">
      <c r="A5092" s="5">
        <v>5031</v>
      </c>
      <c r="B5092" s="138">
        <f>'Revenues 9-14'!C71</f>
        <v>169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8747</v>
      </c>
      <c r="D5094" s="2" t="str">
        <f t="shared" si="78"/>
        <v>Error?</v>
      </c>
    </row>
    <row r="5095" spans="1:4" x14ac:dyDescent="0.2">
      <c r="A5095" s="5">
        <v>5034</v>
      </c>
      <c r="B5095" s="138">
        <f>'Revenues 9-14'!C74</f>
        <v>3925</v>
      </c>
      <c r="D5095" s="2" t="str">
        <f t="shared" si="78"/>
        <v>Error?</v>
      </c>
    </row>
    <row r="5096" spans="1:4" x14ac:dyDescent="0.2">
      <c r="A5096" s="5">
        <v>5035</v>
      </c>
      <c r="B5096" s="138">
        <f>'Revenues 9-14'!C75</f>
        <v>198898</v>
      </c>
      <c r="C5096" s="2" t="s">
        <v>573</v>
      </c>
      <c r="D5096" s="2" t="str">
        <f t="shared" si="78"/>
        <v>Error?</v>
      </c>
    </row>
    <row r="5097" spans="1:4" x14ac:dyDescent="0.2">
      <c r="A5097" s="5">
        <v>5036</v>
      </c>
      <c r="B5097" s="138">
        <f>'Revenues 9-14'!C77</f>
        <v>45098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24976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70074</v>
      </c>
      <c r="C5102" s="2" t="s">
        <v>573</v>
      </c>
      <c r="D5102" s="2" t="str">
        <f t="shared" si="78"/>
        <v>Error?</v>
      </c>
    </row>
    <row r="5103" spans="1:4" x14ac:dyDescent="0.2">
      <c r="A5103" s="5">
        <v>5042</v>
      </c>
      <c r="B5103" s="138">
        <f>'Revenues 9-14'!C84</f>
        <v>19354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19354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109000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21110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125960</v>
      </c>
      <c r="D5119" s="2" t="str">
        <f t="shared" ref="D5119:D5182" si="79">IF(ISBLANK(B5119),"OK",IF(A5119-B5119=0,"OK","Error?"))</f>
        <v>Error?</v>
      </c>
    </row>
    <row r="5120" spans="1:4" x14ac:dyDescent="0.2">
      <c r="A5120" s="5">
        <v>5059</v>
      </c>
      <c r="B5120" s="138">
        <f>'Revenues 9-14'!C108</f>
        <v>266350</v>
      </c>
      <c r="C5120" s="2" t="s">
        <v>573</v>
      </c>
      <c r="D5120" s="2" t="str">
        <f t="shared" si="79"/>
        <v>Error?</v>
      </c>
    </row>
    <row r="5121" spans="1:4" x14ac:dyDescent="0.2">
      <c r="A5121" s="5">
        <v>5060</v>
      </c>
      <c r="B5121" s="138">
        <f>'Revenues 9-14'!C109</f>
        <v>2949846</v>
      </c>
      <c r="C5121" s="2" t="s">
        <v>573</v>
      </c>
      <c r="D5121" s="2" t="str">
        <f t="shared" si="79"/>
        <v>Error?</v>
      </c>
    </row>
    <row r="5122" spans="1:4" x14ac:dyDescent="0.2">
      <c r="A5122" s="5">
        <v>5061</v>
      </c>
      <c r="B5122" s="138">
        <f>'Revenues 9-14'!C111</f>
        <v>25472</v>
      </c>
      <c r="D5122" s="2" t="str">
        <f t="shared" si="79"/>
        <v>Error?</v>
      </c>
    </row>
    <row r="5123" spans="1:4" x14ac:dyDescent="0.2">
      <c r="A5123" s="5">
        <v>5062</v>
      </c>
      <c r="B5123" s="138">
        <f>'Revenues 9-14'!C112</f>
        <v>31444</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56916</v>
      </c>
      <c r="C5125" s="2" t="s">
        <v>573</v>
      </c>
      <c r="D5125" s="2" t="str">
        <f t="shared" si="79"/>
        <v>Error?</v>
      </c>
    </row>
    <row r="5126" spans="1:4" x14ac:dyDescent="0.2">
      <c r="A5126" s="5">
        <v>5065</v>
      </c>
      <c r="B5126" s="138">
        <f>'Revenues 9-14'!C117</f>
        <v>5682491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5682491</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64269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64269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21019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6771</v>
      </c>
      <c r="D5167" s="2" t="str">
        <f t="shared" si="79"/>
        <v>Error?</v>
      </c>
    </row>
    <row r="5168" spans="1:4" x14ac:dyDescent="0.2">
      <c r="A5168" s="5">
        <v>5107</v>
      </c>
      <c r="B5168" s="138">
        <f>'Revenues 9-14'!C148</f>
        <v>19161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40196</v>
      </c>
      <c r="D5194" s="2" t="str">
        <f t="shared" si="80"/>
        <v>Error?</v>
      </c>
    </row>
    <row r="5195" spans="1:5" x14ac:dyDescent="0.2">
      <c r="A5195" s="10">
        <v>5134</v>
      </c>
      <c r="D5195" s="2" t="str">
        <f t="shared" si="80"/>
        <v>OK</v>
      </c>
    </row>
    <row r="5196" spans="1:5" x14ac:dyDescent="0.2">
      <c r="A5196" s="5">
        <v>5135</v>
      </c>
      <c r="B5196" s="138">
        <f>'Revenues 9-14'!C159</f>
        <v>956675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1330087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7012578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266500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78866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345366</v>
      </c>
      <c r="C5246" s="2" t="s">
        <v>573</v>
      </c>
      <c r="D5246" s="2" t="str">
        <f t="shared" si="80"/>
        <v>Error?</v>
      </c>
    </row>
    <row r="5247" spans="1:4" x14ac:dyDescent="0.2">
      <c r="A5247" s="5">
        <v>5186</v>
      </c>
      <c r="B5247" s="138">
        <f>'Revenues 9-14'!C200</f>
        <v>412559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418043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32812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32812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830553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830553</v>
      </c>
      <c r="C5326" s="2" t="s">
        <v>573</v>
      </c>
      <c r="D5326" s="2" t="str">
        <f t="shared" si="82"/>
        <v>Error?</v>
      </c>
    </row>
    <row r="5327" spans="1:5" x14ac:dyDescent="0.2">
      <c r="A5327" s="5">
        <v>5266</v>
      </c>
      <c r="B5327" s="138">
        <f>'Revenues 9-14'!C268</f>
        <v>10849893</v>
      </c>
      <c r="C5327" s="2" t="s">
        <v>573</v>
      </c>
      <c r="D5327" s="2" t="str">
        <f t="shared" si="82"/>
        <v>Error?</v>
      </c>
    </row>
    <row r="5328" spans="1:5" x14ac:dyDescent="0.2">
      <c r="A5328" s="5">
        <v>5267</v>
      </c>
      <c r="B5328" s="138">
        <f>'Revenues 9-14'!D5</f>
        <v>498558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498558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8037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8037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1321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38346</v>
      </c>
      <c r="D5354" s="2" t="str">
        <f t="shared" si="82"/>
        <v>Error?</v>
      </c>
    </row>
    <row r="5355" spans="1:4" x14ac:dyDescent="0.2">
      <c r="A5355" s="5">
        <v>5294</v>
      </c>
      <c r="B5355" s="138">
        <f>'Revenues 9-14'!D108</f>
        <v>39667</v>
      </c>
      <c r="C5355" s="2" t="s">
        <v>573</v>
      </c>
      <c r="D5355" s="2" t="str">
        <f t="shared" si="82"/>
        <v>Error?</v>
      </c>
    </row>
    <row r="5356" spans="1:4" x14ac:dyDescent="0.2">
      <c r="A5356" s="5">
        <v>5295</v>
      </c>
      <c r="B5356" s="138">
        <f>'Revenues 9-14'!D109</f>
        <v>546262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546262</v>
      </c>
      <c r="C5508" s="2" t="s">
        <v>573</v>
      </c>
      <c r="D5508" s="2" t="str">
        <f t="shared" si="85"/>
        <v>Error?</v>
      </c>
    </row>
    <row r="5509" spans="1:4" x14ac:dyDescent="0.2">
      <c r="A5509" s="5">
        <v>5448</v>
      </c>
      <c r="B5509" s="138">
        <f>'Revenues 9-14'!E5</f>
        <v>236183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236183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118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22609</v>
      </c>
      <c r="C5526" s="2" t="s">
        <v>573</v>
      </c>
      <c r="D5526" s="2" t="str">
        <f t="shared" si="85"/>
        <v>Error?</v>
      </c>
    </row>
    <row r="5527" spans="1:4" x14ac:dyDescent="0.2">
      <c r="A5527" s="5">
        <v>5466</v>
      </c>
      <c r="B5527" s="138">
        <f>'Revenues 9-14'!E109</f>
        <v>258910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258910</v>
      </c>
      <c r="C5552" s="2" t="s">
        <v>573</v>
      </c>
      <c r="D5552" s="2" t="str">
        <f t="shared" si="85"/>
        <v>Error?</v>
      </c>
    </row>
    <row r="5553" spans="1:4" x14ac:dyDescent="0.2">
      <c r="A5553" s="5">
        <v>5492</v>
      </c>
      <c r="B5553" s="138">
        <f>'Revenues 9-14'!F5</f>
        <v>199423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199423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40128</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40128</v>
      </c>
      <c r="C5579" s="2" t="s">
        <v>573</v>
      </c>
      <c r="D5579" s="2" t="str">
        <f t="shared" si="86"/>
        <v>Error?</v>
      </c>
    </row>
    <row r="5580" spans="1:4" x14ac:dyDescent="0.2">
      <c r="A5580" s="5">
        <v>5519</v>
      </c>
      <c r="B5580" s="138">
        <f>'Revenues 9-14'!F65</f>
        <v>121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45787</v>
      </c>
      <c r="D5586" s="2" t="str">
        <f t="shared" si="86"/>
        <v>Error?</v>
      </c>
    </row>
    <row r="5587" spans="1:4" x14ac:dyDescent="0.2">
      <c r="A5587" s="5">
        <v>5526</v>
      </c>
      <c r="B5587" s="138">
        <f>'Revenues 9-14'!F108</f>
        <v>45787</v>
      </c>
      <c r="C5587" s="2" t="s">
        <v>573</v>
      </c>
      <c r="D5587" s="2" t="str">
        <f t="shared" si="86"/>
        <v>Error?</v>
      </c>
    </row>
    <row r="5588" spans="1:4" x14ac:dyDescent="0.2">
      <c r="A5588" s="5">
        <v>5527</v>
      </c>
      <c r="B5588" s="138">
        <f>'Revenues 9-14'!F109</f>
        <v>285459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400000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400000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410342</v>
      </c>
      <c r="D5615" s="2" t="str">
        <f t="shared" si="86"/>
        <v>Error?</v>
      </c>
    </row>
    <row r="5616" spans="1:4" x14ac:dyDescent="0.2">
      <c r="A5616" s="10">
        <v>5555</v>
      </c>
      <c r="D5616" s="2" t="str">
        <f t="shared" si="86"/>
        <v>OK</v>
      </c>
    </row>
    <row r="5617" spans="1:5" x14ac:dyDescent="0.2">
      <c r="A5617" s="5">
        <v>5556</v>
      </c>
      <c r="B5617" s="138">
        <f>'Revenues 9-14'!F153</f>
        <v>40915</v>
      </c>
      <c r="D5617" s="2" t="str">
        <f t="shared" si="86"/>
        <v>Error?</v>
      </c>
    </row>
    <row r="5618" spans="1:5" x14ac:dyDescent="0.2">
      <c r="A5618" s="5">
        <v>5557</v>
      </c>
      <c r="B5618" s="138">
        <f>'Revenues 9-14'!F155</f>
        <v>451257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451257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851257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1136716</v>
      </c>
      <c r="C5720" s="2" t="s">
        <v>573</v>
      </c>
      <c r="D5720" s="2" t="str">
        <f t="shared" si="88"/>
        <v>Error?</v>
      </c>
    </row>
    <row r="5721" spans="1:4" x14ac:dyDescent="0.2">
      <c r="A5721" s="5">
        <v>5660</v>
      </c>
      <c r="B5721" s="138">
        <f>'Revenues 9-14'!G5</f>
        <v>220814</v>
      </c>
      <c r="D5721" s="2" t="str">
        <f t="shared" si="88"/>
        <v>Error?</v>
      </c>
    </row>
    <row r="5722" spans="1:4" x14ac:dyDescent="0.2">
      <c r="A5722" s="5">
        <v>5661</v>
      </c>
      <c r="B5722" s="138">
        <f>'Revenues 9-14'!G7</f>
        <v>0</v>
      </c>
      <c r="D5722" s="2" t="str">
        <f t="shared" si="88"/>
        <v>Error?</v>
      </c>
    </row>
    <row r="5723" spans="1:4" x14ac:dyDescent="0.2">
      <c r="A5723" s="5">
        <v>5662</v>
      </c>
      <c r="B5723" s="138">
        <f>'Revenues 9-14'!G8</f>
        <v>180909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401723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21208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21208</v>
      </c>
      <c r="C5730" s="2" t="s">
        <v>573</v>
      </c>
      <c r="D5730" s="2" t="str">
        <f t="shared" si="88"/>
        <v>Error?</v>
      </c>
    </row>
    <row r="5731" spans="1:4" x14ac:dyDescent="0.2">
      <c r="A5731" s="5">
        <v>5670</v>
      </c>
      <c r="B5731" s="138">
        <f>'Revenues 9-14'!G65</f>
        <v>4823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4823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427754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4407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4407</v>
      </c>
      <c r="C5881" s="2" t="s">
        <v>573</v>
      </c>
      <c r="D5881" s="2" t="str">
        <f t="shared" si="90"/>
        <v>Error?</v>
      </c>
    </row>
    <row r="5882" spans="1:4" x14ac:dyDescent="0.2">
      <c r="A5882" s="5">
        <v>5821</v>
      </c>
      <c r="B5882" s="138">
        <f>'Revenues 9-14'!H96</f>
        <v>500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318222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322629</v>
      </c>
      <c r="C5915" s="2" t="s">
        <v>573</v>
      </c>
      <c r="D5915" s="2" t="str">
        <f t="shared" si="91"/>
        <v>Error?</v>
      </c>
    </row>
    <row r="5916" spans="1:4" x14ac:dyDescent="0.2">
      <c r="A5916" s="5">
        <v>5855</v>
      </c>
      <c r="B5916" s="138">
        <f>'Revenues 9-14'!I5</f>
        <v>49856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49856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4514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4514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54370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49856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49856</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1988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1988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51844</v>
      </c>
      <c r="C6023" s="2" t="s">
        <v>573</v>
      </c>
      <c r="D6023" s="2" t="str">
        <f t="shared" si="93"/>
        <v>Error?</v>
      </c>
    </row>
    <row r="6024" spans="1:5" x14ac:dyDescent="0.2">
      <c r="A6024" s="5">
        <v>5963</v>
      </c>
      <c r="B6024" s="138">
        <f>'Revenues 9-14'!G109</f>
        <v>427754</v>
      </c>
      <c r="C6024" s="2" t="s">
        <v>573</v>
      </c>
      <c r="D6024" s="2" t="str">
        <f t="shared" si="93"/>
        <v>Error?</v>
      </c>
    </row>
    <row r="6025" spans="1:5" x14ac:dyDescent="0.2">
      <c r="A6025" s="5">
        <v>5964</v>
      </c>
      <c r="B6025" s="138">
        <f>'Revenues 9-14'!H109</f>
        <v>322629</v>
      </c>
      <c r="C6025" s="2" t="s">
        <v>573</v>
      </c>
      <c r="D6025" s="2" t="str">
        <f t="shared" si="93"/>
        <v>Error?</v>
      </c>
    </row>
    <row r="6026" spans="1:5" x14ac:dyDescent="0.2">
      <c r="A6026" s="5">
        <v>5965</v>
      </c>
      <c r="B6026" s="138">
        <f>'Revenues 9-14'!I109</f>
        <v>54370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51844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184166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58316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1124.0999999999999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136832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136832</v>
      </c>
      <c r="D6215" s="2" t="str">
        <f t="shared" si="96"/>
        <v>Error?</v>
      </c>
      <c r="E6215" s="2" t="s">
        <v>190</v>
      </c>
    </row>
    <row r="6216" spans="1:5" x14ac:dyDescent="0.2">
      <c r="A6216">
        <v>6155</v>
      </c>
      <c r="B6216" s="138">
        <f>'Assets-Liab 5-6'!J41</f>
        <v>136832</v>
      </c>
      <c r="D6216" s="2" t="str">
        <f t="shared" si="96"/>
        <v>Error?</v>
      </c>
      <c r="E6216" s="2" t="s">
        <v>190</v>
      </c>
    </row>
    <row r="6217" spans="1:5" x14ac:dyDescent="0.2">
      <c r="A6217">
        <v>6156</v>
      </c>
      <c r="B6217" s="138">
        <f>'Assets-Liab 5-6'!J4</f>
        <v>136832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406509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406509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406509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430665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430665</v>
      </c>
      <c r="D6229" s="2" t="str">
        <f t="shared" si="96"/>
        <v>Error?</v>
      </c>
      <c r="E6229" s="2" t="s">
        <v>190</v>
      </c>
    </row>
    <row r="6230" spans="1:5" x14ac:dyDescent="0.2">
      <c r="A6230">
        <v>6169</v>
      </c>
      <c r="B6230" s="138">
        <f>'Acct Summary 7-8'!J20</f>
        <v>-24156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-24156</v>
      </c>
      <c r="D6263" s="2" t="str">
        <f t="shared" si="96"/>
        <v>Error?</v>
      </c>
      <c r="E6263" s="2" t="s">
        <v>190</v>
      </c>
    </row>
    <row r="6264" spans="1:5" x14ac:dyDescent="0.2">
      <c r="A6264">
        <v>6203</v>
      </c>
      <c r="B6264" s="138">
        <f>'Acct Summary 7-8'!J79</f>
        <v>160988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136832</v>
      </c>
      <c r="D6266" s="2" t="str">
        <f t="shared" si="96"/>
        <v>Error?</v>
      </c>
      <c r="E6266" s="2" t="s">
        <v>190</v>
      </c>
    </row>
    <row r="6267" spans="1:5" x14ac:dyDescent="0.2">
      <c r="A6267">
        <v>6206</v>
      </c>
      <c r="B6267" s="138">
        <f>'Acct Summary 7-8'!C82</f>
        <v>1447697</v>
      </c>
      <c r="D6267" s="2" t="str">
        <f t="shared" si="96"/>
        <v>Error?</v>
      </c>
      <c r="E6267" s="2" t="s">
        <v>190</v>
      </c>
    </row>
    <row r="6268" spans="1:5" x14ac:dyDescent="0.2">
      <c r="A6268">
        <v>6207</v>
      </c>
      <c r="B6268" s="138">
        <f>'Acct Summary 7-8'!D82</f>
        <v>63535</v>
      </c>
      <c r="D6268" s="2" t="str">
        <f t="shared" si="96"/>
        <v>Error?</v>
      </c>
      <c r="E6268" s="2" t="s">
        <v>190</v>
      </c>
    </row>
    <row r="6269" spans="1:5" x14ac:dyDescent="0.2">
      <c r="A6269">
        <v>6208</v>
      </c>
      <c r="B6269" s="138">
        <f>'Acct Summary 7-8'!E82</f>
        <v>-5677</v>
      </c>
      <c r="D6269" s="2" t="str">
        <f t="shared" si="96"/>
        <v>Error?</v>
      </c>
      <c r="E6269" s="2" t="s">
        <v>190</v>
      </c>
    </row>
    <row r="6270" spans="1:5" x14ac:dyDescent="0.2">
      <c r="A6270">
        <v>6209</v>
      </c>
      <c r="B6270" s="138">
        <f>'Acct Summary 7-8'!F82</f>
        <v>2436</v>
      </c>
      <c r="D6270" s="2" t="str">
        <f t="shared" si="96"/>
        <v>Error?</v>
      </c>
      <c r="E6270" s="2" t="s">
        <v>190</v>
      </c>
    </row>
    <row r="6271" spans="1:5" x14ac:dyDescent="0.2">
      <c r="A6271">
        <v>6210</v>
      </c>
      <c r="B6271" s="138">
        <f>'Acct Summary 7-8'!G82</f>
        <v>3030</v>
      </c>
      <c r="D6271" s="2" t="str">
        <f t="shared" ref="D6271:D6334" si="97">IF(ISBLANK(B6271),"OK",IF(A6271-B6271=0,"OK","Error?"))</f>
        <v>Error?</v>
      </c>
      <c r="E6271" s="2" t="s">
        <v>190</v>
      </c>
    </row>
    <row r="6272" spans="1:5" x14ac:dyDescent="0.2">
      <c r="A6272">
        <v>6211</v>
      </c>
      <c r="B6272" s="138">
        <f>'Acct Summary 7-8'!H82</f>
        <v>55621</v>
      </c>
      <c r="D6272" s="2" t="str">
        <f t="shared" si="97"/>
        <v>Error?</v>
      </c>
      <c r="E6272" s="2" t="s">
        <v>190</v>
      </c>
    </row>
    <row r="6273" spans="1:5" x14ac:dyDescent="0.2">
      <c r="A6273">
        <v>6212</v>
      </c>
      <c r="B6273" s="138">
        <f>'Acct Summary 7-8'!I82</f>
        <v>54370</v>
      </c>
      <c r="D6273" s="2" t="str">
        <f t="shared" si="97"/>
        <v>Error?</v>
      </c>
      <c r="E6273" s="2" t="s">
        <v>190</v>
      </c>
    </row>
    <row r="6274" spans="1:5" x14ac:dyDescent="0.2">
      <c r="A6274">
        <v>6213</v>
      </c>
      <c r="B6274" s="138">
        <f>'Acct Summary 7-8'!J82</f>
        <v>-24156</v>
      </c>
      <c r="D6274" s="2" t="str">
        <f t="shared" si="97"/>
        <v>Error?</v>
      </c>
      <c r="E6274" s="2" t="s">
        <v>190</v>
      </c>
    </row>
    <row r="6275" spans="1:5" x14ac:dyDescent="0.2">
      <c r="A6275">
        <v>6214</v>
      </c>
      <c r="B6275" s="138">
        <f>'Acct Summary 7-8'!K82</f>
        <v>51844</v>
      </c>
      <c r="D6275" s="2" t="str">
        <f t="shared" si="97"/>
        <v>Error?</v>
      </c>
      <c r="E6275" s="2" t="s">
        <v>190</v>
      </c>
    </row>
    <row r="6276" spans="1:5" x14ac:dyDescent="0.2">
      <c r="A6276">
        <v>6215</v>
      </c>
      <c r="B6276" s="138">
        <f>'Acct Summary 7-8'!C83</f>
        <v>0.33798652346859825</v>
      </c>
      <c r="D6276" s="2" t="str">
        <f t="shared" si="97"/>
        <v>Error?</v>
      </c>
      <c r="E6276" s="2" t="s">
        <v>190</v>
      </c>
    </row>
    <row r="6277" spans="1:5" x14ac:dyDescent="0.2">
      <c r="A6277">
        <v>6216</v>
      </c>
      <c r="B6277" s="138">
        <f>'Acct Summary 7-8'!D83</f>
        <v>0.18658557357406744</v>
      </c>
      <c r="D6277" s="2" t="str">
        <f t="shared" si="97"/>
        <v>Error?</v>
      </c>
      <c r="E6277" s="2" t="s">
        <v>190</v>
      </c>
    </row>
    <row r="6278" spans="1:5" x14ac:dyDescent="0.2">
      <c r="A6278">
        <v>6217</v>
      </c>
      <c r="B6278" s="138">
        <f>'Acct Summary 7-8'!E83</f>
        <v>-39.423611111111114</v>
      </c>
      <c r="D6278" s="2" t="str">
        <f t="shared" si="97"/>
        <v>Error?</v>
      </c>
      <c r="E6278" s="2" t="s">
        <v>190</v>
      </c>
    </row>
    <row r="6279" spans="1:5" x14ac:dyDescent="0.2">
      <c r="A6279">
        <v>6218</v>
      </c>
      <c r="B6279" s="138">
        <f>'Acct Summary 7-8'!F83</f>
        <v>2.9367088607594936E-2</v>
      </c>
      <c r="D6279" s="2" t="str">
        <f t="shared" si="97"/>
        <v>Error?</v>
      </c>
      <c r="E6279" s="2" t="s">
        <v>190</v>
      </c>
    </row>
    <row r="6280" spans="1:5" x14ac:dyDescent="0.2">
      <c r="A6280">
        <v>6219</v>
      </c>
      <c r="B6280" s="138">
        <f>'Acct Summary 7-8'!G83</f>
        <v>1.7213659578577799E-2</v>
      </c>
      <c r="D6280" s="2" t="str">
        <f t="shared" si="97"/>
        <v>Error?</v>
      </c>
      <c r="E6280" s="2" t="s">
        <v>190</v>
      </c>
    </row>
    <row r="6281" spans="1:5" x14ac:dyDescent="0.2">
      <c r="A6281">
        <v>6220</v>
      </c>
      <c r="B6281" s="138">
        <f>'Acct Summary 7-8'!H83</f>
        <v>0.28006686841323469</v>
      </c>
      <c r="D6281" s="2" t="str">
        <f t="shared" si="97"/>
        <v>Error?</v>
      </c>
      <c r="E6281" s="2" t="s">
        <v>190</v>
      </c>
    </row>
    <row r="6282" spans="1:5" x14ac:dyDescent="0.2">
      <c r="A6282">
        <v>6221</v>
      </c>
      <c r="B6282" s="138">
        <f>'Acct Summary 7-8'!I83</f>
        <v>0.23772359003283619</v>
      </c>
      <c r="D6282" s="2" t="str">
        <f t="shared" si="97"/>
        <v>Error?</v>
      </c>
      <c r="E6282" s="2" t="s">
        <v>190</v>
      </c>
    </row>
    <row r="6283" spans="1:5" x14ac:dyDescent="0.2">
      <c r="A6283">
        <v>6222</v>
      </c>
      <c r="B6283" s="138">
        <f>'Acct Summary 7-8'!J83</f>
        <v>-0.17653765201122545</v>
      </c>
      <c r="D6283" s="2" t="str">
        <f t="shared" si="97"/>
        <v>Error?</v>
      </c>
      <c r="E6283" s="2" t="s">
        <v>190</v>
      </c>
    </row>
    <row r="6284" spans="1:5" x14ac:dyDescent="0.2">
      <c r="A6284">
        <v>6223</v>
      </c>
      <c r="B6284" s="138">
        <f>'Acct Summary 7-8'!K83</f>
        <v>0.46839651620830475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402012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402012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4497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4497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10280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406509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21019</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213307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321534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430665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406509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7994</v>
      </c>
      <c r="D7067" s="2" t="str">
        <f t="shared" si="109"/>
        <v>Error?</v>
      </c>
    </row>
    <row r="7068" spans="1:4" x14ac:dyDescent="0.2">
      <c r="A7068">
        <v>7007</v>
      </c>
      <c r="B7068" s="138">
        <f>'Expenditures 15-22'!K205</f>
        <v>7994</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84147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84147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25895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25895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123580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64900</v>
      </c>
      <c r="D7174" s="2" t="str">
        <f t="shared" si="111"/>
        <v>Error?</v>
      </c>
    </row>
    <row r="7175" spans="1:4" x14ac:dyDescent="0.2">
      <c r="A7175">
        <v>7114</v>
      </c>
      <c r="B7175" s="138">
        <f>'Expenditures 15-22'!F325</f>
        <v>2642</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191122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11494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11494</v>
      </c>
      <c r="D7198" s="2" t="str">
        <f t="shared" si="111"/>
        <v>Error?</v>
      </c>
    </row>
    <row r="7199" spans="1:4" x14ac:dyDescent="0.2">
      <c r="A7199">
        <v>7138</v>
      </c>
      <c r="B7199" s="138">
        <f>'Expenditures 15-22'!C330</f>
        <v>123580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304443</v>
      </c>
      <c r="D7201" s="2" t="str">
        <f t="shared" si="111"/>
        <v>Error?</v>
      </c>
    </row>
    <row r="7202" spans="1:4" x14ac:dyDescent="0.2">
      <c r="A7202">
        <v>7141</v>
      </c>
      <c r="B7202" s="138">
        <f>'Expenditures 15-22'!F330</f>
        <v>2642</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430665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123580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304443</v>
      </c>
      <c r="D7218" s="2" t="str">
        <f t="shared" si="111"/>
        <v>Error?</v>
      </c>
    </row>
    <row r="7219" spans="1:4" x14ac:dyDescent="0.2">
      <c r="A7219">
        <v>7158</v>
      </c>
      <c r="B7219" s="138">
        <f>'Expenditures 15-22'!F342</f>
        <v>2642</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430665</v>
      </c>
      <c r="D7224" s="2" t="str">
        <f t="shared" si="111"/>
        <v>Error?</v>
      </c>
    </row>
    <row r="7225" spans="1:4" x14ac:dyDescent="0.2">
      <c r="A7225">
        <v>7164</v>
      </c>
      <c r="B7225" s="138">
        <f>'Expenditures 15-22'!K343</f>
        <v>-24156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55808</v>
      </c>
      <c r="D7246" s="2" t="str">
        <f t="shared" si="112"/>
        <v>Error?</v>
      </c>
    </row>
    <row r="7247" spans="1:4" x14ac:dyDescent="0.2">
      <c r="A7247">
        <f t="shared" si="113"/>
        <v>7186</v>
      </c>
      <c r="B7247" s="138">
        <f>'Expenditures 15-22'!E7</f>
        <v>5372</v>
      </c>
      <c r="D7247" s="2" t="str">
        <f t="shared" si="112"/>
        <v>Error?</v>
      </c>
    </row>
    <row r="7248" spans="1:4" x14ac:dyDescent="0.2">
      <c r="A7248">
        <f t="shared" si="113"/>
        <v>7187</v>
      </c>
      <c r="B7248" s="138">
        <f>'Expenditures 15-22'!F7</f>
        <v>33308</v>
      </c>
      <c r="D7248" s="2" t="str">
        <f t="shared" si="112"/>
        <v>Error?</v>
      </c>
    </row>
    <row r="7249" spans="1:4" x14ac:dyDescent="0.2">
      <c r="A7249">
        <f t="shared" si="113"/>
        <v>7188</v>
      </c>
      <c r="B7249" s="138">
        <f>'Expenditures 15-22'!G7</f>
        <v>13739</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712702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107658</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107658</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10349</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10349</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142978</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4407</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10280</v>
      </c>
      <c r="D7712" s="2" t="str">
        <f t="shared" si="126"/>
        <v>Error?</v>
      </c>
      <c r="E7712" s="2" t="s">
        <v>827</v>
      </c>
    </row>
    <row r="7713" spans="1:6" x14ac:dyDescent="0.2">
      <c r="A7713">
        <v>7652</v>
      </c>
      <c r="B7713" s="138">
        <f>'Rest Tax Levies-Tort Im 25'!J8</f>
        <v>340331</v>
      </c>
      <c r="D7713" s="2" t="str">
        <f t="shared" si="126"/>
        <v>Error?</v>
      </c>
      <c r="E7713" s="2" t="s">
        <v>827</v>
      </c>
    </row>
    <row r="7714" spans="1:6" x14ac:dyDescent="0.2">
      <c r="A7714">
        <v>7653</v>
      </c>
      <c r="B7714" s="138">
        <f>'Rest Tax Levies-Tort Im 25'!K9</f>
        <v>19161</v>
      </c>
      <c r="D7714" s="2" t="str">
        <f t="shared" si="126"/>
        <v>Error?</v>
      </c>
      <c r="E7714" s="2" t="s">
        <v>827</v>
      </c>
    </row>
    <row r="7715" spans="1:6" x14ac:dyDescent="0.2">
      <c r="A7715">
        <v>7654</v>
      </c>
      <c r="B7715" s="138">
        <f>'Rest Tax Levies-Tort Im 25'!J10</f>
        <v>500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345238</v>
      </c>
      <c r="D7718" s="2" t="str">
        <f t="shared" si="126"/>
        <v>Error?</v>
      </c>
      <c r="E7718" s="2" t="s">
        <v>827</v>
      </c>
    </row>
    <row r="7719" spans="1:6" x14ac:dyDescent="0.2">
      <c r="A7719">
        <v>7658</v>
      </c>
      <c r="B7719" s="138">
        <f>'Rest Tax Levies-Tort Im 25'!K12</f>
        <v>29441</v>
      </c>
      <c r="D7719" s="2" t="str">
        <f t="shared" si="126"/>
        <v>Error?</v>
      </c>
      <c r="E7719" s="2" t="s">
        <v>827</v>
      </c>
    </row>
    <row r="7720" spans="1:6" x14ac:dyDescent="0.2">
      <c r="A7720">
        <v>7659</v>
      </c>
      <c r="B7720" s="138">
        <f>'Rest Tax Levies-Tort Im 25'!H14</f>
        <v>378820</v>
      </c>
      <c r="D7720" s="2" t="str">
        <f t="shared" si="126"/>
        <v>Error?</v>
      </c>
      <c r="E7720" s="2" t="s">
        <v>827</v>
      </c>
    </row>
    <row r="7721" spans="1:6" x14ac:dyDescent="0.2">
      <c r="A7721">
        <v>7660</v>
      </c>
      <c r="B7721" s="138">
        <f>'Rest Tax Levies-Tort Im 25'!K14</f>
        <v>29441</v>
      </c>
      <c r="D7721" s="2" t="str">
        <f t="shared" si="126"/>
        <v>Error?</v>
      </c>
      <c r="E7721" s="2" t="s">
        <v>827</v>
      </c>
    </row>
    <row r="7722" spans="1:6" x14ac:dyDescent="0.2">
      <c r="A7722">
        <v>7661</v>
      </c>
      <c r="B7722" s="138">
        <f>'Rest Tax Levies-Tort Im 25'!J15</f>
        <v>267008</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22609</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22609</v>
      </c>
      <c r="D7727" s="2" t="str">
        <f t="shared" si="126"/>
        <v>Error?</v>
      </c>
      <c r="E7727" s="2" t="s">
        <v>827</v>
      </c>
    </row>
    <row r="7728" spans="1:6" x14ac:dyDescent="0.2">
      <c r="A7728">
        <v>7667</v>
      </c>
      <c r="B7728" s="138">
        <f>'Revenues 9-14'!E103</f>
        <v>22609</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289617</v>
      </c>
      <c r="D7730" s="2" t="str">
        <f t="shared" si="126"/>
        <v>Error?</v>
      </c>
      <c r="E7730" s="2" t="s">
        <v>827</v>
      </c>
    </row>
    <row r="7731" spans="1:6" x14ac:dyDescent="0.2">
      <c r="A7731">
        <v>7670</v>
      </c>
      <c r="B7731" s="138">
        <f>'Revenues 9-14'!H103</f>
        <v>317722</v>
      </c>
      <c r="D7731" s="2" t="str">
        <f t="shared" si="126"/>
        <v>Error?</v>
      </c>
      <c r="E7731" s="2" t="s">
        <v>827</v>
      </c>
    </row>
    <row r="7732" spans="1:6" x14ac:dyDescent="0.2">
      <c r="A7732">
        <v>7671</v>
      </c>
      <c r="B7732" s="138">
        <f>'Rest Tax Levies-Tort Im 25'!J24</f>
        <v>198599</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198599</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29'!D142</f>
        <v>68257</v>
      </c>
      <c r="D7797" s="2" t="str">
        <f t="shared" si="127"/>
        <v>Error?</v>
      </c>
      <c r="E7797" s="4" t="s">
        <v>1900</v>
      </c>
    </row>
    <row r="7798" spans="1:5" x14ac:dyDescent="0.2">
      <c r="A7798">
        <v>7737</v>
      </c>
      <c r="B7798" s="138">
        <f>'Contracts Paid in CY 29'!F142</f>
        <v>68257</v>
      </c>
      <c r="D7798" s="2" t="str">
        <f t="shared" si="127"/>
        <v>Error?</v>
      </c>
      <c r="E7798" s="4" t="s">
        <v>1900</v>
      </c>
    </row>
    <row r="7799" spans="1:5" x14ac:dyDescent="0.2">
      <c r="A7799">
        <v>7738</v>
      </c>
      <c r="B7799" s="138">
        <f>'Contracts Paid in CY 29'!G142</f>
        <v>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7" t="s">
        <v>1191</v>
      </c>
      <c r="B2" s="2387"/>
      <c r="C2" s="2387"/>
      <c r="D2" s="2387"/>
      <c r="E2" s="2387"/>
      <c r="F2" s="2387"/>
      <c r="G2" s="2387"/>
      <c r="H2" s="2387"/>
      <c r="I2" s="2387"/>
      <c r="J2" s="2387"/>
      <c r="K2" s="2387"/>
      <c r="L2" s="2387"/>
    </row>
    <row r="3" spans="1:29" ht="13.5" customHeight="1" x14ac:dyDescent="0.2">
      <c r="A3" s="2418" t="s">
        <v>1190</v>
      </c>
      <c r="B3" s="2418"/>
      <c r="C3" s="2418"/>
      <c r="D3" s="2418"/>
      <c r="E3" s="2418"/>
      <c r="F3" s="2418"/>
      <c r="G3" s="2418"/>
      <c r="H3" s="2418"/>
      <c r="I3" s="2418"/>
      <c r="J3" s="2418"/>
      <c r="K3" s="2418"/>
      <c r="L3" s="2418"/>
    </row>
    <row r="4" spans="1:29" ht="13.5" customHeight="1" x14ac:dyDescent="0.2">
      <c r="A4" s="2387" t="s">
        <v>1984</v>
      </c>
      <c r="B4" s="2408"/>
      <c r="C4" s="2408"/>
      <c r="D4" s="2408"/>
      <c r="E4" s="2408"/>
      <c r="F4" s="2408"/>
      <c r="G4" s="2408"/>
      <c r="H4" s="2408"/>
      <c r="I4" s="2408"/>
      <c r="J4" s="2408"/>
      <c r="K4" s="2408"/>
      <c r="L4" s="240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9" t="str">
        <f>COVER!A17</f>
        <v>Hamilton Co CUSD 10</v>
      </c>
      <c r="B7" s="2410"/>
      <c r="C7" s="2410"/>
      <c r="D7" s="2411"/>
      <c r="E7" s="2412">
        <f>COVER!A13</f>
        <v>20033010026</v>
      </c>
      <c r="F7" s="2413"/>
      <c r="G7" s="2419" t="str">
        <f>COVER!T23</f>
        <v>066-003657</v>
      </c>
      <c r="H7" s="2420"/>
      <c r="I7" s="2420"/>
      <c r="J7" s="2420"/>
      <c r="K7" s="2420"/>
      <c r="L7" s="242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2"/>
      <c r="B9" s="2423"/>
      <c r="C9" s="2423"/>
      <c r="D9" s="2423"/>
      <c r="E9" s="2423"/>
      <c r="F9" s="2424"/>
      <c r="G9" s="2393" t="str">
        <f>COVER!T13</f>
        <v>Botsch &amp; Associates, CPA's, LLC</v>
      </c>
      <c r="H9" s="2425"/>
      <c r="I9" s="2425"/>
      <c r="J9" s="2425"/>
      <c r="K9" s="2425"/>
      <c r="L9" s="2426"/>
    </row>
    <row r="10" spans="1:29" ht="13.5" customHeight="1" x14ac:dyDescent="0.2">
      <c r="A10" s="2399" t="str">
        <f>COVER!A38</f>
        <v>Jeff Fetcho</v>
      </c>
      <c r="B10" s="2400"/>
      <c r="C10" s="2400"/>
      <c r="D10" s="2400"/>
      <c r="E10" s="2400"/>
      <c r="F10" s="2401"/>
      <c r="G10" s="2393" t="str">
        <f>COVER!T17</f>
        <v>113 East Main Street</v>
      </c>
      <c r="H10" s="2394"/>
      <c r="I10" s="2394"/>
      <c r="J10" s="2394"/>
      <c r="K10" s="2394"/>
      <c r="L10" s="2395"/>
    </row>
    <row r="11" spans="1:29" ht="13.5" customHeight="1" x14ac:dyDescent="0.2">
      <c r="A11" s="1184" t="s">
        <v>1519</v>
      </c>
      <c r="B11" s="1185"/>
      <c r="C11" s="1186"/>
      <c r="D11" s="1191"/>
      <c r="E11" s="1186"/>
      <c r="F11" s="1190"/>
      <c r="G11" s="2393" t="str">
        <f>COVER!T19</f>
        <v>Carmi</v>
      </c>
      <c r="H11" s="2394"/>
      <c r="I11" s="2394"/>
      <c r="J11" s="2394"/>
      <c r="K11" s="2394"/>
      <c r="L11" s="2395"/>
    </row>
    <row r="12" spans="1:29" ht="13.5" customHeight="1" x14ac:dyDescent="0.2">
      <c r="A12" s="2402" t="s">
        <v>1518</v>
      </c>
      <c r="B12" s="2403"/>
      <c r="C12" s="2403"/>
      <c r="D12" s="2403"/>
      <c r="E12" s="2403"/>
      <c r="F12" s="2404"/>
      <c r="G12" s="2396"/>
      <c r="H12" s="2397"/>
      <c r="I12" s="2397"/>
      <c r="J12" s="2397"/>
      <c r="K12" s="2397"/>
      <c r="L12" s="2398"/>
    </row>
    <row r="13" spans="1:29" ht="13.5" customHeight="1" x14ac:dyDescent="0.2">
      <c r="A13" s="2393"/>
      <c r="B13" s="2394"/>
      <c r="C13" s="2394"/>
      <c r="D13" s="2394"/>
      <c r="E13" s="2394"/>
      <c r="F13" s="2395"/>
      <c r="G13" s="2388" t="s">
        <v>1520</v>
      </c>
      <c r="H13" s="2389"/>
      <c r="I13" s="2405" t="str">
        <f>COVER!T25</f>
        <v>arlynne.stroman@botsch.com</v>
      </c>
      <c r="J13" s="2406"/>
      <c r="K13" s="2406"/>
      <c r="L13" s="2407"/>
    </row>
    <row r="14" spans="1:29" ht="13.5" customHeight="1" x14ac:dyDescent="0.2">
      <c r="A14" s="2393" t="str">
        <f>COVER!A19</f>
        <v>109 North Washington</v>
      </c>
      <c r="B14" s="2394"/>
      <c r="C14" s="2394"/>
      <c r="D14" s="2394"/>
      <c r="E14" s="2394"/>
      <c r="F14" s="2395"/>
      <c r="G14" s="1195" t="s">
        <v>1185</v>
      </c>
      <c r="H14" s="1193"/>
      <c r="I14" s="1193"/>
      <c r="J14" s="1193"/>
      <c r="K14" s="1193"/>
      <c r="L14" s="1194"/>
    </row>
    <row r="15" spans="1:29" ht="13.5" customHeight="1" x14ac:dyDescent="0.2">
      <c r="A15" s="2393" t="str">
        <f>COVER!A21</f>
        <v>McLeansboro</v>
      </c>
      <c r="B15" s="2394"/>
      <c r="C15" s="2394"/>
      <c r="D15" s="2394"/>
      <c r="E15" s="2394"/>
      <c r="F15" s="2395"/>
      <c r="G15" s="2390" t="str">
        <f>COVER!T15</f>
        <v>Arlynne Stroman, CPA</v>
      </c>
      <c r="H15" s="2391"/>
      <c r="I15" s="2391"/>
      <c r="J15" s="2391"/>
      <c r="K15" s="2391"/>
      <c r="L15" s="2392"/>
    </row>
    <row r="16" spans="1:29" ht="12.2" customHeight="1" x14ac:dyDescent="0.2">
      <c r="A16" s="2415">
        <f>COVER!A25</f>
        <v>62859</v>
      </c>
      <c r="B16" s="2416"/>
      <c r="C16" s="2416"/>
      <c r="D16" s="2416"/>
      <c r="E16" s="2416"/>
      <c r="F16" s="2417"/>
      <c r="G16" s="2427"/>
      <c r="H16" s="2428"/>
      <c r="I16" s="2428"/>
      <c r="J16" s="2428"/>
      <c r="K16" s="2428"/>
      <c r="L16" s="2429"/>
    </row>
    <row r="17" spans="1:13" ht="12.2" customHeight="1" x14ac:dyDescent="0.2">
      <c r="A17" s="2430"/>
      <c r="B17" s="2416"/>
      <c r="C17" s="2416"/>
      <c r="D17" s="2416"/>
      <c r="E17" s="2416"/>
      <c r="F17" s="2417"/>
      <c r="G17" s="1195" t="s">
        <v>1184</v>
      </c>
      <c r="H17" s="1193"/>
      <c r="I17" s="1193"/>
      <c r="J17" s="1193"/>
      <c r="K17" s="1197" t="s">
        <v>1183</v>
      </c>
      <c r="L17" s="1190"/>
      <c r="M17" s="1183"/>
    </row>
    <row r="18" spans="1:13" ht="12.2" customHeight="1" x14ac:dyDescent="0.2">
      <c r="A18" s="2399"/>
      <c r="B18" s="2400"/>
      <c r="C18" s="2400"/>
      <c r="D18" s="2400"/>
      <c r="E18" s="2400"/>
      <c r="F18" s="2401"/>
      <c r="G18" s="2409" t="str">
        <f>COVER!T21</f>
        <v>618-382-4151</v>
      </c>
      <c r="H18" s="2410"/>
      <c r="I18" s="2410"/>
      <c r="J18" s="2410"/>
      <c r="K18" s="2409" t="str">
        <f>COVER!X21</f>
        <v>618-382-4153</v>
      </c>
      <c r="L18" s="241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0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1" t="str">
        <f>'Single Audit Cover'!A7</f>
        <v>Hamilton Co CUSD 10</v>
      </c>
      <c r="B1" s="2408"/>
      <c r="C1" s="2408"/>
      <c r="D1" s="2408"/>
    </row>
    <row r="2" spans="1:11" s="1212" customFormat="1" ht="12.75" x14ac:dyDescent="0.2">
      <c r="A2" s="2432">
        <f>'Single Audit Cover'!E7</f>
        <v>20033010026</v>
      </c>
      <c r="B2" s="2433"/>
      <c r="C2" s="2433"/>
      <c r="D2" s="2433"/>
    </row>
    <row r="3" spans="1:11" s="1212" customFormat="1" ht="12.75" x14ac:dyDescent="0.2">
      <c r="A3" s="2431" t="s">
        <v>1513</v>
      </c>
      <c r="B3" s="2408"/>
      <c r="C3" s="2408"/>
      <c r="D3" s="240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5" t="str">
        <f>'Single Audit Cover'!A7</f>
        <v>Hamilton Co CUSD 10</v>
      </c>
      <c r="B1" s="2435"/>
      <c r="C1" s="2435"/>
      <c r="D1" s="2435"/>
      <c r="E1" s="2435"/>
    </row>
    <row r="2" spans="1:5" x14ac:dyDescent="0.2">
      <c r="A2" s="2436">
        <f>'Single Audit Cover'!E7</f>
        <v>20033010026</v>
      </c>
      <c r="B2" s="2436"/>
      <c r="C2" s="2436"/>
      <c r="D2" s="2436"/>
      <c r="E2" s="2436"/>
    </row>
    <row r="3" spans="1:5" ht="4.5" customHeight="1" x14ac:dyDescent="0.2"/>
    <row r="4" spans="1:5" x14ac:dyDescent="0.2">
      <c r="A4" s="2435" t="s">
        <v>1245</v>
      </c>
      <c r="B4" s="2435"/>
      <c r="C4" s="2435"/>
      <c r="D4" s="2435"/>
      <c r="E4" s="2435"/>
    </row>
    <row r="5" spans="1:5" x14ac:dyDescent="0.2">
      <c r="A5" s="2438" t="str">
        <f>'Single Audit Cover'!A4</f>
        <v>Year Ending June 30, 2019</v>
      </c>
      <c r="B5" s="2438"/>
      <c r="C5" s="2438"/>
      <c r="D5" s="2438"/>
      <c r="E5" s="2438"/>
    </row>
    <row r="6" spans="1:5" x14ac:dyDescent="0.2">
      <c r="A6" s="2435" t="s">
        <v>1244</v>
      </c>
      <c r="B6" s="2435"/>
      <c r="C6" s="2435"/>
      <c r="D6" s="2435"/>
      <c r="E6" s="2435"/>
    </row>
    <row r="8" spans="1:5" x14ac:dyDescent="0.2">
      <c r="A8" s="1257" t="s">
        <v>1243</v>
      </c>
    </row>
    <row r="10" spans="1:5" x14ac:dyDescent="0.2">
      <c r="A10" s="1258" t="s">
        <v>1242</v>
      </c>
      <c r="B10" s="1259" t="s">
        <v>1241</v>
      </c>
      <c r="C10" s="1259"/>
      <c r="D10" s="1260">
        <f>SUM('Acct Summary 7-8'!C7:K7)</f>
        <v>830553</v>
      </c>
    </row>
    <row r="11" spans="1:5" ht="18" customHeight="1" x14ac:dyDescent="0.2">
      <c r="A11" s="1258" t="s">
        <v>1240</v>
      </c>
      <c r="B11" s="1259"/>
      <c r="C11" s="1259"/>
    </row>
    <row r="12" spans="1:5" x14ac:dyDescent="0.2">
      <c r="A12" s="1258" t="s">
        <v>1239</v>
      </c>
      <c r="B12" s="1259" t="s">
        <v>1238</v>
      </c>
      <c r="C12" s="1259"/>
      <c r="D12" s="1261">
        <f>SUM('Revenues 9-14'!C112:D112,'Revenues 9-14'!F112:G112)</f>
        <v>31444</v>
      </c>
    </row>
    <row r="13" spans="1:5" x14ac:dyDescent="0.2">
      <c r="A13" s="1258" t="s">
        <v>1237</v>
      </c>
      <c r="B13" s="1259"/>
      <c r="C13" s="1259"/>
    </row>
    <row r="14" spans="1:5" x14ac:dyDescent="0.2">
      <c r="A14" s="1258" t="s">
        <v>1727</v>
      </c>
      <c r="B14" s="1259"/>
      <c r="C14" s="1259"/>
      <c r="D14" s="1261">
        <f>'ICR Computation 30'!E11</f>
        <v>58316</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0</v>
      </c>
    </row>
    <row r="19" spans="1:4" ht="13.5" thickBot="1" x14ac:dyDescent="0.25">
      <c r="A19" s="1262" t="s">
        <v>1235</v>
      </c>
      <c r="D19" s="1263">
        <f>SUM(D10:D17)</f>
        <v>920313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7"/>
      <c r="B24" s="2437"/>
      <c r="D24" s="1265"/>
    </row>
    <row r="25" spans="1:4" x14ac:dyDescent="0.2">
      <c r="A25" s="2434"/>
      <c r="B25" s="2434"/>
      <c r="D25" s="1265"/>
    </row>
    <row r="26" spans="1:4" x14ac:dyDescent="0.2">
      <c r="A26" s="2434"/>
      <c r="B26" s="2434"/>
      <c r="D26" s="1265"/>
    </row>
    <row r="27" spans="1:4" x14ac:dyDescent="0.2">
      <c r="A27" s="2434"/>
      <c r="B27" s="2434"/>
      <c r="D27" s="1265"/>
    </row>
    <row r="28" spans="1:4" x14ac:dyDescent="0.2">
      <c r="A28" s="2434"/>
      <c r="B28" s="2434"/>
      <c r="D28" s="1265"/>
    </row>
    <row r="29" spans="1:4" x14ac:dyDescent="0.2">
      <c r="A29" s="2434"/>
      <c r="B29" s="2434"/>
      <c r="D29" s="1265"/>
    </row>
    <row r="30" spans="1:4" x14ac:dyDescent="0.2">
      <c r="A30" s="2434"/>
      <c r="B30" s="2434"/>
      <c r="D30" s="1265"/>
    </row>
    <row r="32" spans="1:4" x14ac:dyDescent="0.2">
      <c r="A32" s="1257" t="s">
        <v>1233</v>
      </c>
      <c r="D32" s="1260">
        <f>SUM(D19:D30)</f>
        <v>920313</v>
      </c>
    </row>
    <row r="33" spans="1:4" x14ac:dyDescent="0.2">
      <c r="D33" s="1266"/>
    </row>
    <row r="34" spans="1:4" x14ac:dyDescent="0.2">
      <c r="A34" s="317" t="s">
        <v>1232</v>
      </c>
    </row>
    <row r="35" spans="1:4" x14ac:dyDescent="0.2">
      <c r="A35" s="317" t="s">
        <v>1231</v>
      </c>
      <c r="B35" s="1255" t="s">
        <v>1230</v>
      </c>
      <c r="D35" s="1267">
        <v>920313</v>
      </c>
    </row>
    <row r="37" spans="1:4" x14ac:dyDescent="0.2">
      <c r="A37" s="1257" t="s">
        <v>1229</v>
      </c>
    </row>
    <row r="39" spans="1:4" ht="13.35" customHeight="1" x14ac:dyDescent="0.2">
      <c r="A39" s="1264" t="s">
        <v>1228</v>
      </c>
    </row>
    <row r="40" spans="1:4" x14ac:dyDescent="0.2">
      <c r="A40" s="2434"/>
      <c r="B40" s="2434"/>
      <c r="D40" s="1265"/>
    </row>
    <row r="41" spans="1:4" x14ac:dyDescent="0.2">
      <c r="A41" s="2434"/>
      <c r="B41" s="2434"/>
      <c r="D41" s="1268"/>
    </row>
    <row r="42" spans="1:4" x14ac:dyDescent="0.2">
      <c r="A42" s="2434"/>
      <c r="B42" s="2434"/>
      <c r="D42" s="1268"/>
    </row>
    <row r="43" spans="1:4" x14ac:dyDescent="0.2">
      <c r="A43" s="2434"/>
      <c r="B43" s="2434"/>
      <c r="D43" s="1268"/>
    </row>
    <row r="44" spans="1:4" x14ac:dyDescent="0.2">
      <c r="A44" s="2434"/>
      <c r="B44" s="2434"/>
      <c r="D44" s="1268"/>
    </row>
    <row r="45" spans="1:4" x14ac:dyDescent="0.2">
      <c r="A45" s="2434"/>
      <c r="B45" s="2434"/>
      <c r="D45" s="1268"/>
    </row>
    <row r="47" spans="1:4" x14ac:dyDescent="0.2">
      <c r="B47" s="1269" t="s">
        <v>1227</v>
      </c>
      <c r="C47" s="1269"/>
      <c r="D47" s="1270">
        <f>SUM(D35:D45)</f>
        <v>920313</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topLeftCell="A13" zoomScaleNormal="100" workbookViewId="0">
      <selection activeCell="C18" sqref="C1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8" t="str">
        <f>'Single Audit Cover'!A7</f>
        <v>Hamilton Co CUSD 10</v>
      </c>
      <c r="C1" s="2439"/>
      <c r="D1" s="2439"/>
      <c r="E1" s="2439"/>
      <c r="F1" s="2439"/>
      <c r="G1" s="2439"/>
      <c r="H1" s="2439"/>
      <c r="I1" s="2439"/>
      <c r="J1" s="2439"/>
      <c r="K1" s="2439"/>
      <c r="L1" s="2439"/>
      <c r="M1" s="2439"/>
    </row>
    <row r="2" spans="2:14" ht="15" x14ac:dyDescent="0.2">
      <c r="B2" s="2440">
        <f>'Single Audit Cover'!E7</f>
        <v>20033010026</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2084</v>
      </c>
      <c r="C11" s="1335"/>
      <c r="D11" s="1336"/>
      <c r="E11" s="1337"/>
      <c r="F11" s="1337"/>
      <c r="G11" s="1337"/>
      <c r="H11" s="1337"/>
      <c r="I11" s="1337"/>
      <c r="J11" s="1337"/>
      <c r="K11" s="1337"/>
      <c r="L11" s="1337"/>
      <c r="M11" s="1337"/>
    </row>
    <row r="12" spans="2:14" ht="20.100000000000001" customHeight="1" x14ac:dyDescent="0.2">
      <c r="B12" s="1334" t="s">
        <v>2085</v>
      </c>
      <c r="C12" s="1338"/>
      <c r="D12" s="1339"/>
      <c r="E12" s="1340"/>
      <c r="F12" s="1340"/>
      <c r="G12" s="1340"/>
      <c r="H12" s="1340"/>
      <c r="I12" s="1340"/>
      <c r="J12" s="1340"/>
      <c r="K12" s="1340"/>
      <c r="L12" s="1337"/>
      <c r="M12" s="1340"/>
    </row>
    <row r="13" spans="2:14" ht="20.100000000000001" customHeight="1" x14ac:dyDescent="0.2">
      <c r="B13" s="1334" t="s">
        <v>2086</v>
      </c>
      <c r="C13" s="1338" t="s">
        <v>2087</v>
      </c>
      <c r="D13" s="1339" t="s">
        <v>2088</v>
      </c>
      <c r="E13" s="1340"/>
      <c r="F13" s="1340">
        <v>251397</v>
      </c>
      <c r="G13" s="1340"/>
      <c r="H13" s="1340"/>
      <c r="I13" s="1340">
        <v>395099</v>
      </c>
      <c r="J13" s="1340"/>
      <c r="K13" s="1340">
        <v>1200</v>
      </c>
      <c r="L13" s="1337">
        <f t="shared" ref="L13:L27" si="0">+G13+I13+K13</f>
        <v>396299</v>
      </c>
      <c r="M13" s="1340">
        <v>435178</v>
      </c>
    </row>
    <row r="14" spans="2:14" ht="20.100000000000001" customHeight="1" x14ac:dyDescent="0.2">
      <c r="B14" s="1334" t="s">
        <v>2086</v>
      </c>
      <c r="C14" s="1338" t="s">
        <v>2087</v>
      </c>
      <c r="D14" s="1339" t="s">
        <v>2089</v>
      </c>
      <c r="E14" s="1340">
        <v>219263</v>
      </c>
      <c r="F14" s="1340">
        <v>161162</v>
      </c>
      <c r="G14" s="1340">
        <v>376078</v>
      </c>
      <c r="H14" s="1340"/>
      <c r="I14" s="1340">
        <v>4347</v>
      </c>
      <c r="J14" s="1340"/>
      <c r="K14" s="1340"/>
      <c r="L14" s="1337">
        <f t="shared" si="0"/>
        <v>380425</v>
      </c>
      <c r="M14" s="1340">
        <v>401255</v>
      </c>
    </row>
    <row r="15" spans="2:14" ht="20.100000000000001" customHeight="1" x14ac:dyDescent="0.2">
      <c r="B15" s="1334" t="s">
        <v>2090</v>
      </c>
      <c r="C15" s="1338" t="s">
        <v>2091</v>
      </c>
      <c r="D15" s="1339" t="s">
        <v>2092</v>
      </c>
      <c r="E15" s="1340"/>
      <c r="F15" s="1340">
        <v>18347</v>
      </c>
      <c r="G15" s="1340"/>
      <c r="H15" s="1340"/>
      <c r="I15" s="1340">
        <v>24423</v>
      </c>
      <c r="J15" s="1340"/>
      <c r="K15" s="1340"/>
      <c r="L15" s="1337">
        <f t="shared" si="0"/>
        <v>24423</v>
      </c>
      <c r="M15" s="1340">
        <v>26181</v>
      </c>
    </row>
    <row r="16" spans="2:14" ht="20.100000000000001" customHeight="1" x14ac:dyDescent="0.2">
      <c r="B16" s="1334" t="s">
        <v>2090</v>
      </c>
      <c r="C16" s="1338" t="s">
        <v>2091</v>
      </c>
      <c r="D16" s="1339" t="s">
        <v>2093</v>
      </c>
      <c r="E16" s="1340">
        <v>8922</v>
      </c>
      <c r="F16" s="1340">
        <v>10565</v>
      </c>
      <c r="G16" s="1340">
        <v>19487</v>
      </c>
      <c r="H16" s="1340"/>
      <c r="I16" s="1340"/>
      <c r="J16" s="1340"/>
      <c r="K16" s="1340"/>
      <c r="L16" s="1337">
        <f t="shared" si="0"/>
        <v>19487</v>
      </c>
      <c r="M16" s="1340">
        <v>19487</v>
      </c>
    </row>
    <row r="17" spans="2:14" ht="20.100000000000001" customHeight="1" x14ac:dyDescent="0.2">
      <c r="B17" s="1334" t="s">
        <v>2094</v>
      </c>
      <c r="C17" s="1338">
        <v>84.027000000000001</v>
      </c>
      <c r="D17" s="1339" t="s">
        <v>2145</v>
      </c>
      <c r="E17" s="1340"/>
      <c r="F17" s="1340">
        <v>32812</v>
      </c>
      <c r="G17" s="1340"/>
      <c r="H17" s="1340"/>
      <c r="I17" s="1340">
        <v>32812</v>
      </c>
      <c r="J17" s="1340"/>
      <c r="K17" s="1340"/>
      <c r="L17" s="1337">
        <f t="shared" si="0"/>
        <v>32812</v>
      </c>
      <c r="M17" s="1340">
        <v>10000</v>
      </c>
    </row>
    <row r="18" spans="2:14" ht="20.100000000000001" customHeight="1" x14ac:dyDescent="0.2">
      <c r="B18" s="1334" t="s">
        <v>2143</v>
      </c>
      <c r="C18" s="1941" t="s">
        <v>2146</v>
      </c>
      <c r="D18" s="1339" t="s">
        <v>2144</v>
      </c>
      <c r="E18" s="1340"/>
      <c r="F18" s="1340">
        <v>5484</v>
      </c>
      <c r="G18" s="1340"/>
      <c r="H18" s="1340"/>
      <c r="I18" s="1340">
        <v>15000</v>
      </c>
      <c r="J18" s="1340"/>
      <c r="K18" s="1340"/>
      <c r="L18" s="1337">
        <f t="shared" si="0"/>
        <v>15000</v>
      </c>
      <c r="M18" s="1340">
        <v>15000</v>
      </c>
    </row>
    <row r="19" spans="2:14" ht="20.100000000000001" customHeight="1" x14ac:dyDescent="0.2">
      <c r="B19" s="1334" t="s">
        <v>2095</v>
      </c>
      <c r="C19" s="1338"/>
      <c r="D19" s="1339"/>
      <c r="E19" s="1340"/>
      <c r="F19" s="1340"/>
      <c r="G19" s="1340"/>
      <c r="H19" s="1340"/>
      <c r="I19" s="1340"/>
      <c r="J19" s="1340"/>
      <c r="K19" s="1340"/>
      <c r="L19" s="1337"/>
      <c r="M19" s="1340"/>
    </row>
    <row r="20" spans="2:14" ht="20.100000000000001" customHeight="1" x14ac:dyDescent="0.2">
      <c r="B20" s="1334" t="s">
        <v>2096</v>
      </c>
      <c r="C20" s="1338">
        <v>84.242999999999995</v>
      </c>
      <c r="D20" s="1339" t="s">
        <v>2097</v>
      </c>
      <c r="E20" s="1340"/>
      <c r="F20" s="1340">
        <v>24752</v>
      </c>
      <c r="G20" s="1340"/>
      <c r="H20" s="1340"/>
      <c r="I20" s="1340">
        <v>25138</v>
      </c>
      <c r="J20" s="1340"/>
      <c r="K20" s="1340"/>
      <c r="L20" s="1337">
        <f t="shared" si="0"/>
        <v>25138</v>
      </c>
      <c r="M20" s="1340">
        <v>25138</v>
      </c>
    </row>
    <row r="21" spans="2:14" ht="20.100000000000001" customHeight="1" x14ac:dyDescent="0.2">
      <c r="B21" s="1334" t="s">
        <v>2098</v>
      </c>
      <c r="C21" s="1338"/>
      <c r="D21" s="1339"/>
      <c r="E21" s="1340"/>
      <c r="F21" s="1340"/>
      <c r="G21" s="1340"/>
      <c r="H21" s="1340"/>
      <c r="I21" s="1340"/>
      <c r="J21" s="1340"/>
      <c r="K21" s="1340"/>
      <c r="L21" s="1337"/>
      <c r="M21" s="1340"/>
    </row>
    <row r="22" spans="2:14" ht="20.100000000000001" customHeight="1" x14ac:dyDescent="0.2">
      <c r="B22" s="1334" t="s">
        <v>2099</v>
      </c>
      <c r="C22" s="1338">
        <v>84.366</v>
      </c>
      <c r="D22" s="1339" t="s">
        <v>2097</v>
      </c>
      <c r="E22" s="1340"/>
      <c r="F22" s="1340">
        <v>5500</v>
      </c>
      <c r="G22" s="1340"/>
      <c r="H22" s="1340"/>
      <c r="I22" s="1340">
        <v>5500</v>
      </c>
      <c r="J22" s="1340"/>
      <c r="K22" s="1340"/>
      <c r="L22" s="1337">
        <f t="shared" si="0"/>
        <v>5500</v>
      </c>
      <c r="M22" s="1340">
        <v>5000</v>
      </c>
    </row>
    <row r="23" spans="2:14" ht="20.100000000000001" customHeight="1" x14ac:dyDescent="0.2">
      <c r="B23" s="1334" t="s">
        <v>2101</v>
      </c>
      <c r="C23" s="1338"/>
      <c r="D23" s="1339"/>
      <c r="E23" s="1340">
        <f>SUM(E12:E22)</f>
        <v>228185</v>
      </c>
      <c r="F23" s="1340">
        <f t="shared" ref="F23:M23" si="1">SUM(F12:F22)</f>
        <v>510019</v>
      </c>
      <c r="G23" s="1340">
        <f t="shared" si="1"/>
        <v>395565</v>
      </c>
      <c r="H23" s="1340"/>
      <c r="I23" s="1340">
        <f t="shared" si="1"/>
        <v>502319</v>
      </c>
      <c r="J23" s="1340"/>
      <c r="K23" s="1340">
        <f t="shared" si="1"/>
        <v>1200</v>
      </c>
      <c r="L23" s="1340">
        <f t="shared" si="1"/>
        <v>899084</v>
      </c>
      <c r="M23" s="1340">
        <f t="shared" si="1"/>
        <v>937239</v>
      </c>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t="s">
        <v>2102</v>
      </c>
      <c r="C25" s="1338"/>
      <c r="D25" s="1339"/>
      <c r="E25" s="1340"/>
      <c r="F25" s="1340"/>
      <c r="G25" s="1340"/>
      <c r="H25" s="1340"/>
      <c r="I25" s="1340"/>
      <c r="J25" s="1340"/>
      <c r="K25" s="1340"/>
      <c r="L25" s="1337"/>
      <c r="M25" s="1340"/>
    </row>
    <row r="26" spans="2:14" ht="20.100000000000001" customHeight="1" x14ac:dyDescent="0.2">
      <c r="B26" s="1334" t="s">
        <v>2103</v>
      </c>
      <c r="C26" s="1338"/>
      <c r="D26" s="1339"/>
      <c r="E26" s="1340"/>
      <c r="F26" s="1340"/>
      <c r="G26" s="1340"/>
      <c r="H26" s="1340"/>
      <c r="I26" s="1340"/>
      <c r="J26" s="1340"/>
      <c r="K26" s="1340"/>
      <c r="L26" s="1337"/>
      <c r="M26" s="1340"/>
    </row>
    <row r="27" spans="2:14" ht="20.100000000000001" customHeight="1" x14ac:dyDescent="0.2">
      <c r="B27" s="1334" t="s">
        <v>2104</v>
      </c>
      <c r="C27" s="1338">
        <v>93.778000000000006</v>
      </c>
      <c r="D27" s="1339" t="s">
        <v>2142</v>
      </c>
      <c r="E27" s="1340"/>
      <c r="F27" s="1340">
        <v>5062</v>
      </c>
      <c r="G27" s="1340"/>
      <c r="H27" s="1340"/>
      <c r="I27" s="1340">
        <v>5062</v>
      </c>
      <c r="J27" s="1340"/>
      <c r="K27" s="1340"/>
      <c r="L27" s="1337">
        <f t="shared" si="0"/>
        <v>5062</v>
      </c>
      <c r="M27" s="1340">
        <v>10000</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ignoredErrors>
    <ignoredError sqref="L13:L17 L28:L33 E23:L23 M23 L18:L22 L24:L27"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B0D44-DD39-4ACD-B59E-C41CD19C085B}">
  <sheetPr>
    <pageSetUpPr fitToPage="1"/>
  </sheetPr>
  <dimension ref="B1:N152"/>
  <sheetViews>
    <sheetView showGridLines="0" topLeftCell="A7" zoomScaleNormal="100" workbookViewId="0">
      <selection activeCell="E18" sqref="E18:M1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8" t="str">
        <f>'Single Audit Cover'!A7</f>
        <v>Hamilton Co CUSD 10</v>
      </c>
      <c r="C1" s="2439"/>
      <c r="D1" s="2439"/>
      <c r="E1" s="2439"/>
      <c r="F1" s="2439"/>
      <c r="G1" s="2439"/>
      <c r="H1" s="2439"/>
      <c r="I1" s="2439"/>
      <c r="J1" s="2439"/>
      <c r="K1" s="2439"/>
      <c r="L1" s="2439"/>
      <c r="M1" s="2439"/>
    </row>
    <row r="2" spans="2:14" ht="15" x14ac:dyDescent="0.2">
      <c r="B2" s="2440">
        <f>'Single Audit Cover'!E7</f>
        <v>20033010026</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2105</v>
      </c>
      <c r="C11" s="1335"/>
      <c r="D11" s="1336"/>
      <c r="E11" s="1337"/>
      <c r="F11" s="1337"/>
      <c r="G11" s="1337"/>
      <c r="H11" s="1337"/>
      <c r="I11" s="1337"/>
      <c r="J11" s="1337"/>
      <c r="K11" s="1337"/>
      <c r="L11" s="1337"/>
      <c r="M11" s="1337"/>
    </row>
    <row r="12" spans="2:14" ht="20.100000000000001" customHeight="1" x14ac:dyDescent="0.2">
      <c r="B12" s="1334" t="s">
        <v>2118</v>
      </c>
      <c r="C12" s="1338">
        <v>93.575000000000003</v>
      </c>
      <c r="D12" s="1339" t="s">
        <v>2100</v>
      </c>
      <c r="E12" s="1340"/>
      <c r="F12" s="1340">
        <v>358</v>
      </c>
      <c r="G12" s="1340"/>
      <c r="H12" s="1340"/>
      <c r="I12" s="1340">
        <v>358</v>
      </c>
      <c r="J12" s="1340"/>
      <c r="K12" s="1340"/>
      <c r="L12" s="1337">
        <f t="shared" ref="L12:L25" si="0">+G12+I12+K12</f>
        <v>358</v>
      </c>
      <c r="M12" s="1340"/>
    </row>
    <row r="13" spans="2:14" ht="20.100000000000001" customHeight="1" x14ac:dyDescent="0.2">
      <c r="B13" s="1334" t="s">
        <v>2106</v>
      </c>
      <c r="C13" s="1338"/>
      <c r="D13" s="1339"/>
      <c r="E13" s="1340"/>
      <c r="F13" s="1340"/>
      <c r="G13" s="1340"/>
      <c r="H13" s="1340"/>
      <c r="I13" s="1340"/>
      <c r="J13" s="1340"/>
      <c r="K13" s="1340"/>
      <c r="L13" s="1337">
        <f t="shared" si="0"/>
        <v>0</v>
      </c>
      <c r="M13" s="1340"/>
    </row>
    <row r="14" spans="2:14" ht="20.100000000000001" customHeight="1" x14ac:dyDescent="0.2">
      <c r="B14" s="1334" t="s">
        <v>2107</v>
      </c>
      <c r="C14" s="1338">
        <v>93.052000000000007</v>
      </c>
      <c r="D14" s="1339" t="s">
        <v>2097</v>
      </c>
      <c r="E14" s="1340"/>
      <c r="F14" s="1340">
        <v>1192</v>
      </c>
      <c r="G14" s="1340"/>
      <c r="H14" s="1340"/>
      <c r="I14" s="1340"/>
      <c r="J14" s="1340"/>
      <c r="K14" s="1340"/>
      <c r="L14" s="1337">
        <f t="shared" si="0"/>
        <v>0</v>
      </c>
      <c r="M14" s="1340">
        <v>1192</v>
      </c>
    </row>
    <row r="15" spans="2:14" ht="20.100000000000001" customHeight="1" x14ac:dyDescent="0.2">
      <c r="B15" s="1334" t="s">
        <v>2107</v>
      </c>
      <c r="C15" s="1338">
        <v>93.052000000000007</v>
      </c>
      <c r="D15" s="1339" t="s">
        <v>2108</v>
      </c>
      <c r="E15" s="1340">
        <v>1000</v>
      </c>
      <c r="F15" s="1340"/>
      <c r="G15" s="1340"/>
      <c r="H15" s="1340"/>
      <c r="I15" s="1340"/>
      <c r="J15" s="1340"/>
      <c r="K15" s="1340"/>
      <c r="L15" s="1337">
        <f t="shared" si="0"/>
        <v>0</v>
      </c>
      <c r="M15" s="1340">
        <v>1000</v>
      </c>
    </row>
    <row r="16" spans="2:14" ht="20.100000000000001" customHeight="1" x14ac:dyDescent="0.2">
      <c r="B16" s="1334" t="s">
        <v>2107</v>
      </c>
      <c r="C16" s="1338">
        <v>93.052000000000007</v>
      </c>
      <c r="D16" s="1339" t="s">
        <v>2109</v>
      </c>
      <c r="E16" s="1340">
        <v>688</v>
      </c>
      <c r="F16" s="1340"/>
      <c r="G16" s="1340"/>
      <c r="H16" s="1340"/>
      <c r="I16" s="1340">
        <v>312</v>
      </c>
      <c r="J16" s="1340"/>
      <c r="K16" s="1340"/>
      <c r="L16" s="1337">
        <f t="shared" si="0"/>
        <v>312</v>
      </c>
      <c r="M16" s="1340">
        <v>688</v>
      </c>
    </row>
    <row r="17" spans="2:14" ht="20.100000000000001" customHeight="1" x14ac:dyDescent="0.2">
      <c r="B17" s="1334" t="s">
        <v>2107</v>
      </c>
      <c r="C17" s="1338">
        <v>93.052000000000007</v>
      </c>
      <c r="D17" s="1339" t="s">
        <v>2110</v>
      </c>
      <c r="E17" s="1340">
        <v>1063</v>
      </c>
      <c r="F17" s="1340"/>
      <c r="G17" s="1340">
        <v>421</v>
      </c>
      <c r="H17" s="1340"/>
      <c r="I17" s="1340">
        <v>642</v>
      </c>
      <c r="J17" s="1340"/>
      <c r="K17" s="1340"/>
      <c r="L17" s="1337">
        <f t="shared" si="0"/>
        <v>1063</v>
      </c>
      <c r="M17" s="1340">
        <v>1063</v>
      </c>
    </row>
    <row r="18" spans="2:14" ht="20.100000000000001" customHeight="1" x14ac:dyDescent="0.2">
      <c r="B18" s="1334" t="s">
        <v>2111</v>
      </c>
      <c r="C18" s="1338"/>
      <c r="D18" s="1339"/>
      <c r="E18" s="1340">
        <f>' SEFA'!E27+SUM(' SEFA (2)'!E11:E17)</f>
        <v>2751</v>
      </c>
      <c r="F18" s="1340">
        <f>' SEFA'!F27+SUM(' SEFA (2)'!F11:F17)</f>
        <v>6612</v>
      </c>
      <c r="G18" s="1340">
        <f>' SEFA'!G27+SUM(' SEFA (2)'!G11:G17)</f>
        <v>421</v>
      </c>
      <c r="H18" s="1340"/>
      <c r="I18" s="1340">
        <f>' SEFA'!I27+SUM(' SEFA (2)'!I11:I17)</f>
        <v>6374</v>
      </c>
      <c r="J18" s="1340"/>
      <c r="K18" s="1340">
        <f>' SEFA'!K27+SUM(' SEFA (2)'!K11:K17)</f>
        <v>0</v>
      </c>
      <c r="L18" s="1340">
        <f>' SEFA'!L27+SUM(' SEFA (2)'!L11:L17)</f>
        <v>6795</v>
      </c>
      <c r="M18" s="1340">
        <f>' SEFA'!M27+SUM(' SEFA (2)'!M11:M17)</f>
        <v>13943</v>
      </c>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334" t="s">
        <v>2112</v>
      </c>
      <c r="C20" s="1338"/>
      <c r="D20" s="1339"/>
      <c r="E20" s="1340"/>
      <c r="F20" s="1340"/>
      <c r="G20" s="1340"/>
      <c r="H20" s="1340"/>
      <c r="I20" s="1340"/>
      <c r="J20" s="1340"/>
      <c r="K20" s="1340"/>
      <c r="L20" s="1337"/>
      <c r="M20" s="1340"/>
    </row>
    <row r="21" spans="2:14" ht="20.100000000000001" customHeight="1" x14ac:dyDescent="0.2">
      <c r="B21" s="1334" t="s">
        <v>2085</v>
      </c>
      <c r="C21" s="1338"/>
      <c r="D21" s="1339"/>
      <c r="E21" s="1340"/>
      <c r="F21" s="1340"/>
      <c r="G21" s="1340"/>
      <c r="H21" s="1340"/>
      <c r="I21" s="1340"/>
      <c r="J21" s="1340"/>
      <c r="K21" s="1340"/>
      <c r="L21" s="1337"/>
      <c r="M21" s="1340"/>
    </row>
    <row r="22" spans="2:14" ht="20.100000000000001" customHeight="1" x14ac:dyDescent="0.2">
      <c r="B22" s="1334" t="s">
        <v>2113</v>
      </c>
      <c r="C22" s="1338">
        <v>10.555</v>
      </c>
      <c r="D22" s="1339"/>
      <c r="E22" s="1340"/>
      <c r="F22" s="1340">
        <v>41445</v>
      </c>
      <c r="G22" s="1340"/>
      <c r="H22" s="1340"/>
      <c r="I22" s="1340">
        <v>41445</v>
      </c>
      <c r="J22" s="1340"/>
      <c r="K22" s="1340"/>
      <c r="L22" s="1337">
        <f t="shared" si="0"/>
        <v>41445</v>
      </c>
      <c r="M22" s="1340"/>
    </row>
    <row r="23" spans="2:14" ht="20.100000000000001" customHeight="1" x14ac:dyDescent="0.2">
      <c r="B23" s="1334" t="s">
        <v>2114</v>
      </c>
      <c r="C23" s="1338">
        <v>10.555</v>
      </c>
      <c r="D23" s="1339"/>
      <c r="E23" s="1340"/>
      <c r="F23" s="1340">
        <v>16871</v>
      </c>
      <c r="G23" s="1340"/>
      <c r="H23" s="1340"/>
      <c r="I23" s="1340">
        <v>16871</v>
      </c>
      <c r="J23" s="1340"/>
      <c r="K23" s="1340"/>
      <c r="L23" s="1337">
        <f t="shared" si="0"/>
        <v>16871</v>
      </c>
      <c r="M23" s="1340"/>
    </row>
    <row r="24" spans="2:14" ht="20.100000000000001" customHeight="1" x14ac:dyDescent="0.2">
      <c r="B24" s="1334" t="s">
        <v>2115</v>
      </c>
      <c r="C24" s="1338">
        <v>10.555</v>
      </c>
      <c r="D24" s="1339" t="s">
        <v>2116</v>
      </c>
      <c r="E24" s="1340"/>
      <c r="F24" s="1340">
        <v>211948</v>
      </c>
      <c r="G24" s="1340"/>
      <c r="H24" s="1340"/>
      <c r="I24" s="1340">
        <v>211948</v>
      </c>
      <c r="J24" s="1340"/>
      <c r="K24" s="1340"/>
      <c r="L24" s="1337">
        <f t="shared" si="0"/>
        <v>211948</v>
      </c>
      <c r="M24" s="1340">
        <v>220000</v>
      </c>
    </row>
    <row r="25" spans="2:14" ht="20.100000000000001" customHeight="1" x14ac:dyDescent="0.2">
      <c r="B25" s="1334" t="s">
        <v>2115</v>
      </c>
      <c r="C25" s="1338">
        <v>10.555</v>
      </c>
      <c r="D25" s="1339" t="s">
        <v>2117</v>
      </c>
      <c r="E25" s="1340">
        <v>219345</v>
      </c>
      <c r="F25" s="1340">
        <v>54552</v>
      </c>
      <c r="G25" s="1340">
        <v>219345</v>
      </c>
      <c r="H25" s="1340"/>
      <c r="I25" s="1340">
        <v>54552</v>
      </c>
      <c r="J25" s="1340"/>
      <c r="K25" s="1340"/>
      <c r="L25" s="1337">
        <f t="shared" si="0"/>
        <v>273897</v>
      </c>
      <c r="M25" s="1340">
        <v>50000</v>
      </c>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ignoredErrors>
    <ignoredError sqref="L12:L17 L19:L26 E18:M18"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110" zoomScaleNormal="110" workbookViewId="0">
      <selection activeCell="B27" sqref="B2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1168</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4" t="s">
        <v>1633</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313</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1323</v>
      </c>
      <c r="B70" s="2077"/>
      <c r="C70" s="2077"/>
      <c r="D70" s="2077"/>
      <c r="E70" s="2078"/>
      <c r="F70" s="2078"/>
      <c r="G70" s="2078"/>
      <c r="H70" s="2078"/>
      <c r="I70" s="207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1320</v>
      </c>
      <c r="B83" s="2079"/>
      <c r="C83" s="2079"/>
      <c r="D83" s="208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2062</v>
      </c>
      <c r="D114" s="207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1330</v>
      </c>
      <c r="D117" s="2072"/>
      <c r="E117" s="2073"/>
      <c r="F117" s="2073"/>
      <c r="G117" s="2073"/>
      <c r="H117" s="2073"/>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084C9-32EF-4106-974C-30A67EE3A844}">
  <sheetPr>
    <pageSetUpPr fitToPage="1"/>
  </sheetPr>
  <dimension ref="B1:N152"/>
  <sheetViews>
    <sheetView showGridLines="0" zoomScaleNormal="100" workbookViewId="0">
      <selection activeCell="E15" sqref="E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8" t="str">
        <f>'Single Audit Cover'!A7</f>
        <v>Hamilton Co CUSD 10</v>
      </c>
      <c r="C1" s="2439"/>
      <c r="D1" s="2439"/>
      <c r="E1" s="2439"/>
      <c r="F1" s="2439"/>
      <c r="G1" s="2439"/>
      <c r="H1" s="2439"/>
      <c r="I1" s="2439"/>
      <c r="J1" s="2439"/>
      <c r="K1" s="2439"/>
      <c r="L1" s="2439"/>
      <c r="M1" s="2439"/>
    </row>
    <row r="2" spans="2:14" ht="15" x14ac:dyDescent="0.2">
      <c r="B2" s="2440">
        <f>'Single Audit Cover'!E7</f>
        <v>20033010026</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2119</v>
      </c>
      <c r="C11" s="1335">
        <v>10.553000000000001</v>
      </c>
      <c r="D11" s="1336" t="s">
        <v>2122</v>
      </c>
      <c r="E11" s="1337"/>
      <c r="F11" s="1337">
        <v>62744</v>
      </c>
      <c r="G11" s="1337"/>
      <c r="H11" s="1337"/>
      <c r="I11" s="1337">
        <v>62744</v>
      </c>
      <c r="J11" s="1337"/>
      <c r="K11" s="1337"/>
      <c r="L11" s="1337">
        <f>+G11+I11+K11</f>
        <v>62744</v>
      </c>
      <c r="M11" s="1337">
        <v>63000</v>
      </c>
    </row>
    <row r="12" spans="2:14" ht="20.100000000000001" customHeight="1" x14ac:dyDescent="0.2">
      <c r="B12" s="1334" t="s">
        <v>2119</v>
      </c>
      <c r="C12" s="1338">
        <v>10.553000000000001</v>
      </c>
      <c r="D12" s="1339" t="s">
        <v>2123</v>
      </c>
      <c r="E12" s="1340">
        <v>63183</v>
      </c>
      <c r="F12" s="1340">
        <v>16122</v>
      </c>
      <c r="G12" s="1340">
        <v>63183</v>
      </c>
      <c r="H12" s="1340"/>
      <c r="I12" s="1340">
        <v>16122</v>
      </c>
      <c r="J12" s="1340"/>
      <c r="K12" s="1340"/>
      <c r="L12" s="1337">
        <f t="shared" ref="L12:L13" si="0">+G12+I12+K12</f>
        <v>79305</v>
      </c>
      <c r="M12" s="1340">
        <v>14000</v>
      </c>
    </row>
    <row r="13" spans="2:14" ht="20.100000000000001" customHeight="1" x14ac:dyDescent="0.2">
      <c r="B13" s="1334" t="s">
        <v>2120</v>
      </c>
      <c r="C13" s="1338"/>
      <c r="D13" s="1339"/>
      <c r="E13" s="1340">
        <f>SUM(' SEFA (2)'!E20:E25)+SUM(' SEFA (3)'!E11:E12)</f>
        <v>282528</v>
      </c>
      <c r="F13" s="1340">
        <f>SUM(' SEFA (2)'!F20:F25)+SUM(' SEFA (3)'!F11:F12)</f>
        <v>403682</v>
      </c>
      <c r="G13" s="1340">
        <f>SUM(' SEFA (2)'!G20:G25)+SUM(' SEFA (3)'!G11:G12)</f>
        <v>282528</v>
      </c>
      <c r="H13" s="1340"/>
      <c r="I13" s="1340">
        <f>SUM(' SEFA (2)'!I20:I25)+SUM(' SEFA (3)'!I11:I12)</f>
        <v>403682</v>
      </c>
      <c r="J13" s="1340"/>
      <c r="K13" s="1340">
        <f>SUM(' SEFA (2)'!K20:K25)+SUM(' SEFA (3)'!K11:K12)</f>
        <v>0</v>
      </c>
      <c r="L13" s="1337">
        <f t="shared" si="0"/>
        <v>686210</v>
      </c>
      <c r="M13" s="1340">
        <f>SUM(' SEFA (2)'!M20:M25)+SUM(' SEFA (3)'!M11:M12)</f>
        <v>347000</v>
      </c>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334" t="s">
        <v>2121</v>
      </c>
      <c r="C15" s="1338"/>
      <c r="D15" s="1339"/>
      <c r="E15" s="1340">
        <f>' SEFA'!E23+' SEFA (2)'!E18+' SEFA (3)'!E13</f>
        <v>513464</v>
      </c>
      <c r="F15" s="1940">
        <f>' SEFA'!F23+' SEFA (2)'!F18+' SEFA (3)'!F13</f>
        <v>920313</v>
      </c>
      <c r="G15" s="1340">
        <f>' SEFA'!G23+' SEFA (2)'!G18+' SEFA (3)'!G13</f>
        <v>678514</v>
      </c>
      <c r="H15" s="1340"/>
      <c r="I15" s="1340">
        <f>' SEFA'!I23+' SEFA (2)'!I18+' SEFA (3)'!I13</f>
        <v>912375</v>
      </c>
      <c r="J15" s="1340"/>
      <c r="K15" s="1340">
        <f>' SEFA'!K22+' SEFA (2)'!K18+' SEFA (3)'!K13</f>
        <v>0</v>
      </c>
      <c r="L15" s="1340">
        <f>' SEFA'!L23+' SEFA (2)'!L18+' SEFA (3)'!L13</f>
        <v>1592089</v>
      </c>
      <c r="M15" s="1340">
        <f>' SEFA'!M23+' SEFA (2)'!M18+' SEFA (3)'!M13</f>
        <v>1298182</v>
      </c>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ignoredErrors>
    <ignoredError sqref="L11:L12 L28 J15:K15 H15 E13:L13 E14:M14 M13 E15:G15 I15 L15:M15"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40" zoomScale="120" zoomScaleNormal="120" workbookViewId="0">
      <selection activeCell="A33" sqref="A3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Hamilton Co CUSD 10</v>
      </c>
      <c r="B1" s="2452"/>
      <c r="C1" s="2452"/>
      <c r="D1" s="2452"/>
      <c r="E1" s="2452"/>
      <c r="F1" s="2452"/>
    </row>
    <row r="2" spans="1:7" ht="13.5" customHeight="1" x14ac:dyDescent="0.2">
      <c r="A2" s="2440">
        <f>'Single Audit Cover'!E7</f>
        <v>20033010026</v>
      </c>
      <c r="B2" s="2440"/>
      <c r="C2" s="2440"/>
      <c r="D2" s="2440"/>
      <c r="E2" s="2440"/>
      <c r="F2" s="2440"/>
      <c r="G2" s="1272"/>
    </row>
    <row r="3" spans="1:7" ht="15.75" customHeight="1" x14ac:dyDescent="0.2">
      <c r="A3" s="2453" t="s">
        <v>1271</v>
      </c>
      <c r="B3" s="2453"/>
      <c r="C3" s="2453"/>
      <c r="D3" s="2453"/>
      <c r="E3" s="2453"/>
      <c r="F3" s="2453"/>
    </row>
    <row r="4" spans="1:7" ht="13.5" customHeight="1" x14ac:dyDescent="0.2">
      <c r="A4" s="2454" t="str">
        <f>'Single Audit Cover'!A4</f>
        <v>Year Ending June 30, 2019</v>
      </c>
      <c r="B4" s="2454"/>
      <c r="C4" s="2454"/>
      <c r="D4" s="2454"/>
      <c r="E4" s="2454"/>
      <c r="F4" s="2454"/>
    </row>
    <row r="5" spans="1:7" ht="8.25" customHeight="1" x14ac:dyDescent="0.2">
      <c r="C5" s="317"/>
      <c r="D5" s="317"/>
    </row>
    <row r="6" spans="1:7" ht="13.5" customHeight="1" x14ac:dyDescent="0.2">
      <c r="A6" s="1273" t="s">
        <v>1728</v>
      </c>
      <c r="C6" s="317"/>
      <c r="D6" s="317"/>
    </row>
    <row r="7" spans="1:7" ht="60.95" customHeight="1" x14ac:dyDescent="0.2">
      <c r="A7" s="2451" t="s">
        <v>2124</v>
      </c>
      <c r="B7" s="2451"/>
      <c r="C7" s="2451"/>
      <c r="D7" s="2451"/>
      <c r="E7" s="2451"/>
      <c r="F7" s="2451"/>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2063</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1" t="s">
        <v>2125</v>
      </c>
      <c r="B13" s="2451"/>
      <c r="C13" s="2451"/>
      <c r="D13" s="2451"/>
      <c r="E13" s="2451"/>
      <c r="F13" s="2451"/>
    </row>
    <row r="14" spans="1:7" ht="9.75" customHeight="1" x14ac:dyDescent="0.2">
      <c r="C14" s="1257"/>
      <c r="D14" s="1257"/>
    </row>
    <row r="15" spans="1:7" ht="13.5" customHeight="1" x14ac:dyDescent="0.2">
      <c r="C15" s="1846" t="s">
        <v>1270</v>
      </c>
      <c r="D15" s="2449" t="s">
        <v>1269</v>
      </c>
      <c r="E15" s="2449"/>
      <c r="F15" s="2449"/>
    </row>
    <row r="16" spans="1:7" ht="13.5" customHeight="1" x14ac:dyDescent="0.2">
      <c r="A16" s="1279"/>
      <c r="B16" s="1273" t="s">
        <v>1268</v>
      </c>
      <c r="C16" s="1846" t="s">
        <v>1267</v>
      </c>
      <c r="D16" s="2450" t="s">
        <v>1588</v>
      </c>
      <c r="E16" s="2450"/>
      <c r="F16" s="2450"/>
    </row>
    <row r="17" spans="1:6" ht="20.45" customHeight="1" x14ac:dyDescent="0.2">
      <c r="A17" s="1280"/>
      <c r="B17" s="1281" t="s">
        <v>2126</v>
      </c>
      <c r="C17" s="1282"/>
      <c r="D17" s="2444"/>
      <c r="E17" s="2444"/>
      <c r="F17" s="2444"/>
    </row>
    <row r="18" spans="1:6" ht="20.65" customHeight="1" x14ac:dyDescent="0.2">
      <c r="A18" s="1280"/>
      <c r="B18" s="1281"/>
      <c r="C18" s="1282"/>
      <c r="D18" s="2444"/>
      <c r="E18" s="2444"/>
      <c r="F18" s="2444"/>
    </row>
    <row r="19" spans="1:6" ht="20.65" customHeight="1" x14ac:dyDescent="0.2">
      <c r="A19" s="1280"/>
      <c r="B19" s="1281"/>
      <c r="C19" s="1282"/>
      <c r="D19" s="2444"/>
      <c r="E19" s="2444"/>
      <c r="F19" s="2444"/>
    </row>
    <row r="20" spans="1:6" ht="20.65" customHeight="1" x14ac:dyDescent="0.2">
      <c r="A20" s="1280"/>
      <c r="B20" s="1281"/>
      <c r="C20" s="1282"/>
      <c r="D20" s="2444"/>
      <c r="E20" s="2444"/>
      <c r="F20" s="2444"/>
    </row>
    <row r="21" spans="1:6" ht="20.65" customHeight="1" x14ac:dyDescent="0.2">
      <c r="A21" s="1280"/>
      <c r="B21" s="1281"/>
      <c r="C21" s="1282"/>
      <c r="D21" s="2444"/>
      <c r="E21" s="2444"/>
      <c r="F21" s="2444"/>
    </row>
    <row r="22" spans="1:6" ht="20.65" customHeight="1" x14ac:dyDescent="0.2">
      <c r="A22" s="1280"/>
      <c r="B22" s="1281"/>
      <c r="C22" s="1282"/>
      <c r="D22" s="2444"/>
      <c r="E22" s="2444"/>
      <c r="F22" s="2444"/>
    </row>
    <row r="23" spans="1:6" ht="20.65" customHeight="1" x14ac:dyDescent="0.2">
      <c r="A23" s="1280"/>
      <c r="B23" s="1281"/>
      <c r="C23" s="1282"/>
      <c r="D23" s="2444"/>
      <c r="E23" s="2444"/>
      <c r="F23" s="2444"/>
    </row>
    <row r="24" spans="1:6" ht="20.65" customHeight="1" x14ac:dyDescent="0.2">
      <c r="A24" s="1280"/>
      <c r="B24" s="1281"/>
      <c r="C24" s="1282"/>
      <c r="D24" s="2444"/>
      <c r="E24" s="2444"/>
      <c r="F24" s="2444"/>
    </row>
    <row r="25" spans="1:6" ht="20.65" customHeight="1" x14ac:dyDescent="0.2">
      <c r="A25" s="1280"/>
      <c r="B25" s="1281"/>
      <c r="C25" s="1282"/>
      <c r="D25" s="2444"/>
      <c r="E25" s="2444"/>
      <c r="F25" s="2444"/>
    </row>
    <row r="26" spans="1:6" ht="20.65" customHeight="1" x14ac:dyDescent="0.2">
      <c r="A26" s="1280"/>
      <c r="B26" s="1281"/>
      <c r="C26" s="1282"/>
      <c r="D26" s="2444"/>
      <c r="E26" s="2444"/>
      <c r="F26" s="2444"/>
    </row>
    <row r="27" spans="1:6" ht="20.65" customHeight="1" x14ac:dyDescent="0.2">
      <c r="A27" s="1280"/>
      <c r="B27" s="1281"/>
      <c r="C27" s="1282"/>
      <c r="D27" s="2444"/>
      <c r="E27" s="2444"/>
      <c r="F27" s="2444"/>
    </row>
    <row r="28" spans="1:6" ht="20.65" customHeight="1" x14ac:dyDescent="0.2">
      <c r="A28" s="1280"/>
      <c r="B28" s="1281"/>
      <c r="C28" s="1282"/>
      <c r="D28" s="2444"/>
      <c r="E28" s="2444"/>
      <c r="F28" s="2444"/>
    </row>
    <row r="29" spans="1:6" ht="20.65" customHeight="1" x14ac:dyDescent="0.2">
      <c r="A29" s="1280"/>
      <c r="B29" s="1281"/>
      <c r="C29" s="1282"/>
      <c r="D29" s="2444"/>
      <c r="E29" s="2444"/>
      <c r="F29" s="2444"/>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5" t="s">
        <v>2205</v>
      </c>
      <c r="B32" s="2445"/>
      <c r="C32" s="2445"/>
      <c r="D32" s="2445"/>
      <c r="E32" s="2445"/>
      <c r="F32" s="2445"/>
    </row>
    <row r="33" spans="1:6" ht="13.5" customHeight="1" x14ac:dyDescent="0.2">
      <c r="A33" s="328" t="s">
        <v>1434</v>
      </c>
      <c r="B33" s="328"/>
      <c r="C33" s="1285">
        <v>58316</v>
      </c>
      <c r="D33" s="1903"/>
      <c r="E33" s="1283"/>
    </row>
    <row r="34" spans="1:6" ht="13.5" customHeight="1" x14ac:dyDescent="0.2">
      <c r="A34" s="328" t="s">
        <v>1835</v>
      </c>
      <c r="B34" s="328"/>
      <c r="C34" s="1286"/>
      <c r="D34" s="1903" t="s">
        <v>1589</v>
      </c>
      <c r="E34" s="2446">
        <f>+C33+C34</f>
        <v>58316</v>
      </c>
      <c r="F34" s="2447"/>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2126</v>
      </c>
      <c r="D38" s="1903"/>
      <c r="E38" s="1283"/>
    </row>
    <row r="39" spans="1:6" ht="14.25" customHeight="1" x14ac:dyDescent="0.2">
      <c r="A39" s="328"/>
      <c r="B39" s="328" t="s">
        <v>1436</v>
      </c>
      <c r="C39" s="1289" t="s">
        <v>2126</v>
      </c>
      <c r="D39" s="1903"/>
      <c r="E39" s="1283"/>
    </row>
    <row r="40" spans="1:6" ht="14.25" customHeight="1" x14ac:dyDescent="0.2">
      <c r="A40" s="328"/>
      <c r="B40" s="328" t="s">
        <v>1437</v>
      </c>
      <c r="C40" s="1289" t="s">
        <v>2126</v>
      </c>
      <c r="D40" s="1903"/>
      <c r="E40" s="1283"/>
    </row>
    <row r="41" spans="1:6" ht="14.25" customHeight="1" x14ac:dyDescent="0.2">
      <c r="A41" s="328"/>
      <c r="B41" s="328" t="s">
        <v>1438</v>
      </c>
      <c r="C41" s="1289" t="s">
        <v>2126</v>
      </c>
      <c r="D41" s="1903"/>
      <c r="E41" s="1283"/>
    </row>
    <row r="42" spans="1:6" ht="14.25" customHeight="1" x14ac:dyDescent="0.2">
      <c r="A42" s="328" t="s">
        <v>1439</v>
      </c>
      <c r="B42" s="328"/>
      <c r="C42" s="1901" t="s">
        <v>2126</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2"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8" zoomScale="110" zoomScaleNormal="110" workbookViewId="0">
      <selection activeCell="D46" sqref="D46"/>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6" t="str">
        <f>'Single Audit Cover'!A7</f>
        <v>Hamilton Co CUSD 10</v>
      </c>
      <c r="C1" s="2467"/>
      <c r="D1" s="2467"/>
      <c r="E1" s="2467"/>
      <c r="F1" s="2467"/>
      <c r="G1" s="2467"/>
      <c r="H1" s="2467"/>
      <c r="I1" s="2467"/>
      <c r="J1" s="1406"/>
    </row>
    <row r="2" spans="2:10" s="317" customFormat="1" ht="12.75" customHeight="1" x14ac:dyDescent="0.2">
      <c r="B2" s="2468">
        <f>'Single Audit Cover'!E7</f>
        <v>20033010026</v>
      </c>
      <c r="C2" s="2469"/>
      <c r="D2" s="2469"/>
      <c r="E2" s="2469"/>
      <c r="F2" s="2469"/>
      <c r="G2" s="2469"/>
      <c r="H2" s="2469"/>
      <c r="I2" s="2469"/>
      <c r="J2" s="1406"/>
    </row>
    <row r="3" spans="2:10" s="317" customFormat="1" ht="12.75" customHeight="1" x14ac:dyDescent="0.2">
      <c r="B3" s="2470" t="s">
        <v>1285</v>
      </c>
      <c r="C3" s="2471"/>
      <c r="D3" s="2471"/>
      <c r="E3" s="2471"/>
      <c r="F3" s="2471"/>
      <c r="G3" s="2471"/>
      <c r="H3" s="2471"/>
      <c r="I3" s="2471"/>
      <c r="J3" s="1407"/>
    </row>
    <row r="4" spans="2:10" s="317" customFormat="1" ht="12.75" customHeight="1" x14ac:dyDescent="0.2">
      <c r="B4" s="2470" t="str">
        <f>'Single Audit Cover'!A4</f>
        <v>Year Ending June 30, 2019</v>
      </c>
      <c r="C4" s="2471"/>
      <c r="D4" s="2471"/>
      <c r="E4" s="2471"/>
      <c r="F4" s="2471"/>
      <c r="G4" s="2471"/>
      <c r="H4" s="2471"/>
      <c r="I4" s="2471"/>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0" t="s">
        <v>1284</v>
      </c>
      <c r="C7" s="2471"/>
      <c r="D7" s="2471"/>
      <c r="E7" s="2471"/>
      <c r="F7" s="2471"/>
      <c r="G7" s="2471"/>
      <c r="H7" s="2471"/>
      <c r="I7" s="2471"/>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2" t="s">
        <v>1164</v>
      </c>
      <c r="D11" s="2472"/>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2063</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2063</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2063</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2063</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2063</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3" t="s">
        <v>2127</v>
      </c>
      <c r="E29" s="2473"/>
      <c r="F29" s="2473"/>
      <c r="G29" s="2473"/>
      <c r="H29" s="2473"/>
      <c r="I29" s="2473"/>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2063</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74" t="s">
        <v>1748</v>
      </c>
      <c r="D37" s="2475"/>
      <c r="E37" s="2475"/>
      <c r="F37" s="2476"/>
      <c r="G37" s="2474" t="s">
        <v>1592</v>
      </c>
      <c r="H37" s="2475"/>
      <c r="I37" s="2476"/>
    </row>
    <row r="38" spans="2:9" ht="16.5" customHeight="1" x14ac:dyDescent="0.2">
      <c r="B38" s="1428" t="s">
        <v>2087</v>
      </c>
      <c r="C38" s="2462" t="s">
        <v>2128</v>
      </c>
      <c r="D38" s="2463"/>
      <c r="E38" s="2463"/>
      <c r="F38" s="2464"/>
      <c r="G38" s="2477">
        <v>399446</v>
      </c>
      <c r="H38" s="2478"/>
      <c r="I38" s="2479"/>
    </row>
    <row r="39" spans="2:9" ht="16.5" customHeight="1" x14ac:dyDescent="0.2">
      <c r="B39" s="1428"/>
      <c r="C39" s="2462"/>
      <c r="D39" s="2463"/>
      <c r="E39" s="2463"/>
      <c r="F39" s="2464"/>
      <c r="G39" s="2465"/>
      <c r="H39" s="2465"/>
      <c r="I39" s="2465"/>
    </row>
    <row r="40" spans="2:9" ht="16.5" customHeight="1" x14ac:dyDescent="0.2">
      <c r="B40" s="1428"/>
      <c r="C40" s="2462"/>
      <c r="D40" s="2463"/>
      <c r="E40" s="2463"/>
      <c r="F40" s="2464"/>
      <c r="G40" s="2465"/>
      <c r="H40" s="2465"/>
      <c r="I40" s="2465"/>
    </row>
    <row r="41" spans="2:9" ht="16.5" customHeight="1" x14ac:dyDescent="0.2">
      <c r="B41" s="1428"/>
      <c r="C41" s="2462"/>
      <c r="D41" s="2463"/>
      <c r="E41" s="2463"/>
      <c r="F41" s="2464"/>
      <c r="G41" s="2465"/>
      <c r="H41" s="2465"/>
      <c r="I41" s="2465"/>
    </row>
    <row r="42" spans="2:9" ht="16.5" customHeight="1" x14ac:dyDescent="0.2">
      <c r="B42" s="1428"/>
      <c r="C42" s="2462"/>
      <c r="D42" s="2463"/>
      <c r="E42" s="2463"/>
      <c r="F42" s="2464"/>
      <c r="G42" s="2465"/>
      <c r="H42" s="2465"/>
      <c r="I42" s="2465"/>
    </row>
    <row r="43" spans="2:9" ht="16.5" customHeight="1" x14ac:dyDescent="0.2">
      <c r="B43" s="1428"/>
      <c r="C43" s="2455" t="s">
        <v>1593</v>
      </c>
      <c r="D43" s="2456"/>
      <c r="E43" s="2456"/>
      <c r="F43" s="2457"/>
      <c r="G43" s="2458">
        <f>SUM(G38:I42)</f>
        <v>399446</v>
      </c>
      <c r="H43" s="2458"/>
      <c r="I43" s="2458"/>
    </row>
    <row r="44" spans="2:9" ht="12.75" customHeight="1" x14ac:dyDescent="0.2"/>
    <row r="45" spans="2:9" ht="12.75" customHeight="1" x14ac:dyDescent="0.2">
      <c r="B45" s="1419" t="s">
        <v>2059</v>
      </c>
      <c r="D45" s="2459">
        <v>912375</v>
      </c>
      <c r="E45" s="2460"/>
    </row>
    <row r="46" spans="2:9" ht="5.25" customHeight="1" x14ac:dyDescent="0.2">
      <c r="B46" s="1429"/>
      <c r="D46" s="1430"/>
      <c r="E46" s="1431"/>
    </row>
    <row r="47" spans="2:9" ht="12.75" customHeight="1" x14ac:dyDescent="0.2">
      <c r="B47" s="1297" t="s">
        <v>1594</v>
      </c>
      <c r="C47" s="1297"/>
      <c r="D47" s="1432">
        <f>+G43/D45</f>
        <v>0.43780901493355256</v>
      </c>
      <c r="E47" s="1433"/>
      <c r="F47" s="1434"/>
      <c r="I47" s="1435"/>
    </row>
    <row r="48" spans="2:9" ht="9.9499999999999993" customHeight="1" x14ac:dyDescent="0.2"/>
    <row r="49" spans="1:9" x14ac:dyDescent="0.2">
      <c r="B49" s="1365" t="s">
        <v>1273</v>
      </c>
      <c r="C49" s="1279"/>
      <c r="D49" s="1279"/>
      <c r="E49" s="2461">
        <v>750000</v>
      </c>
      <c r="F49" s="2461"/>
      <c r="G49" s="2461"/>
      <c r="H49" s="322"/>
    </row>
    <row r="51" spans="1:9" ht="13.5" customHeight="1" x14ac:dyDescent="0.2">
      <c r="B51" s="1365" t="s">
        <v>1272</v>
      </c>
      <c r="C51" s="1279"/>
      <c r="E51" s="1422"/>
      <c r="F51" s="1297" t="s">
        <v>885</v>
      </c>
      <c r="G51" s="1422" t="s">
        <v>2063</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2"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Hamilton Co CUSD 10</v>
      </c>
      <c r="C1" s="2466"/>
      <c r="D1" s="2466"/>
      <c r="E1" s="2466"/>
      <c r="F1" s="2466"/>
      <c r="G1" s="2466"/>
      <c r="H1" s="2466"/>
      <c r="I1" s="2466"/>
      <c r="J1" s="2466"/>
      <c r="K1" s="2466"/>
      <c r="L1" s="1371"/>
      <c r="M1" s="1371"/>
    </row>
    <row r="2" spans="1:13" ht="12" customHeight="1" x14ac:dyDescent="0.2">
      <c r="B2" s="2468">
        <f>'Single Audit Cover'!E7</f>
        <v>20033010026</v>
      </c>
      <c r="C2" s="2468"/>
      <c r="D2" s="2468"/>
      <c r="E2" s="2468"/>
      <c r="F2" s="2468"/>
      <c r="G2" s="2468"/>
      <c r="H2" s="2468"/>
      <c r="I2" s="2468"/>
      <c r="J2" s="2468"/>
      <c r="K2" s="2468"/>
      <c r="L2" s="1372"/>
      <c r="M2" s="1373"/>
    </row>
    <row r="3" spans="1:13" ht="10.35" customHeight="1" x14ac:dyDescent="0.2">
      <c r="B3" s="2482" t="s">
        <v>1285</v>
      </c>
      <c r="C3" s="2482"/>
      <c r="D3" s="2482"/>
      <c r="E3" s="2482"/>
      <c r="F3" s="2482"/>
      <c r="G3" s="2482"/>
      <c r="H3" s="2482"/>
      <c r="I3" s="2482"/>
      <c r="J3" s="2482"/>
      <c r="K3" s="2482"/>
      <c r="L3" s="1374"/>
      <c r="M3" s="1374"/>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1296</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1</v>
      </c>
      <c r="E10" s="322"/>
      <c r="F10" s="1384" t="s">
        <v>1295</v>
      </c>
      <c r="G10" s="1385"/>
      <c r="H10" s="1386" t="s">
        <v>1294</v>
      </c>
      <c r="I10" s="1385" t="s">
        <v>2063</v>
      </c>
      <c r="J10" s="1387" t="s">
        <v>1293</v>
      </c>
      <c r="K10" s="322"/>
      <c r="L10" s="1378"/>
    </row>
    <row r="11" spans="1:13" ht="13.5" customHeight="1" x14ac:dyDescent="0.2">
      <c r="B11" s="322"/>
      <c r="C11" s="322"/>
      <c r="D11" s="322"/>
      <c r="E11" s="322"/>
      <c r="F11" s="322"/>
      <c r="G11" s="1380"/>
      <c r="H11" s="322"/>
      <c r="I11" s="1388" t="s">
        <v>1292</v>
      </c>
      <c r="J11" s="322"/>
      <c r="K11" s="1389">
        <v>2013</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1" t="s">
        <v>2129</v>
      </c>
      <c r="C14" s="2481"/>
      <c r="D14" s="2481"/>
      <c r="E14" s="2481"/>
      <c r="F14" s="2481"/>
      <c r="G14" s="2481"/>
      <c r="H14" s="2481"/>
      <c r="I14" s="2481"/>
      <c r="J14" s="2481"/>
      <c r="K14" s="248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1" t="s">
        <v>2130</v>
      </c>
      <c r="C17" s="2481"/>
      <c r="D17" s="2481"/>
      <c r="E17" s="2481"/>
      <c r="F17" s="2481"/>
      <c r="G17" s="2481"/>
      <c r="H17" s="2481"/>
      <c r="I17" s="2481"/>
      <c r="J17" s="2481"/>
      <c r="K17" s="2481"/>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5"/>
      <c r="C20" s="2485"/>
      <c r="D20" s="2481"/>
      <c r="E20" s="2481"/>
      <c r="F20" s="2481"/>
      <c r="G20" s="2481"/>
      <c r="H20" s="2481"/>
      <c r="I20" s="2481"/>
      <c r="J20" s="2481"/>
      <c r="K20" s="2481"/>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1" t="s">
        <v>2131</v>
      </c>
      <c r="C23" s="2481"/>
      <c r="D23" s="2481"/>
      <c r="E23" s="2481"/>
      <c r="F23" s="2481"/>
      <c r="G23" s="2481"/>
      <c r="H23" s="2481"/>
      <c r="I23" s="2481"/>
      <c r="J23" s="2481"/>
      <c r="K23" s="248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1" t="s">
        <v>2132</v>
      </c>
      <c r="C26" s="2481"/>
      <c r="D26" s="2481"/>
      <c r="E26" s="2481"/>
      <c r="F26" s="2481"/>
      <c r="G26" s="2481"/>
      <c r="H26" s="2481"/>
      <c r="I26" s="2481"/>
      <c r="J26" s="2481"/>
      <c r="K26" s="248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0" t="s">
        <v>2133</v>
      </c>
      <c r="C29" s="2480"/>
      <c r="D29" s="2481"/>
      <c r="E29" s="2481"/>
      <c r="F29" s="2481"/>
      <c r="G29" s="2481"/>
      <c r="H29" s="2481"/>
      <c r="I29" s="2481"/>
      <c r="J29" s="2481"/>
      <c r="K29" s="248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51" customHeight="1" x14ac:dyDescent="0.2">
      <c r="B32" s="2480" t="s">
        <v>2134</v>
      </c>
      <c r="C32" s="2480"/>
      <c r="D32" s="2481"/>
      <c r="E32" s="2481"/>
      <c r="F32" s="2481"/>
      <c r="G32" s="2481"/>
      <c r="H32" s="2481"/>
      <c r="I32" s="2481"/>
      <c r="J32" s="2481"/>
      <c r="K32" s="248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9" t="str">
        <f>'Single Audit Cover'!A7</f>
        <v>Hamilton Co CUSD 10</v>
      </c>
      <c r="C1" s="2489"/>
      <c r="D1" s="2489"/>
      <c r="E1" s="2489"/>
      <c r="F1" s="2489"/>
      <c r="G1" s="2489"/>
      <c r="H1" s="2489"/>
      <c r="I1" s="2489"/>
      <c r="J1" s="2489"/>
      <c r="K1" s="2489"/>
      <c r="L1" s="1449"/>
    </row>
    <row r="2" spans="1:12" ht="12.75" customHeight="1" x14ac:dyDescent="0.2">
      <c r="B2" s="2490">
        <f>'Single Audit Cover'!E7</f>
        <v>20033010026</v>
      </c>
      <c r="C2" s="2490"/>
      <c r="D2" s="2490"/>
      <c r="E2" s="2490"/>
      <c r="F2" s="2490"/>
      <c r="G2" s="2490"/>
      <c r="H2" s="2490"/>
      <c r="I2" s="2490"/>
      <c r="J2" s="2490"/>
      <c r="K2" s="2490"/>
      <c r="L2" s="1450"/>
    </row>
    <row r="3" spans="1:12" ht="12.75" customHeight="1" x14ac:dyDescent="0.2">
      <c r="B3" s="2482" t="s">
        <v>1285</v>
      </c>
      <c r="C3" s="2482"/>
      <c r="D3" s="2482"/>
      <c r="E3" s="2482"/>
      <c r="F3" s="2482"/>
      <c r="G3" s="2482"/>
      <c r="H3" s="2482"/>
      <c r="I3" s="2482"/>
      <c r="J3" s="2482"/>
      <c r="K3" s="2482"/>
      <c r="L3" s="1374"/>
    </row>
    <row r="4" spans="1:12" ht="12.75" customHeight="1" x14ac:dyDescent="0.2">
      <c r="B4" s="2482" t="str">
        <f>'Single Audit Cover'!A4</f>
        <v>Year Ending June 30, 2019</v>
      </c>
      <c r="C4" s="2482"/>
      <c r="D4" s="2482"/>
      <c r="E4" s="2482"/>
      <c r="F4" s="2482"/>
      <c r="G4" s="2482"/>
      <c r="H4" s="2482"/>
      <c r="I4" s="2482"/>
      <c r="J4" s="2482"/>
      <c r="K4" s="2482"/>
      <c r="L4" s="1374"/>
    </row>
    <row r="5" spans="1:12" ht="5.25" customHeight="1" x14ac:dyDescent="0.2">
      <c r="B5" s="1257" t="s">
        <v>1169</v>
      </c>
      <c r="C5" s="1257"/>
      <c r="L5" s="322"/>
    </row>
    <row r="6" spans="1:12" ht="30.75" customHeight="1" x14ac:dyDescent="0.2">
      <c r="A6" s="322"/>
      <c r="B6" s="2491" t="s">
        <v>1308</v>
      </c>
      <c r="C6" s="2491"/>
      <c r="D6" s="2491"/>
      <c r="E6" s="2491"/>
      <c r="F6" s="2491"/>
      <c r="G6" s="2491"/>
      <c r="H6" s="2491"/>
      <c r="I6" s="2491"/>
      <c r="J6" s="2491"/>
      <c r="K6" s="2491"/>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t="s">
        <v>2126</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3"/>
      <c r="G12" s="2473"/>
      <c r="H12" s="2473"/>
      <c r="I12" s="2473"/>
      <c r="J12" s="2473"/>
      <c r="K12" s="2473"/>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6"/>
      <c r="E14" s="2486"/>
      <c r="F14" s="2486"/>
      <c r="H14" s="1459" t="s">
        <v>1303</v>
      </c>
      <c r="I14" s="2487"/>
      <c r="J14" s="2487"/>
      <c r="K14" s="2487"/>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7"/>
      <c r="E16" s="2487"/>
      <c r="F16" s="2487"/>
      <c r="G16" s="2487"/>
      <c r="H16" s="2487"/>
      <c r="I16" s="2487"/>
      <c r="J16" s="2487"/>
      <c r="K16" s="2487"/>
      <c r="L16" s="322"/>
    </row>
    <row r="17" spans="2:12" ht="13.5" customHeight="1" x14ac:dyDescent="0.2">
      <c r="B17" s="1384" t="s">
        <v>1301</v>
      </c>
      <c r="C17" s="1384"/>
      <c r="D17" s="2488"/>
      <c r="E17" s="2488"/>
      <c r="F17" s="2488"/>
      <c r="G17" s="2488"/>
      <c r="H17" s="2488"/>
      <c r="I17" s="2488"/>
      <c r="J17" s="2488"/>
      <c r="K17" s="2488"/>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1"/>
      <c r="C20" s="2481"/>
      <c r="D20" s="2481"/>
      <c r="E20" s="2481"/>
      <c r="F20" s="2481"/>
      <c r="G20" s="2481"/>
      <c r="H20" s="2481"/>
      <c r="I20" s="2481"/>
      <c r="J20" s="2481"/>
      <c r="K20" s="2481"/>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13" sqref="D13"/>
    </sheetView>
  </sheetViews>
  <sheetFormatPr defaultColWidth="9.140625" defaultRowHeight="12.75" x14ac:dyDescent="0.2"/>
  <cols>
    <col min="1" max="1" width="1.5703125" style="317" customWidth="1"/>
    <col min="2" max="2" width="14.7109375" style="317" customWidth="1"/>
    <col min="3" max="3" width="47.140625" style="317" bestFit="1"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6" t="str">
        <f>'Single Audit Cover'!A7</f>
        <v>Hamilton Co CUSD 10</v>
      </c>
      <c r="C1" s="2466"/>
      <c r="D1" s="2466"/>
      <c r="E1" s="1469"/>
    </row>
    <row r="2" spans="2:5" s="1279" customFormat="1" ht="12.75" customHeight="1" x14ac:dyDescent="0.2">
      <c r="B2" s="2468">
        <f>'Single Audit Cover'!E7</f>
        <v>20033010026</v>
      </c>
      <c r="C2" s="2468"/>
      <c r="D2" s="2468"/>
      <c r="E2" s="1470"/>
    </row>
    <row r="3" spans="2:5" ht="12.75" customHeight="1" x14ac:dyDescent="0.2">
      <c r="B3" s="2482" t="s">
        <v>1763</v>
      </c>
      <c r="C3" s="2482"/>
      <c r="D3" s="2482"/>
      <c r="E3" s="1271"/>
    </row>
    <row r="4" spans="2:5" s="1279" customFormat="1" ht="12.75" customHeight="1" x14ac:dyDescent="0.2">
      <c r="B4" s="2492" t="str">
        <f>'Single Audit Cover'!A4</f>
        <v>Year Ending June 30, 2019</v>
      </c>
      <c r="C4" s="2492"/>
      <c r="D4" s="2492"/>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2135</v>
      </c>
      <c r="C7" s="324" t="s">
        <v>2136</v>
      </c>
      <c r="D7" s="324" t="s">
        <v>2140</v>
      </c>
      <c r="E7" s="324"/>
    </row>
    <row r="8" spans="2:5" ht="13.5" customHeight="1" x14ac:dyDescent="0.2">
      <c r="B8" s="1474"/>
      <c r="C8" s="324" t="s">
        <v>2137</v>
      </c>
      <c r="D8" s="324" t="s">
        <v>2141</v>
      </c>
      <c r="E8" s="324"/>
    </row>
    <row r="9" spans="2:5" ht="13.5" customHeight="1" x14ac:dyDescent="0.2">
      <c r="B9" s="1475"/>
      <c r="C9" s="323" t="s">
        <v>2138</v>
      </c>
      <c r="D9" s="323"/>
      <c r="E9" s="323"/>
    </row>
    <row r="10" spans="2:5" ht="13.5" customHeight="1" x14ac:dyDescent="0.2">
      <c r="B10" s="1474"/>
      <c r="C10" s="323" t="s">
        <v>2139</v>
      </c>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6" colorId="8" zoomScale="110" zoomScaleNormal="110" workbookViewId="0">
      <selection activeCell="L34" sqref="L3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386</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99234602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0.02</v>
      </c>
      <c r="E10" s="356" t="s">
        <v>1005</v>
      </c>
      <c r="F10" s="355">
        <v>5.0000000000000001E-3</v>
      </c>
      <c r="G10" s="356" t="s">
        <v>1005</v>
      </c>
      <c r="H10" s="355">
        <v>2E-3</v>
      </c>
      <c r="I10" s="356" t="s">
        <v>1006</v>
      </c>
      <c r="J10" s="1732">
        <f>ROUND(D10+F10+H10,5)</f>
        <v>2.7E-2</v>
      </c>
      <c r="K10" s="222"/>
      <c r="L10" s="355">
        <v>5.0000000000000001E-4</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12587241</v>
      </c>
      <c r="E16" s="356"/>
      <c r="F16" s="1733">
        <f>SUM('Acct Summary 7-8'!C17,'Acct Summary 7-8'!D17,'Acct Summary 7-8'!F17)</f>
        <v>11067813</v>
      </c>
      <c r="G16" s="356"/>
      <c r="H16" s="1733">
        <f>SUM(D16-F16)</f>
        <v>1519428</v>
      </c>
      <c r="I16" s="222"/>
      <c r="J16" s="1733">
        <f>SUM('Acct Summary 7-8'!C81,'Acct Summary 7-8'!D81,'Acct Summary 7-8'!F81,'Acct Summary 7-8'!I81)</f>
        <v>4935473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13694375.076000001</v>
      </c>
      <c r="I31" s="368"/>
      <c r="J31" s="222"/>
      <c r="K31" s="222"/>
      <c r="L31" s="222"/>
      <c r="M31" s="222"/>
    </row>
    <row r="32" spans="1:13" ht="13.35" customHeight="1" x14ac:dyDescent="0.2">
      <c r="B32" s="369" t="s">
        <v>2063</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1547691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556</v>
      </c>
      <c r="B2" s="2109"/>
      <c r="C2" s="2109"/>
      <c r="D2" s="2109"/>
      <c r="E2" s="2109"/>
      <c r="F2" s="2109"/>
      <c r="G2" s="2109"/>
      <c r="H2" s="2109"/>
      <c r="I2" s="2109"/>
      <c r="J2" s="2109"/>
      <c r="K2" s="2109"/>
      <c r="L2" s="2109"/>
      <c r="M2" s="2109"/>
      <c r="N2" s="2109"/>
      <c r="O2" s="2109"/>
      <c r="P2" s="2109"/>
      <c r="Q2" s="2109"/>
      <c r="R2" s="2109"/>
    </row>
    <row r="3" spans="1:18" ht="12.75" x14ac:dyDescent="0.2">
      <c r="A3" s="2110" t="s">
        <v>1413</v>
      </c>
      <c r="B3" s="2110"/>
      <c r="C3" s="2110"/>
      <c r="D3" s="2110"/>
      <c r="E3" s="2110"/>
      <c r="F3" s="2110"/>
      <c r="G3" s="2110"/>
      <c r="H3" s="2110"/>
      <c r="I3" s="2110"/>
      <c r="J3" s="2110"/>
      <c r="K3" s="2110"/>
      <c r="L3" s="2110"/>
      <c r="M3" s="2110"/>
      <c r="N3" s="2110"/>
      <c r="O3" s="2110"/>
      <c r="P3" s="2110"/>
      <c r="Q3" s="2110"/>
      <c r="R3" s="2110"/>
    </row>
    <row r="4" spans="1:18" x14ac:dyDescent="0.2">
      <c r="A4" s="2111" t="s">
        <v>1554</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Hamilton Co CUSD 10</v>
      </c>
      <c r="E7" s="391"/>
      <c r="G7" s="252"/>
      <c r="H7" s="387"/>
      <c r="I7" s="387"/>
      <c r="J7" s="387"/>
      <c r="K7" s="387"/>
      <c r="L7" s="329"/>
      <c r="M7" s="329"/>
      <c r="N7" s="329"/>
      <c r="O7" s="329"/>
      <c r="P7" s="329"/>
    </row>
    <row r="8" spans="1:18" ht="12.75" x14ac:dyDescent="0.2">
      <c r="A8" s="329"/>
      <c r="B8" s="329"/>
      <c r="C8" s="389" t="s">
        <v>1125</v>
      </c>
      <c r="D8" s="392">
        <f>COVER!A13</f>
        <v>20033010026</v>
      </c>
      <c r="E8" s="393"/>
      <c r="G8" s="329"/>
      <c r="H8" s="329"/>
      <c r="I8" s="329"/>
      <c r="J8" s="329"/>
      <c r="K8" s="329"/>
      <c r="L8" s="329"/>
      <c r="M8" s="329"/>
      <c r="N8" s="329"/>
      <c r="O8" s="329"/>
      <c r="P8" s="329"/>
    </row>
    <row r="9" spans="1:18" ht="12.75" x14ac:dyDescent="0.2">
      <c r="A9" s="329"/>
      <c r="B9" s="329"/>
      <c r="C9" s="389" t="s">
        <v>713</v>
      </c>
      <c r="D9" s="394" t="str">
        <f>COVER!A15</f>
        <v>Hamilton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4935473</v>
      </c>
      <c r="I12" s="404"/>
      <c r="J12" s="404"/>
      <c r="K12" s="405">
        <f>TRUNC((H12/H13*100000),5)/100000</f>
        <v>0.39210125549999997</v>
      </c>
      <c r="L12" s="406"/>
      <c r="M12" s="360" t="s">
        <v>1144</v>
      </c>
      <c r="N12" s="360"/>
      <c r="O12" s="407">
        <v>0.35</v>
      </c>
      <c r="P12" s="218"/>
      <c r="Q12" s="218"/>
    </row>
    <row r="13" spans="1:18" s="408" customFormat="1" ht="12.75" x14ac:dyDescent="0.2">
      <c r="A13" s="218"/>
      <c r="B13" s="401"/>
      <c r="C13" s="2107" t="s">
        <v>1324</v>
      </c>
      <c r="D13" s="2108"/>
      <c r="E13" s="218"/>
      <c r="F13" s="409" t="s">
        <v>793</v>
      </c>
      <c r="G13" s="402"/>
      <c r="H13" s="403">
        <f>SUM('Acct Summary 7-8'!C8+'Acct Summary 7-8'!D8+'Acct Summary 7-8'!F8+'Acct Summary 7-8'!I8)+H14</f>
        <v>12587241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11067813</v>
      </c>
      <c r="I17" s="404"/>
      <c r="J17" s="416"/>
      <c r="K17" s="405">
        <f>TRUNC((H17/H18*100000),5)/100000</f>
        <v>0.87928824110000003</v>
      </c>
      <c r="L17" s="406"/>
      <c r="M17" s="417" t="s">
        <v>1171</v>
      </c>
      <c r="O17" s="418" t="str">
        <f>IF(AND(O16="2", J20 &gt; 2),"1",IF(AND(O16 = "1", J20 &gt; 2),"2",IF(AND(O16="1", J20 &gt;1),"1","0")))</f>
        <v>0</v>
      </c>
      <c r="P17" s="218"/>
    </row>
    <row r="18" spans="1:18" s="408" customFormat="1" ht="11.25" x14ac:dyDescent="0.2">
      <c r="A18" s="218"/>
      <c r="B18" s="401"/>
      <c r="C18" s="2107" t="s">
        <v>1317</v>
      </c>
      <c r="D18" s="2108"/>
      <c r="E18" s="218"/>
      <c r="F18" s="419" t="s">
        <v>794</v>
      </c>
      <c r="G18" s="402"/>
      <c r="H18" s="403">
        <f>SUM('Acct Summary 7-8'!C8+'Acct Summary 7-8'!D8+'Acct Summary 7-8'!F8+'Acct Summary 7-8'!I8)+H19</f>
        <v>12587241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4" t="s">
        <v>1412</v>
      </c>
      <c r="D24" s="2104"/>
      <c r="E24" s="218"/>
      <c r="F24" s="218" t="s">
        <v>445</v>
      </c>
      <c r="G24" s="402"/>
      <c r="H24" s="403">
        <f>SUM('Assets-Liab 5-6'!C4+'Assets-Liab 5-6'!D4+'Assets-Liab 5-6'!F4+'Assets-Liab 5-6'!I4+'Assets-Liab 5-6'!C5+'Assets-Liab 5-6'!D5+'Assets-Liab 5-6'!F5+'Assets-Liab 5-6'!I5)</f>
        <v>5036663</v>
      </c>
      <c r="I24" s="422"/>
      <c r="J24" s="422"/>
      <c r="K24" s="423">
        <f>TRUNC(((H24/H25*100000)/100000),2)</f>
        <v>163.82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30743.924999999999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2277434.1159000001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1547691</v>
      </c>
      <c r="I32" s="420"/>
      <c r="J32" s="420"/>
      <c r="K32" s="423">
        <f>TRUNC(100-((((H32/H33*100))*100)/100),2)</f>
        <v>88.69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13694375.076000001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18" activePane="bottomLeft" state="frozen"/>
      <selection pane="bottomLeft" activeCell="K39" sqref="K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4" t="s">
        <v>973</v>
      </c>
      <c r="B3" s="2115"/>
      <c r="C3" s="1559"/>
      <c r="D3" s="1560"/>
      <c r="E3" s="1560"/>
      <c r="F3" s="1560"/>
      <c r="G3" s="1560"/>
      <c r="H3" s="1560"/>
      <c r="I3" s="1560"/>
      <c r="J3" s="1560"/>
      <c r="K3" s="1560"/>
      <c r="L3" s="1560"/>
      <c r="M3" s="1561"/>
      <c r="N3" s="1562"/>
    </row>
    <row r="4" spans="1:14" ht="13.5" customHeight="1" x14ac:dyDescent="0.2">
      <c r="A4" s="463" t="s">
        <v>1651</v>
      </c>
      <c r="B4" s="464"/>
      <c r="C4" s="465">
        <v>3365639</v>
      </c>
      <c r="D4" s="466">
        <v>340514</v>
      </c>
      <c r="E4" s="466">
        <v>144</v>
      </c>
      <c r="F4" s="466">
        <v>84191</v>
      </c>
      <c r="G4" s="466">
        <v>176023</v>
      </c>
      <c r="H4" s="466">
        <v>198599</v>
      </c>
      <c r="I4" s="466">
        <v>228711</v>
      </c>
      <c r="J4" s="467">
        <v>136832</v>
      </c>
      <c r="K4" s="466">
        <v>110684</v>
      </c>
      <c r="L4" s="466">
        <v>534611</v>
      </c>
      <c r="M4" s="468"/>
      <c r="N4" s="469"/>
    </row>
    <row r="5" spans="1:14" x14ac:dyDescent="0.2">
      <c r="A5" s="463" t="s">
        <v>992</v>
      </c>
      <c r="B5" s="470">
        <v>120</v>
      </c>
      <c r="C5" s="465">
        <v>1017608</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4383247</v>
      </c>
      <c r="D13" s="1737">
        <f t="shared" ref="D13:L13" si="0">SUM(D4:D12)</f>
        <v>340514</v>
      </c>
      <c r="E13" s="1737">
        <f t="shared" si="0"/>
        <v>144</v>
      </c>
      <c r="F13" s="1737">
        <f t="shared" si="0"/>
        <v>84191</v>
      </c>
      <c r="G13" s="1737">
        <f t="shared" si="0"/>
        <v>176023</v>
      </c>
      <c r="H13" s="1737">
        <f t="shared" si="0"/>
        <v>198599</v>
      </c>
      <c r="I13" s="1737">
        <f t="shared" si="0"/>
        <v>228711</v>
      </c>
      <c r="J13" s="1737">
        <f t="shared" si="0"/>
        <v>136832</v>
      </c>
      <c r="K13" s="1737">
        <f t="shared" si="0"/>
        <v>110684</v>
      </c>
      <c r="L13" s="1737">
        <f t="shared" si="0"/>
        <v>534611</v>
      </c>
      <c r="M13" s="468"/>
      <c r="N13" s="469"/>
    </row>
    <row r="14" spans="1:14" ht="18" customHeight="1" thickTop="1" x14ac:dyDescent="0.2">
      <c r="A14" s="2116" t="s">
        <v>147</v>
      </c>
      <c r="B14" s="2117"/>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330394</v>
      </c>
      <c r="N16" s="484"/>
    </row>
    <row r="17" spans="1:14" s="485" customFormat="1" ht="12.75" customHeight="1" x14ac:dyDescent="0.2">
      <c r="A17" s="482" t="s">
        <v>1403</v>
      </c>
      <c r="B17" s="483">
        <v>230</v>
      </c>
      <c r="C17" s="477"/>
      <c r="D17" s="477"/>
      <c r="E17" s="477"/>
      <c r="F17" s="477"/>
      <c r="G17" s="477"/>
      <c r="H17" s="477"/>
      <c r="I17" s="477"/>
      <c r="J17" s="477"/>
      <c r="K17" s="477"/>
      <c r="L17" s="477"/>
      <c r="M17" s="467">
        <v>12794814</v>
      </c>
      <c r="N17" s="484"/>
    </row>
    <row r="18" spans="1:14" s="485" customFormat="1" ht="12.75" customHeight="1" x14ac:dyDescent="0.2">
      <c r="A18" s="482" t="s">
        <v>1404</v>
      </c>
      <c r="B18" s="483">
        <v>240</v>
      </c>
      <c r="C18" s="477"/>
      <c r="D18" s="477"/>
      <c r="E18" s="477"/>
      <c r="F18" s="477"/>
      <c r="G18" s="477"/>
      <c r="H18" s="477"/>
      <c r="I18" s="477"/>
      <c r="J18" s="477"/>
      <c r="K18" s="477"/>
      <c r="L18" s="477"/>
      <c r="M18" s="467">
        <v>120572</v>
      </c>
      <c r="N18" s="484"/>
    </row>
    <row r="19" spans="1:14" s="485" customFormat="1" ht="12.75" customHeight="1" x14ac:dyDescent="0.2">
      <c r="A19" s="482" t="s">
        <v>1405</v>
      </c>
      <c r="B19" s="483">
        <v>250</v>
      </c>
      <c r="C19" s="477"/>
      <c r="D19" s="477"/>
      <c r="E19" s="477"/>
      <c r="F19" s="477"/>
      <c r="G19" s="477"/>
      <c r="H19" s="477"/>
      <c r="I19" s="477"/>
      <c r="J19" s="477"/>
      <c r="K19" s="477"/>
      <c r="L19" s="477"/>
      <c r="M19" s="467">
        <v>1393036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144</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1547547</v>
      </c>
    </row>
    <row r="23" spans="1:14" ht="13.5" customHeight="1" thickBot="1" x14ac:dyDescent="0.25">
      <c r="A23" s="1736" t="s">
        <v>643</v>
      </c>
      <c r="B23" s="1741"/>
      <c r="C23" s="468"/>
      <c r="D23" s="468"/>
      <c r="E23" s="468"/>
      <c r="F23" s="468"/>
      <c r="G23" s="468"/>
      <c r="H23" s="468"/>
      <c r="I23" s="468"/>
      <c r="J23" s="468"/>
      <c r="K23" s="468"/>
      <c r="L23" s="468"/>
      <c r="M23" s="1688">
        <f>SUM(M15:M22)</f>
        <v>14638816</v>
      </c>
      <c r="N23" s="1688">
        <f>SUM(N21:N22)</f>
        <v>1547691</v>
      </c>
    </row>
    <row r="24" spans="1:14" ht="18" customHeight="1" thickTop="1" x14ac:dyDescent="0.2">
      <c r="A24" s="2118" t="s">
        <v>598</v>
      </c>
      <c r="B24" s="2119"/>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99949</v>
      </c>
      <c r="D31" s="467"/>
      <c r="E31" s="467"/>
      <c r="F31" s="466">
        <v>1241</v>
      </c>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534611</v>
      </c>
      <c r="M33" s="468"/>
      <c r="N33" s="469"/>
    </row>
    <row r="34" spans="1:14" ht="13.5" customHeight="1" thickBot="1" x14ac:dyDescent="0.25">
      <c r="A34" s="1738" t="s">
        <v>654</v>
      </c>
      <c r="B34" s="1739"/>
      <c r="C34" s="1740">
        <f>SUM(C25:C33)</f>
        <v>99949</v>
      </c>
      <c r="D34" s="1740">
        <f t="shared" ref="D34:K34" si="1">SUM(D25:D33)</f>
        <v>0</v>
      </c>
      <c r="E34" s="1740">
        <f t="shared" si="1"/>
        <v>0</v>
      </c>
      <c r="F34" s="1740">
        <f t="shared" si="1"/>
        <v>1241</v>
      </c>
      <c r="G34" s="1740">
        <f t="shared" si="1"/>
        <v>0</v>
      </c>
      <c r="H34" s="1740">
        <f t="shared" si="1"/>
        <v>0</v>
      </c>
      <c r="I34" s="1740">
        <f t="shared" si="1"/>
        <v>0</v>
      </c>
      <c r="J34" s="1740">
        <f t="shared" si="1"/>
        <v>0</v>
      </c>
      <c r="K34" s="1740">
        <f t="shared" si="1"/>
        <v>0</v>
      </c>
      <c r="L34" s="1721">
        <f>SUM(L33)</f>
        <v>534611</v>
      </c>
      <c r="M34" s="468"/>
      <c r="N34" s="480"/>
    </row>
    <row r="35" spans="1:14" ht="18" customHeight="1" thickTop="1" x14ac:dyDescent="0.2">
      <c r="A35" s="2120" t="s">
        <v>529</v>
      </c>
      <c r="B35" s="2121"/>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1547691</v>
      </c>
    </row>
    <row r="37" spans="1:14" ht="13.5" thickBot="1" x14ac:dyDescent="0.25">
      <c r="A37" s="1736" t="s">
        <v>653</v>
      </c>
      <c r="B37" s="1741"/>
      <c r="C37" s="477"/>
      <c r="D37" s="477"/>
      <c r="E37" s="477"/>
      <c r="F37" s="477"/>
      <c r="G37" s="477"/>
      <c r="H37" s="477"/>
      <c r="I37" s="477"/>
      <c r="J37" s="477"/>
      <c r="K37" s="477"/>
      <c r="L37" s="480"/>
      <c r="M37" s="468"/>
      <c r="N37" s="1688">
        <f>SUM(N36:N36)</f>
        <v>1547691</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4283298</v>
      </c>
      <c r="D39" s="466">
        <v>340514</v>
      </c>
      <c r="E39" s="466">
        <v>144</v>
      </c>
      <c r="F39" s="466">
        <v>82950</v>
      </c>
      <c r="G39" s="466">
        <v>176023</v>
      </c>
      <c r="H39" s="466">
        <v>198599</v>
      </c>
      <c r="I39" s="466">
        <v>228711</v>
      </c>
      <c r="J39" s="467">
        <v>136832</v>
      </c>
      <c r="K39" s="466">
        <v>110684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14638816</v>
      </c>
      <c r="N40" s="497"/>
    </row>
    <row r="41" spans="1:14" ht="13.5" customHeight="1" thickBot="1" x14ac:dyDescent="0.25">
      <c r="A41" s="1736" t="s">
        <v>655</v>
      </c>
      <c r="B41" s="1706"/>
      <c r="C41" s="1688">
        <f>(SUM(C34,C37,C38,C39))</f>
        <v>4383247</v>
      </c>
      <c r="D41" s="1688">
        <f t="shared" ref="D41:L41" si="2">SUM(D34,D37,D38:D39)</f>
        <v>340514</v>
      </c>
      <c r="E41" s="1688">
        <f t="shared" si="2"/>
        <v>144</v>
      </c>
      <c r="F41" s="1688">
        <f t="shared" si="2"/>
        <v>84191</v>
      </c>
      <c r="G41" s="1688">
        <f t="shared" si="2"/>
        <v>176023</v>
      </c>
      <c r="H41" s="1688">
        <f t="shared" si="2"/>
        <v>198599</v>
      </c>
      <c r="I41" s="1688">
        <f t="shared" si="2"/>
        <v>228711</v>
      </c>
      <c r="J41" s="1688">
        <f t="shared" si="2"/>
        <v>136832</v>
      </c>
      <c r="K41" s="1688">
        <f t="shared" si="2"/>
        <v>110684</v>
      </c>
      <c r="L41" s="1688">
        <f t="shared" si="2"/>
        <v>534611</v>
      </c>
      <c r="M41" s="1688">
        <f>SUM(M40)</f>
        <v>14638816</v>
      </c>
      <c r="N41" s="1688">
        <f>SUM(N37)</f>
        <v>1547691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K81" sqref="K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2" t="s">
        <v>1175</v>
      </c>
      <c r="B3" s="2143"/>
      <c r="C3" s="1573"/>
      <c r="D3" s="1574"/>
      <c r="E3" s="1574"/>
      <c r="F3" s="1574"/>
      <c r="G3" s="1574"/>
      <c r="H3" s="1574"/>
      <c r="I3" s="1574"/>
      <c r="J3" s="1574"/>
      <c r="K3" s="1575"/>
      <c r="L3" s="506"/>
    </row>
    <row r="4" spans="1:13" ht="15.75" customHeight="1" x14ac:dyDescent="0.2">
      <c r="A4" s="1928" t="s">
        <v>1499</v>
      </c>
      <c r="B4" s="1929">
        <v>1000</v>
      </c>
      <c r="C4" s="1742">
        <f>'Revenues 9-14'!C109</f>
        <v>2949846</v>
      </c>
      <c r="D4" s="1742">
        <f>'Revenues 9-14'!D109</f>
        <v>546262</v>
      </c>
      <c r="E4" s="1742">
        <f>'Revenues 9-14'!E109</f>
        <v>258910</v>
      </c>
      <c r="F4" s="1742">
        <f>'Revenues 9-14'!F109</f>
        <v>285459</v>
      </c>
      <c r="G4" s="1742">
        <f>'Revenues 9-14'!G109</f>
        <v>427754</v>
      </c>
      <c r="H4" s="1742">
        <f>'Revenues 9-14'!H109</f>
        <v>322629</v>
      </c>
      <c r="I4" s="1742">
        <f>'Revenues 9-14'!I109</f>
        <v>54370</v>
      </c>
      <c r="J4" s="1742">
        <f>'Revenues 9-14'!J109</f>
        <v>406509</v>
      </c>
      <c r="K4" s="1742">
        <f>'Revenues 9-14'!K109</f>
        <v>51844</v>
      </c>
      <c r="L4" s="347"/>
    </row>
    <row r="5" spans="1:13" ht="15.75" customHeight="1" x14ac:dyDescent="0.2">
      <c r="A5" s="1576" t="s">
        <v>1500</v>
      </c>
      <c r="B5" s="1577">
        <v>2000</v>
      </c>
      <c r="C5" s="1743">
        <f>'Revenues 9-14'!C114</f>
        <v>56916</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7012578</v>
      </c>
      <c r="D6" s="1743">
        <f>'Revenues 9-14'!D170</f>
        <v>0</v>
      </c>
      <c r="E6" s="1743">
        <f>'Revenues 9-14'!E170</f>
        <v>0</v>
      </c>
      <c r="F6" s="1743">
        <f>'Revenues 9-14'!F170</f>
        <v>851257</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830553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10849893</v>
      </c>
      <c r="D8" s="1688">
        <f t="shared" ref="D8:K8" si="0">SUM(D4:D7)</f>
        <v>546262</v>
      </c>
      <c r="E8" s="1688">
        <f t="shared" si="0"/>
        <v>258910</v>
      </c>
      <c r="F8" s="1688">
        <f t="shared" si="0"/>
        <v>1136716</v>
      </c>
      <c r="G8" s="1688">
        <f t="shared" si="0"/>
        <v>427754</v>
      </c>
      <c r="H8" s="1688">
        <f t="shared" si="0"/>
        <v>322629</v>
      </c>
      <c r="I8" s="1688">
        <f t="shared" si="0"/>
        <v>54370</v>
      </c>
      <c r="J8" s="1688">
        <f t="shared" si="0"/>
        <v>406509</v>
      </c>
      <c r="K8" s="1688">
        <f t="shared" si="0"/>
        <v>51844</v>
      </c>
      <c r="L8" s="347"/>
    </row>
    <row r="9" spans="1:13" ht="15.75" thickTop="1" x14ac:dyDescent="0.2">
      <c r="A9" s="514" t="s">
        <v>1653</v>
      </c>
      <c r="B9" s="515">
        <v>3998</v>
      </c>
      <c r="C9" s="481">
        <v>3624084</v>
      </c>
      <c r="D9" s="516"/>
      <c r="E9" s="481"/>
      <c r="F9" s="481"/>
      <c r="G9" s="517"/>
      <c r="H9" s="481"/>
      <c r="I9" s="509" t="s">
        <v>1169</v>
      </c>
      <c r="J9" s="478"/>
      <c r="K9" s="481"/>
      <c r="L9" s="347"/>
    </row>
    <row r="10" spans="1:13" s="519" customFormat="1" ht="13.5" thickBot="1" x14ac:dyDescent="0.25">
      <c r="A10" s="1736" t="s">
        <v>1173</v>
      </c>
      <c r="B10" s="1709"/>
      <c r="C10" s="1688">
        <f>SUM(C8:C9)</f>
        <v>14473977</v>
      </c>
      <c r="D10" s="1688">
        <f t="shared" ref="D10:K10" si="1">SUM(D8:D9)</f>
        <v>546262</v>
      </c>
      <c r="E10" s="1688">
        <f t="shared" si="1"/>
        <v>258910</v>
      </c>
      <c r="F10" s="1688">
        <f t="shared" si="1"/>
        <v>1136716</v>
      </c>
      <c r="G10" s="1688">
        <f t="shared" si="1"/>
        <v>427754</v>
      </c>
      <c r="H10" s="1688">
        <f t="shared" si="1"/>
        <v>322629</v>
      </c>
      <c r="I10" s="1688">
        <f t="shared" si="1"/>
        <v>54370</v>
      </c>
      <c r="J10" s="1688">
        <f t="shared" si="1"/>
        <v>406509</v>
      </c>
      <c r="K10" s="1688">
        <f t="shared" si="1"/>
        <v>51844</v>
      </c>
      <c r="L10" s="518"/>
    </row>
    <row r="11" spans="1:13" s="519" customFormat="1" ht="16.7" customHeight="1" thickTop="1" x14ac:dyDescent="0.2">
      <c r="A11" s="2116" t="s">
        <v>1176</v>
      </c>
      <c r="B11" s="2117"/>
      <c r="C11" s="1570"/>
      <c r="D11" s="1571"/>
      <c r="E11" s="1571"/>
      <c r="F11" s="1571"/>
      <c r="G11" s="1571"/>
      <c r="H11" s="1571"/>
      <c r="I11" s="1571"/>
      <c r="J11" s="1571"/>
      <c r="K11" s="1572"/>
      <c r="L11" s="518"/>
    </row>
    <row r="12" spans="1:13" ht="15.75" customHeight="1" x14ac:dyDescent="0.2">
      <c r="A12" s="1576" t="s">
        <v>456</v>
      </c>
      <c r="B12" s="1578">
        <v>1000</v>
      </c>
      <c r="C12" s="1742">
        <f>'Expenditures 15-22'!K33</f>
        <v>5782847</v>
      </c>
      <c r="D12" s="520" t="s">
        <v>1169</v>
      </c>
      <c r="E12" s="468" t="s">
        <v>1169</v>
      </c>
      <c r="F12" s="468" t="s">
        <v>1169</v>
      </c>
      <c r="G12" s="1742">
        <f>'Expenditures 15-22'!K229</f>
        <v>127350</v>
      </c>
      <c r="H12" s="521"/>
      <c r="I12" s="468" t="s">
        <v>1169</v>
      </c>
      <c r="J12" s="468" t="s">
        <v>1169</v>
      </c>
      <c r="K12" s="521" t="s">
        <v>1169</v>
      </c>
      <c r="L12" s="347"/>
    </row>
    <row r="13" spans="1:13" ht="15.75" customHeight="1" x14ac:dyDescent="0.2">
      <c r="A13" s="1576" t="s">
        <v>457</v>
      </c>
      <c r="B13" s="1578">
        <v>2000</v>
      </c>
      <c r="C13" s="1743">
        <f>'Expenditures 15-22'!K74</f>
        <v>3041568</v>
      </c>
      <c r="D13" s="1743">
        <f>'Expenditures 15-22'!K129</f>
        <v>482727</v>
      </c>
      <c r="E13" s="469" t="s">
        <v>1169</v>
      </c>
      <c r="F13" s="1743">
        <f>'Expenditures 15-22'!K184</f>
        <v>1025616</v>
      </c>
      <c r="G13" s="1743">
        <f>'Expenditures 15-22'!K279</f>
        <v>286640</v>
      </c>
      <c r="H13" s="1743">
        <f>'Expenditures 15-22'!K303</f>
        <v>267008</v>
      </c>
      <c r="I13" s="468" t="s">
        <v>1169</v>
      </c>
      <c r="J13" s="1743">
        <f>'Expenditures 15-22'!K330</f>
        <v>430665</v>
      </c>
      <c r="K13" s="1747">
        <f>'Expenditures 15-22'!K352</f>
        <v>0</v>
      </c>
      <c r="L13" s="347"/>
    </row>
    <row r="14" spans="1:13" ht="15.75" customHeight="1" x14ac:dyDescent="0.2">
      <c r="A14" s="1576" t="s">
        <v>449</v>
      </c>
      <c r="B14" s="1578">
        <v>3000</v>
      </c>
      <c r="C14" s="1743">
        <f>'Expenditures 15-22'!K75</f>
        <v>209668</v>
      </c>
      <c r="D14" s="1743">
        <f>'Expenditures 15-22'!K130</f>
        <v>0</v>
      </c>
      <c r="E14" s="520" t="s">
        <v>1169</v>
      </c>
      <c r="F14" s="1743">
        <f>'Expenditures 15-22'!K185</f>
        <v>0</v>
      </c>
      <c r="G14" s="1743">
        <f>'Expenditures 15-22'!K280</f>
        <v>115</v>
      </c>
      <c r="H14" s="512"/>
      <c r="I14" s="468" t="s">
        <v>1169</v>
      </c>
      <c r="J14" s="468" t="s">
        <v>1169</v>
      </c>
      <c r="K14" s="512" t="s">
        <v>1169</v>
      </c>
      <c r="L14" s="347"/>
    </row>
    <row r="15" spans="1:13" ht="15.75" customHeight="1" x14ac:dyDescent="0.2">
      <c r="A15" s="1576" t="s">
        <v>107</v>
      </c>
      <c r="B15" s="1578">
        <v>4000</v>
      </c>
      <c r="C15" s="1743">
        <f>'Expenditures 15-22'!K102</f>
        <v>416723</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264587</v>
      </c>
      <c r="F16" s="1743">
        <f>'Expenditures 15-22'!K208</f>
        <v>108664</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9450806</v>
      </c>
      <c r="D17" s="1688">
        <f t="shared" si="2"/>
        <v>482727</v>
      </c>
      <c r="E17" s="1688">
        <f t="shared" si="2"/>
        <v>264587</v>
      </c>
      <c r="F17" s="1688">
        <f t="shared" si="2"/>
        <v>1134280</v>
      </c>
      <c r="G17" s="1688">
        <f t="shared" si="2"/>
        <v>414105</v>
      </c>
      <c r="H17" s="1688">
        <f t="shared" si="2"/>
        <v>267008</v>
      </c>
      <c r="I17" s="468"/>
      <c r="J17" s="1688">
        <f>SUM(J12:J16)</f>
        <v>430665</v>
      </c>
      <c r="K17" s="1688">
        <f>SUM(K12:K16)</f>
        <v>0</v>
      </c>
      <c r="L17" s="347"/>
    </row>
    <row r="18" spans="1:12" ht="15" customHeight="1" thickTop="1" x14ac:dyDescent="0.2">
      <c r="A18" s="1744" t="s">
        <v>1654</v>
      </c>
      <c r="B18" s="1745">
        <v>4180</v>
      </c>
      <c r="C18" s="1742">
        <f t="shared" ref="C18:H18" si="3">C9</f>
        <v>3624084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13074890</v>
      </c>
      <c r="D19" s="1688">
        <f t="shared" si="4"/>
        <v>482727</v>
      </c>
      <c r="E19" s="1688">
        <f t="shared" si="4"/>
        <v>264587</v>
      </c>
      <c r="F19" s="1688">
        <f t="shared" si="4"/>
        <v>1134280</v>
      </c>
      <c r="G19" s="1688">
        <f t="shared" si="4"/>
        <v>414105</v>
      </c>
      <c r="H19" s="1688">
        <f t="shared" si="4"/>
        <v>267008</v>
      </c>
      <c r="I19" s="468"/>
      <c r="J19" s="1688">
        <f>SUM(J17:J18)</f>
        <v>430665</v>
      </c>
      <c r="K19" s="1688">
        <f>SUM(K17:K18)</f>
        <v>0</v>
      </c>
      <c r="L19" s="347"/>
    </row>
    <row r="20" spans="1:12" ht="16.5" thickTop="1" thickBot="1" x14ac:dyDescent="0.25">
      <c r="A20" s="2132" t="s">
        <v>1655</v>
      </c>
      <c r="B20" s="2133"/>
      <c r="C20" s="1746">
        <f>C8-C17</f>
        <v>1399087</v>
      </c>
      <c r="D20" s="1746">
        <f t="shared" ref="D20:K20" si="5">D8-D17</f>
        <v>63535</v>
      </c>
      <c r="E20" s="1746">
        <f t="shared" si="5"/>
        <v>-5677</v>
      </c>
      <c r="F20" s="1746">
        <f t="shared" si="5"/>
        <v>2436</v>
      </c>
      <c r="G20" s="1746">
        <f t="shared" si="5"/>
        <v>13649</v>
      </c>
      <c r="H20" s="1746">
        <f t="shared" si="5"/>
        <v>55621</v>
      </c>
      <c r="I20" s="1746">
        <f t="shared" si="5"/>
        <v>54370</v>
      </c>
      <c r="J20" s="1746">
        <f t="shared" si="5"/>
        <v>-24156</v>
      </c>
      <c r="K20" s="1746">
        <f t="shared" si="5"/>
        <v>51844</v>
      </c>
      <c r="L20" s="347"/>
    </row>
    <row r="21" spans="1:12" ht="16.7" customHeight="1" thickTop="1" x14ac:dyDescent="0.2">
      <c r="A21" s="2144" t="s">
        <v>595</v>
      </c>
      <c r="B21" s="2145"/>
      <c r="C21" s="1570"/>
      <c r="D21" s="1571"/>
      <c r="E21" s="1571"/>
      <c r="F21" s="1571"/>
      <c r="G21" s="1571"/>
      <c r="H21" s="1571"/>
      <c r="I21" s="1571"/>
      <c r="J21" s="1571"/>
      <c r="K21" s="1572"/>
      <c r="L21" s="524"/>
    </row>
    <row r="22" spans="1:12" ht="15.75" customHeight="1" collapsed="1" x14ac:dyDescent="0.2">
      <c r="A22" s="2140" t="s">
        <v>596</v>
      </c>
      <c r="B22" s="2141"/>
      <c r="C22" s="477"/>
      <c r="D22" s="477"/>
      <c r="E22" s="477"/>
      <c r="F22" s="477"/>
      <c r="G22" s="477"/>
      <c r="H22" s="477"/>
      <c r="I22" s="477"/>
      <c r="J22" s="477"/>
      <c r="K22" s="477"/>
      <c r="L22" s="347"/>
    </row>
    <row r="23" spans="1:12" s="485" customFormat="1" ht="15.75" customHeight="1" x14ac:dyDescent="0.2">
      <c r="A23" s="2136" t="s">
        <v>293</v>
      </c>
      <c r="B23" s="2137"/>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8" t="s">
        <v>981</v>
      </c>
      <c r="B32" s="2139"/>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6" t="s">
        <v>374</v>
      </c>
      <c r="B44" s="2147"/>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2" t="s">
        <v>440</v>
      </c>
      <c r="B76" s="2123"/>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4" t="s">
        <v>1177</v>
      </c>
      <c r="B77" s="2125"/>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8" t="s">
        <v>597</v>
      </c>
      <c r="B78" s="2129"/>
      <c r="C78" s="1702">
        <f t="shared" ref="C78:K78" si="9">C20+C77</f>
        <v>1399087</v>
      </c>
      <c r="D78" s="1702">
        <f t="shared" si="9"/>
        <v>63535</v>
      </c>
      <c r="E78" s="1702">
        <f t="shared" si="9"/>
        <v>-5677</v>
      </c>
      <c r="F78" s="1702">
        <f t="shared" si="9"/>
        <v>2436</v>
      </c>
      <c r="G78" s="1702">
        <f t="shared" si="9"/>
        <v>13649</v>
      </c>
      <c r="H78" s="1702">
        <f t="shared" si="9"/>
        <v>55621</v>
      </c>
      <c r="I78" s="1702">
        <f t="shared" si="9"/>
        <v>54370</v>
      </c>
      <c r="J78" s="1702">
        <f t="shared" si="9"/>
        <v>-24156</v>
      </c>
      <c r="K78" s="1702">
        <f t="shared" si="9"/>
        <v>51844</v>
      </c>
      <c r="L78" s="533"/>
    </row>
    <row r="79" spans="1:12" ht="13.5" thickTop="1" x14ac:dyDescent="0.2">
      <c r="A79" s="1494" t="s">
        <v>1944</v>
      </c>
      <c r="B79" s="534"/>
      <c r="C79" s="478">
        <v>2835601</v>
      </c>
      <c r="D79" s="535">
        <v>276979</v>
      </c>
      <c r="E79" s="535">
        <v>5821</v>
      </c>
      <c r="F79" s="535">
        <v>80514</v>
      </c>
      <c r="G79" s="535">
        <v>172993</v>
      </c>
      <c r="H79" s="535">
        <v>142978</v>
      </c>
      <c r="I79" s="535">
        <v>174341</v>
      </c>
      <c r="J79" s="535">
        <v>160988</v>
      </c>
      <c r="K79" s="535">
        <v>58840</v>
      </c>
      <c r="L79" s="347"/>
    </row>
    <row r="80" spans="1:12" x14ac:dyDescent="0.2">
      <c r="A80" s="2134" t="s">
        <v>1792</v>
      </c>
      <c r="B80" s="2135"/>
      <c r="C80" s="467">
        <v>48610</v>
      </c>
      <c r="D80" s="467"/>
      <c r="E80" s="467"/>
      <c r="F80" s="467"/>
      <c r="G80" s="467">
        <v>-10619</v>
      </c>
      <c r="H80" s="467"/>
      <c r="I80" s="467"/>
      <c r="J80" s="467"/>
      <c r="K80" s="467"/>
      <c r="L80" s="347"/>
    </row>
    <row r="81" spans="1:12" ht="13.5" thickBot="1" x14ac:dyDescent="0.25">
      <c r="A81" s="2126" t="s">
        <v>1945</v>
      </c>
      <c r="B81" s="2127"/>
      <c r="C81" s="1688">
        <f>(SUM(C78:C80))</f>
        <v>4283298</v>
      </c>
      <c r="D81" s="1688">
        <f>SUM(D78:D80)</f>
        <v>340514</v>
      </c>
      <c r="E81" s="1688">
        <f t="shared" ref="E81:K81" si="10">SUM(E78:E80)</f>
        <v>144</v>
      </c>
      <c r="F81" s="1688">
        <f t="shared" si="10"/>
        <v>82950</v>
      </c>
      <c r="G81" s="1688">
        <f t="shared" si="10"/>
        <v>176023</v>
      </c>
      <c r="H81" s="1688">
        <f t="shared" si="10"/>
        <v>198599</v>
      </c>
      <c r="I81" s="1688">
        <f t="shared" si="10"/>
        <v>228711</v>
      </c>
      <c r="J81" s="1688">
        <f t="shared" si="10"/>
        <v>136832</v>
      </c>
      <c r="K81" s="1688">
        <f t="shared" si="10"/>
        <v>110684</v>
      </c>
      <c r="L81" s="347"/>
    </row>
    <row r="82" spans="1:12" ht="0.75" customHeight="1" thickTop="1" thickBot="1" x14ac:dyDescent="0.25">
      <c r="A82" s="536" t="s">
        <v>343</v>
      </c>
      <c r="B82" s="537"/>
      <c r="C82" s="538">
        <f>(C81-C79)</f>
        <v>1447697</v>
      </c>
      <c r="D82" s="538">
        <f t="shared" ref="D82:K82" si="11">(D81-D79)</f>
        <v>63535</v>
      </c>
      <c r="E82" s="538">
        <f t="shared" si="11"/>
        <v>-5677</v>
      </c>
      <c r="F82" s="538">
        <f t="shared" si="11"/>
        <v>2436</v>
      </c>
      <c r="G82" s="538">
        <f t="shared" si="11"/>
        <v>3030</v>
      </c>
      <c r="H82" s="538">
        <f t="shared" si="11"/>
        <v>55621</v>
      </c>
      <c r="I82" s="538">
        <f t="shared" si="11"/>
        <v>54370</v>
      </c>
      <c r="J82" s="538">
        <f t="shared" si="11"/>
        <v>-24156</v>
      </c>
      <c r="K82" s="538">
        <f t="shared" si="11"/>
        <v>51844</v>
      </c>
    </row>
    <row r="83" spans="1:12" ht="14.25" hidden="1" thickTop="1" thickBot="1" x14ac:dyDescent="0.25">
      <c r="A83" s="539" t="s">
        <v>344</v>
      </c>
      <c r="B83" s="464"/>
      <c r="C83" s="540">
        <f>C82/C81</f>
        <v>0.33798652346859825</v>
      </c>
      <c r="D83" s="540">
        <f t="shared" ref="D83:K83" si="12">D82/D81</f>
        <v>0.18658557357406744</v>
      </c>
      <c r="E83" s="540">
        <f t="shared" si="12"/>
        <v>-39.423611111111114</v>
      </c>
      <c r="F83" s="540">
        <f t="shared" si="12"/>
        <v>2.9367088607594936E-2</v>
      </c>
      <c r="G83" s="540">
        <f t="shared" si="12"/>
        <v>1.7213659578577799E-2</v>
      </c>
      <c r="H83" s="540">
        <f t="shared" si="12"/>
        <v>0.28006686841323469</v>
      </c>
      <c r="I83" s="540">
        <f t="shared" si="12"/>
        <v>0.23772359003283619</v>
      </c>
      <c r="J83" s="540">
        <f t="shared" si="12"/>
        <v>-0.17653765201122545</v>
      </c>
      <c r="K83" s="540">
        <f t="shared" si="12"/>
        <v>0.46839651620830475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9"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1799</v>
      </c>
      <c r="B1" s="452"/>
      <c r="C1" s="453" t="s">
        <v>425</v>
      </c>
      <c r="D1" s="453" t="s">
        <v>426</v>
      </c>
      <c r="E1" s="453" t="s">
        <v>427</v>
      </c>
      <c r="F1" s="453" t="s">
        <v>428</v>
      </c>
      <c r="G1" s="453" t="s">
        <v>429</v>
      </c>
      <c r="H1" s="453" t="s">
        <v>430</v>
      </c>
      <c r="I1" s="453" t="s">
        <v>431</v>
      </c>
      <c r="J1" s="453" t="s">
        <v>432</v>
      </c>
      <c r="K1" s="453" t="s">
        <v>756</v>
      </c>
    </row>
    <row r="2" spans="1:12" ht="36" x14ac:dyDescent="0.2">
      <c r="A2" s="213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1994232</v>
      </c>
      <c r="D5" s="481">
        <v>498558</v>
      </c>
      <c r="E5" s="466">
        <v>236183</v>
      </c>
      <c r="F5" s="548">
        <v>199423</v>
      </c>
      <c r="G5" s="466">
        <v>220814</v>
      </c>
      <c r="H5" s="466"/>
      <c r="I5" s="466">
        <v>49856</v>
      </c>
      <c r="J5" s="467">
        <v>402012</v>
      </c>
      <c r="K5" s="466">
        <v>49856</v>
      </c>
    </row>
    <row r="6" spans="1:12" ht="15" x14ac:dyDescent="0.2">
      <c r="A6" s="463" t="s">
        <v>1662</v>
      </c>
      <c r="B6" s="470">
        <v>1130</v>
      </c>
      <c r="C6" s="466"/>
      <c r="D6" s="466"/>
      <c r="E6" s="475"/>
      <c r="F6" s="475"/>
      <c r="G6" s="468"/>
      <c r="H6" s="468"/>
      <c r="I6" s="468"/>
      <c r="J6" s="468"/>
      <c r="K6" s="468"/>
    </row>
    <row r="7" spans="1:12" x14ac:dyDescent="0.2">
      <c r="A7" s="463" t="s">
        <v>110</v>
      </c>
      <c r="B7" s="549">
        <v>1140</v>
      </c>
      <c r="C7" s="466">
        <v>39885</v>
      </c>
      <c r="D7" s="466"/>
      <c r="E7" s="468"/>
      <c r="F7" s="467"/>
      <c r="G7" s="467"/>
      <c r="H7" s="467"/>
      <c r="I7" s="468"/>
      <c r="J7" s="468"/>
      <c r="K7" s="468"/>
    </row>
    <row r="8" spans="1:12" x14ac:dyDescent="0.2">
      <c r="A8" s="463" t="s">
        <v>413</v>
      </c>
      <c r="B8" s="470">
        <v>1150</v>
      </c>
      <c r="C8" s="475"/>
      <c r="D8" s="475"/>
      <c r="E8" s="477"/>
      <c r="F8" s="477"/>
      <c r="G8" s="481">
        <v>180909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2034117</v>
      </c>
      <c r="D12" s="1707">
        <f t="shared" si="0"/>
        <v>498558</v>
      </c>
      <c r="E12" s="1707">
        <f t="shared" si="0"/>
        <v>236183</v>
      </c>
      <c r="F12" s="1707">
        <f t="shared" si="0"/>
        <v>199423</v>
      </c>
      <c r="G12" s="1707">
        <f t="shared" si="0"/>
        <v>401723</v>
      </c>
      <c r="H12" s="1707">
        <f t="shared" si="0"/>
        <v>0</v>
      </c>
      <c r="I12" s="1707">
        <f t="shared" si="0"/>
        <v>49856</v>
      </c>
      <c r="J12" s="1707">
        <f t="shared" si="0"/>
        <v>402012</v>
      </c>
      <c r="K12" s="1688">
        <f t="shared" si="0"/>
        <v>49856</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263096</v>
      </c>
      <c r="D16" s="466"/>
      <c r="E16" s="466"/>
      <c r="F16" s="466"/>
      <c r="G16" s="466">
        <v>21208</v>
      </c>
      <c r="H16" s="466"/>
      <c r="I16" s="466"/>
      <c r="J16" s="467"/>
      <c r="K16" s="466"/>
    </row>
    <row r="17" spans="1:11" ht="12.75" customHeight="1" x14ac:dyDescent="0.2">
      <c r="A17" s="463" t="s">
        <v>807</v>
      </c>
      <c r="B17" s="470">
        <v>1290</v>
      </c>
      <c r="C17" s="551">
        <v>775</v>
      </c>
      <c r="D17" s="466"/>
      <c r="E17" s="466"/>
      <c r="F17" s="466"/>
      <c r="G17" s="466"/>
      <c r="H17" s="466"/>
      <c r="I17" s="466"/>
      <c r="J17" s="467"/>
      <c r="K17" s="466"/>
    </row>
    <row r="18" spans="1:11" ht="12.75" customHeight="1" thickBot="1" x14ac:dyDescent="0.25">
      <c r="A18" s="1708" t="s">
        <v>537</v>
      </c>
      <c r="B18" s="1709"/>
      <c r="C18" s="1710">
        <f>SUM(C14:C17)</f>
        <v>263871</v>
      </c>
      <c r="D18" s="1710">
        <f t="shared" ref="D18:K18" si="1">SUM(D14:D17)</f>
        <v>0</v>
      </c>
      <c r="E18" s="1710">
        <f t="shared" si="1"/>
        <v>0</v>
      </c>
      <c r="F18" s="1710">
        <f t="shared" si="1"/>
        <v>0</v>
      </c>
      <c r="G18" s="1710">
        <f t="shared" si="1"/>
        <v>21208</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40128</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40128</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97182</v>
      </c>
      <c r="D65" s="466">
        <v>8037</v>
      </c>
      <c r="E65" s="466">
        <v>118</v>
      </c>
      <c r="F65" s="467">
        <v>121</v>
      </c>
      <c r="G65" s="466">
        <v>4823</v>
      </c>
      <c r="H65" s="466">
        <v>4407</v>
      </c>
      <c r="I65" s="466">
        <v>4514</v>
      </c>
      <c r="J65" s="467">
        <v>4497</v>
      </c>
      <c r="K65" s="466">
        <v>1988</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97182</v>
      </c>
      <c r="D67" s="1688">
        <f t="shared" ref="D67:K67" si="2">SUM(D65:D66)</f>
        <v>8037</v>
      </c>
      <c r="E67" s="1688">
        <f t="shared" si="2"/>
        <v>118</v>
      </c>
      <c r="F67" s="1688">
        <f t="shared" si="2"/>
        <v>121</v>
      </c>
      <c r="G67" s="1688">
        <f t="shared" si="2"/>
        <v>4823</v>
      </c>
      <c r="H67" s="1688">
        <f t="shared" si="2"/>
        <v>4407</v>
      </c>
      <c r="I67" s="1688">
        <f t="shared" si="2"/>
        <v>4514</v>
      </c>
      <c r="J67" s="1688">
        <f t="shared" si="2"/>
        <v>4497</v>
      </c>
      <c r="K67" s="1688">
        <f t="shared" si="2"/>
        <v>1988</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184166</v>
      </c>
      <c r="D69" s="468"/>
      <c r="E69" s="468"/>
      <c r="F69" s="468"/>
      <c r="G69" s="468"/>
      <c r="H69" s="468"/>
      <c r="I69" s="468"/>
      <c r="J69" s="468"/>
      <c r="K69" s="468"/>
    </row>
    <row r="70" spans="1:11" ht="12.75" customHeight="1" x14ac:dyDescent="0.2">
      <c r="A70" s="463" t="s">
        <v>997</v>
      </c>
      <c r="B70" s="470">
        <v>1612</v>
      </c>
      <c r="C70" s="551">
        <v>1891</v>
      </c>
      <c r="D70" s="468"/>
      <c r="E70" s="468"/>
      <c r="F70" s="468"/>
      <c r="G70" s="468"/>
      <c r="H70" s="468"/>
      <c r="I70" s="468"/>
      <c r="J70" s="468"/>
      <c r="K70" s="468"/>
    </row>
    <row r="71" spans="1:11" ht="12.75" customHeight="1" x14ac:dyDescent="0.2">
      <c r="A71" s="463" t="s">
        <v>273</v>
      </c>
      <c r="B71" s="470">
        <v>1613</v>
      </c>
      <c r="C71" s="551">
        <v>169</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8747</v>
      </c>
      <c r="D73" s="468"/>
      <c r="E73" s="468"/>
      <c r="F73" s="468"/>
      <c r="G73" s="468"/>
      <c r="H73" s="468"/>
      <c r="I73" s="468"/>
      <c r="J73" s="468"/>
      <c r="K73" s="468"/>
    </row>
    <row r="74" spans="1:11" ht="12.75" customHeight="1" x14ac:dyDescent="0.2">
      <c r="A74" s="463" t="s">
        <v>25</v>
      </c>
      <c r="B74" s="470">
        <v>1690</v>
      </c>
      <c r="C74" s="551">
        <v>3925</v>
      </c>
      <c r="D74" s="468"/>
      <c r="E74" s="468"/>
      <c r="F74" s="468"/>
      <c r="G74" s="468"/>
      <c r="H74" s="468"/>
      <c r="I74" s="468"/>
      <c r="J74" s="468"/>
      <c r="K74" s="468"/>
    </row>
    <row r="75" spans="1:11" ht="12.75" customHeight="1" thickBot="1" x14ac:dyDescent="0.25">
      <c r="A75" s="1708" t="s">
        <v>548</v>
      </c>
      <c r="B75" s="1709"/>
      <c r="C75" s="1688">
        <f>SUM(C69:C74)</f>
        <v>198898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45098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24976</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70074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19354</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19354</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1321</v>
      </c>
      <c r="E95" s="521"/>
      <c r="F95" s="521"/>
      <c r="G95" s="521"/>
      <c r="H95" s="521"/>
      <c r="I95" s="521"/>
      <c r="J95" s="521"/>
      <c r="K95" s="521"/>
    </row>
    <row r="96" spans="1:11" ht="12.75" customHeight="1" x14ac:dyDescent="0.2">
      <c r="A96" s="463" t="s">
        <v>391</v>
      </c>
      <c r="B96" s="470">
        <v>1920</v>
      </c>
      <c r="C96" s="551">
        <v>109000</v>
      </c>
      <c r="D96" s="551"/>
      <c r="E96" s="479"/>
      <c r="F96" s="478"/>
      <c r="G96" s="478"/>
      <c r="H96" s="478">
        <v>500</v>
      </c>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21110</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10280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22609</v>
      </c>
      <c r="F103" s="468"/>
      <c r="G103" s="468"/>
      <c r="H103" s="489">
        <v>317722</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125960</v>
      </c>
      <c r="D107" s="466">
        <v>38346</v>
      </c>
      <c r="E107" s="466"/>
      <c r="F107" s="466">
        <v>45787</v>
      </c>
      <c r="G107" s="466"/>
      <c r="H107" s="466"/>
      <c r="I107" s="466"/>
      <c r="J107" s="467"/>
      <c r="K107" s="466"/>
    </row>
    <row r="108" spans="1:12" ht="12.75" customHeight="1" thickBot="1" x14ac:dyDescent="0.25">
      <c r="A108" s="1708" t="s">
        <v>487</v>
      </c>
      <c r="B108" s="1712"/>
      <c r="C108" s="1707">
        <f>SUM(C95:C107)</f>
        <v>266350</v>
      </c>
      <c r="D108" s="1707">
        <f t="shared" ref="D108:K108" si="3">SUM(D95:D107)</f>
        <v>39667</v>
      </c>
      <c r="E108" s="1707">
        <f t="shared" si="3"/>
        <v>22609</v>
      </c>
      <c r="F108" s="1707">
        <f t="shared" si="3"/>
        <v>45787</v>
      </c>
      <c r="G108" s="1707">
        <f t="shared" si="3"/>
        <v>0</v>
      </c>
      <c r="H108" s="1707">
        <f t="shared" si="3"/>
        <v>318222</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2949846</v>
      </c>
      <c r="D109" s="1715">
        <f t="shared" si="4"/>
        <v>546262</v>
      </c>
      <c r="E109" s="1715">
        <f t="shared" si="4"/>
        <v>258910</v>
      </c>
      <c r="F109" s="1715">
        <f t="shared" si="4"/>
        <v>285459</v>
      </c>
      <c r="G109" s="1715">
        <f t="shared" si="4"/>
        <v>427754</v>
      </c>
      <c r="H109" s="1715">
        <f t="shared" si="4"/>
        <v>322629</v>
      </c>
      <c r="I109" s="1715">
        <f t="shared" si="4"/>
        <v>54370</v>
      </c>
      <c r="J109" s="1715">
        <f t="shared" si="4"/>
        <v>406509</v>
      </c>
      <c r="K109" s="1702">
        <f t="shared" si="4"/>
        <v>51844</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25472</v>
      </c>
      <c r="D111" s="481"/>
      <c r="E111" s="561"/>
      <c r="F111" s="481"/>
      <c r="G111" s="481"/>
      <c r="H111" s="561"/>
      <c r="I111" s="468"/>
      <c r="J111" s="468"/>
      <c r="K111" s="468"/>
    </row>
    <row r="112" spans="1:12" ht="12.75" customHeight="1" x14ac:dyDescent="0.2">
      <c r="A112" s="463" t="s">
        <v>824</v>
      </c>
      <c r="B112" s="470">
        <v>2200</v>
      </c>
      <c r="C112" s="551">
        <v>31444</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56916</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5682491</v>
      </c>
      <c r="D117" s="481"/>
      <c r="E117" s="466"/>
      <c r="F117" s="481">
        <v>400000</v>
      </c>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5682491</v>
      </c>
      <c r="D122" s="1707">
        <f t="shared" si="5"/>
        <v>0</v>
      </c>
      <c r="E122" s="1707">
        <f t="shared" si="5"/>
        <v>0</v>
      </c>
      <c r="F122" s="1707">
        <f t="shared" si="5"/>
        <v>400000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64269</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64269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21019</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21019</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6771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19161</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410342</v>
      </c>
      <c r="G152" s="467"/>
      <c r="H152" s="468"/>
      <c r="I152" s="468"/>
      <c r="J152" s="468"/>
      <c r="K152" s="468"/>
    </row>
    <row r="153" spans="1:11" ht="12.75" customHeight="1" x14ac:dyDescent="0.2">
      <c r="A153" s="463" t="s">
        <v>1057</v>
      </c>
      <c r="B153" s="562">
        <v>3510</v>
      </c>
      <c r="C153" s="551"/>
      <c r="D153" s="466"/>
      <c r="E153" s="561"/>
      <c r="F153" s="466">
        <v>40915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451257</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v>40196</v>
      </c>
      <c r="D158" s="468"/>
      <c r="E158" s="561"/>
      <c r="F158" s="576"/>
      <c r="G158" s="576"/>
      <c r="H158" s="468"/>
      <c r="I158" s="468"/>
      <c r="J158" s="468"/>
      <c r="K158" s="468"/>
    </row>
    <row r="159" spans="1:11" ht="12.75" customHeight="1" thickTop="1" thickBot="1" x14ac:dyDescent="0.25">
      <c r="A159" s="1500" t="s">
        <v>1051</v>
      </c>
      <c r="B159" s="574">
        <v>3705</v>
      </c>
      <c r="C159" s="576">
        <v>956675</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221996</v>
      </c>
      <c r="D168" s="580"/>
      <c r="E168" s="580"/>
      <c r="F168" s="580"/>
      <c r="G168" s="581"/>
      <c r="H168" s="582"/>
      <c r="I168" s="581"/>
      <c r="J168" s="581"/>
      <c r="K168" s="582"/>
    </row>
    <row r="169" spans="1:11" ht="12.75" customHeight="1" thickTop="1" thickBot="1" x14ac:dyDescent="0.25">
      <c r="A169" s="2150" t="s">
        <v>398</v>
      </c>
      <c r="B169" s="2151"/>
      <c r="C169" s="1722">
        <f t="shared" ref="C169:K169" si="6">SUM(C132,C141,C145,C146:C150,C155,C156:C167,C168)</f>
        <v>1330087</v>
      </c>
      <c r="D169" s="1722">
        <f t="shared" si="6"/>
        <v>0</v>
      </c>
      <c r="E169" s="1722">
        <f t="shared" si="6"/>
        <v>0</v>
      </c>
      <c r="F169" s="1722">
        <f t="shared" si="6"/>
        <v>451257</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7012578</v>
      </c>
      <c r="D170" s="1715">
        <f t="shared" si="7"/>
        <v>0</v>
      </c>
      <c r="E170" s="1715">
        <f t="shared" si="7"/>
        <v>0</v>
      </c>
      <c r="F170" s="1715">
        <f t="shared" si="7"/>
        <v>851257</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2" t="s">
        <v>1492</v>
      </c>
      <c r="B172" s="2153"/>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6" t="s">
        <v>1665</v>
      </c>
      <c r="B175" s="2157"/>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0" t="s">
        <v>1664</v>
      </c>
      <c r="B176" s="2161"/>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8" t="s">
        <v>785</v>
      </c>
      <c r="B181" s="2159"/>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4" t="s">
        <v>1800</v>
      </c>
      <c r="B182" s="2155"/>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266500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78866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345366</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412559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5484</v>
      </c>
      <c r="D203" s="466"/>
      <c r="E203" s="468"/>
      <c r="F203" s="466"/>
      <c r="G203" s="466"/>
      <c r="H203" s="468"/>
      <c r="I203" s="468"/>
      <c r="J203" s="468"/>
      <c r="K203" s="468"/>
    </row>
    <row r="204" spans="1:11" ht="12.75" customHeight="1" thickBot="1" x14ac:dyDescent="0.25">
      <c r="A204" s="1708" t="s">
        <v>400</v>
      </c>
      <c r="B204" s="1709"/>
      <c r="C204" s="1707">
        <f>SUM(C200:C203)</f>
        <v>418043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32812</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32812</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28912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1932</v>
      </c>
      <c r="B261" s="470">
        <v>4981</v>
      </c>
      <c r="C261" s="575"/>
      <c r="D261" s="576"/>
      <c r="E261" s="468"/>
      <c r="F261" s="576"/>
      <c r="G261" s="576"/>
      <c r="H261" s="468"/>
      <c r="I261" s="468"/>
      <c r="J261" s="468"/>
      <c r="K261" s="468"/>
    </row>
    <row r="262" spans="1:11" ht="12.75" customHeight="1" thickTop="1" thickBot="1" x14ac:dyDescent="0.25">
      <c r="A262" s="1931"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5062</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v>358</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830553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830553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10849893</v>
      </c>
      <c r="D268" s="1715">
        <f t="shared" si="12"/>
        <v>546262</v>
      </c>
      <c r="E268" s="1715">
        <f t="shared" si="12"/>
        <v>258910</v>
      </c>
      <c r="F268" s="1715">
        <f t="shared" si="12"/>
        <v>1136716</v>
      </c>
      <c r="G268" s="1715">
        <f t="shared" si="12"/>
        <v>427754</v>
      </c>
      <c r="H268" s="1715">
        <f t="shared" si="12"/>
        <v>322629</v>
      </c>
      <c r="I268" s="1715">
        <f t="shared" si="12"/>
        <v>54370</v>
      </c>
      <c r="J268" s="1715">
        <f t="shared" si="12"/>
        <v>406509</v>
      </c>
      <c r="K268" s="1702">
        <f t="shared" si="12"/>
        <v>51844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54" activePane="bottomLeft" state="frozen"/>
      <selection pane="bottomLeft" activeCell="C349" sqref="C34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8" t="s">
        <v>297</v>
      </c>
      <c r="B3" s="2169"/>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3003696</v>
      </c>
      <c r="D5" s="466">
        <v>628134</v>
      </c>
      <c r="E5" s="466">
        <v>32016</v>
      </c>
      <c r="F5" s="466">
        <v>66657</v>
      </c>
      <c r="G5" s="466">
        <v>4828</v>
      </c>
      <c r="H5" s="466">
        <v>10465</v>
      </c>
      <c r="I5" s="467"/>
      <c r="J5" s="467"/>
      <c r="K5" s="1671">
        <f>SUM(C5:J5)</f>
        <v>3745796</v>
      </c>
      <c r="L5" s="466">
        <v>2109318</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213307</v>
      </c>
      <c r="D7" s="467">
        <v>55808</v>
      </c>
      <c r="E7" s="467">
        <v>5372</v>
      </c>
      <c r="F7" s="467">
        <v>33308</v>
      </c>
      <c r="G7" s="467">
        <v>13739</v>
      </c>
      <c r="H7" s="467"/>
      <c r="I7" s="467"/>
      <c r="J7" s="467"/>
      <c r="K7" s="1671">
        <f t="shared" ref="K7:K32" si="0">SUM(C7:J7)</f>
        <v>321534</v>
      </c>
      <c r="L7" s="466">
        <v>1982743</v>
      </c>
    </row>
    <row r="8" spans="1:14" x14ac:dyDescent="0.2">
      <c r="A8" s="1504" t="s">
        <v>164</v>
      </c>
      <c r="B8" s="614">
        <v>1200</v>
      </c>
      <c r="C8" s="466">
        <v>892860</v>
      </c>
      <c r="D8" s="466">
        <v>184351</v>
      </c>
      <c r="E8" s="466">
        <v>212</v>
      </c>
      <c r="F8" s="466">
        <v>2303</v>
      </c>
      <c r="G8" s="466"/>
      <c r="H8" s="466"/>
      <c r="I8" s="467"/>
      <c r="J8" s="467"/>
      <c r="K8" s="1671">
        <f t="shared" si="0"/>
        <v>1079726</v>
      </c>
      <c r="L8" s="466">
        <v>1078786</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163470</v>
      </c>
      <c r="D10" s="466">
        <v>48946</v>
      </c>
      <c r="E10" s="466">
        <v>54313</v>
      </c>
      <c r="F10" s="466">
        <v>86699</v>
      </c>
      <c r="G10" s="466">
        <v>8000</v>
      </c>
      <c r="H10" s="466"/>
      <c r="I10" s="467"/>
      <c r="J10" s="467"/>
      <c r="K10" s="1671">
        <f t="shared" si="0"/>
        <v>361428</v>
      </c>
      <c r="L10" s="466">
        <v>309477</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v>20137</v>
      </c>
      <c r="G13" s="466">
        <v>27230</v>
      </c>
      <c r="H13" s="466"/>
      <c r="I13" s="467"/>
      <c r="J13" s="467"/>
      <c r="K13" s="1671">
        <f t="shared" si="0"/>
        <v>47367</v>
      </c>
      <c r="L13" s="466">
        <v>45800</v>
      </c>
    </row>
    <row r="14" spans="1:14" x14ac:dyDescent="0.2">
      <c r="A14" s="1504" t="s">
        <v>963</v>
      </c>
      <c r="B14" s="614">
        <v>1500</v>
      </c>
      <c r="C14" s="466">
        <v>123995</v>
      </c>
      <c r="D14" s="466">
        <v>9872</v>
      </c>
      <c r="E14" s="466">
        <v>58078</v>
      </c>
      <c r="F14" s="466">
        <v>23542</v>
      </c>
      <c r="G14" s="466">
        <v>1566</v>
      </c>
      <c r="H14" s="466">
        <v>9943</v>
      </c>
      <c r="I14" s="467"/>
      <c r="J14" s="467"/>
      <c r="K14" s="1671">
        <f t="shared" si="0"/>
        <v>226996</v>
      </c>
      <c r="L14" s="466">
        <v>249410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4397328</v>
      </c>
      <c r="D33" s="1670">
        <f t="shared" ref="D33:L33" si="1">SUM(D5:D32)</f>
        <v>927111</v>
      </c>
      <c r="E33" s="1670">
        <f t="shared" si="1"/>
        <v>149991</v>
      </c>
      <c r="F33" s="1670">
        <f t="shared" si="1"/>
        <v>232646</v>
      </c>
      <c r="G33" s="1670">
        <f t="shared" si="1"/>
        <v>55363</v>
      </c>
      <c r="H33" s="1670">
        <f t="shared" si="1"/>
        <v>20408</v>
      </c>
      <c r="I33" s="1670">
        <f t="shared" si="1"/>
        <v>0</v>
      </c>
      <c r="J33" s="1670">
        <f t="shared" si="1"/>
        <v>0</v>
      </c>
      <c r="K33" s="1670">
        <f t="shared" si="1"/>
        <v>5782847</v>
      </c>
      <c r="L33" s="1670">
        <f t="shared" si="1"/>
        <v>5775534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123564</v>
      </c>
      <c r="D37" s="466">
        <v>33238</v>
      </c>
      <c r="E37" s="466">
        <v>365</v>
      </c>
      <c r="F37" s="466"/>
      <c r="G37" s="466"/>
      <c r="H37" s="466"/>
      <c r="I37" s="467"/>
      <c r="J37" s="467"/>
      <c r="K37" s="1671">
        <f t="shared" si="2"/>
        <v>157167</v>
      </c>
      <c r="L37" s="466">
        <v>154240</v>
      </c>
    </row>
    <row r="38" spans="1:14" x14ac:dyDescent="0.2">
      <c r="A38" s="1504" t="s">
        <v>198</v>
      </c>
      <c r="B38" s="614">
        <v>2130</v>
      </c>
      <c r="C38" s="466">
        <v>77559</v>
      </c>
      <c r="D38" s="466">
        <v>19792</v>
      </c>
      <c r="E38" s="466">
        <v>127</v>
      </c>
      <c r="F38" s="466">
        <v>1706</v>
      </c>
      <c r="G38" s="466">
        <v>890</v>
      </c>
      <c r="H38" s="466">
        <v>70</v>
      </c>
      <c r="I38" s="467"/>
      <c r="J38" s="467"/>
      <c r="K38" s="1671">
        <f t="shared" si="2"/>
        <v>100144</v>
      </c>
      <c r="L38" s="466">
        <v>99732</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115003</v>
      </c>
      <c r="D40" s="466">
        <v>13759</v>
      </c>
      <c r="E40" s="466">
        <v>177</v>
      </c>
      <c r="F40" s="466">
        <v>328</v>
      </c>
      <c r="G40" s="466"/>
      <c r="H40" s="466"/>
      <c r="I40" s="467"/>
      <c r="J40" s="467"/>
      <c r="K40" s="1671">
        <f t="shared" si="2"/>
        <v>129267</v>
      </c>
      <c r="L40" s="466">
        <v>129650</v>
      </c>
    </row>
    <row r="41" spans="1:14" x14ac:dyDescent="0.2">
      <c r="A41" s="1504" t="s">
        <v>1669</v>
      </c>
      <c r="B41" s="614">
        <v>2190</v>
      </c>
      <c r="C41" s="466"/>
      <c r="D41" s="466"/>
      <c r="E41" s="466"/>
      <c r="F41" s="466">
        <v>2378</v>
      </c>
      <c r="G41" s="466"/>
      <c r="H41" s="466"/>
      <c r="I41" s="467"/>
      <c r="J41" s="467"/>
      <c r="K41" s="1671">
        <f t="shared" si="2"/>
        <v>2378</v>
      </c>
      <c r="L41" s="466">
        <v>1600</v>
      </c>
    </row>
    <row r="42" spans="1:14" ht="12.75" customHeight="1" thickBot="1" x14ac:dyDescent="0.25">
      <c r="A42" s="1668" t="s">
        <v>560</v>
      </c>
      <c r="B42" s="1669" t="s">
        <v>716</v>
      </c>
      <c r="C42" s="1670">
        <f>SUM(C36:C41)</f>
        <v>316126</v>
      </c>
      <c r="D42" s="1670">
        <f t="shared" ref="D42:L42" si="3">SUM(D36:D41)</f>
        <v>66789</v>
      </c>
      <c r="E42" s="1670">
        <f t="shared" si="3"/>
        <v>669</v>
      </c>
      <c r="F42" s="1670">
        <f t="shared" si="3"/>
        <v>4412</v>
      </c>
      <c r="G42" s="1670">
        <f t="shared" si="3"/>
        <v>890</v>
      </c>
      <c r="H42" s="1670">
        <f t="shared" si="3"/>
        <v>70</v>
      </c>
      <c r="I42" s="1670">
        <f t="shared" si="3"/>
        <v>0</v>
      </c>
      <c r="J42" s="1670">
        <f t="shared" si="3"/>
        <v>0</v>
      </c>
      <c r="K42" s="1670">
        <f t="shared" si="3"/>
        <v>388956</v>
      </c>
      <c r="L42" s="1670">
        <f t="shared" si="3"/>
        <v>385222</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59282</v>
      </c>
      <c r="D44" s="481">
        <v>11808</v>
      </c>
      <c r="E44" s="481">
        <v>32090</v>
      </c>
      <c r="F44" s="481">
        <v>5757</v>
      </c>
      <c r="G44" s="481">
        <v>2607</v>
      </c>
      <c r="H44" s="481"/>
      <c r="I44" s="467"/>
      <c r="J44" s="467"/>
      <c r="K44" s="1672">
        <f>SUM(C44:J44)</f>
        <v>111544</v>
      </c>
      <c r="L44" s="481">
        <v>149013</v>
      </c>
    </row>
    <row r="45" spans="1:14" x14ac:dyDescent="0.2">
      <c r="A45" s="1504" t="s">
        <v>815</v>
      </c>
      <c r="B45" s="614">
        <v>2220</v>
      </c>
      <c r="C45" s="466">
        <v>67829</v>
      </c>
      <c r="D45" s="466">
        <v>21211</v>
      </c>
      <c r="E45" s="466">
        <v>3833</v>
      </c>
      <c r="F45" s="466">
        <v>3122</v>
      </c>
      <c r="G45" s="466"/>
      <c r="H45" s="466"/>
      <c r="I45" s="467"/>
      <c r="J45" s="467"/>
      <c r="K45" s="1672">
        <f>SUM(C45:J45)</f>
        <v>95995</v>
      </c>
      <c r="L45" s="466">
        <v>92216</v>
      </c>
    </row>
    <row r="46" spans="1:14" x14ac:dyDescent="0.2">
      <c r="A46" s="1504" t="s">
        <v>816</v>
      </c>
      <c r="B46" s="614">
        <v>2230</v>
      </c>
      <c r="C46" s="466"/>
      <c r="D46" s="466"/>
      <c r="E46" s="466"/>
      <c r="F46" s="466"/>
      <c r="G46" s="466"/>
      <c r="H46" s="466"/>
      <c r="I46" s="467"/>
      <c r="J46" s="467"/>
      <c r="K46" s="1672">
        <f>SUM(C46:J46)</f>
        <v>0</v>
      </c>
      <c r="L46" s="466">
        <v>4180</v>
      </c>
    </row>
    <row r="47" spans="1:14" ht="12.75" customHeight="1" thickBot="1" x14ac:dyDescent="0.25">
      <c r="A47" s="1668" t="s">
        <v>561</v>
      </c>
      <c r="B47" s="1669" t="s">
        <v>32</v>
      </c>
      <c r="C47" s="1670">
        <f>SUM(C44:C46)</f>
        <v>127111</v>
      </c>
      <c r="D47" s="1670">
        <f t="shared" ref="D47:K47" si="4">SUM(D44:D46)</f>
        <v>33019</v>
      </c>
      <c r="E47" s="1670">
        <f t="shared" si="4"/>
        <v>35923</v>
      </c>
      <c r="F47" s="1670">
        <f t="shared" si="4"/>
        <v>8879</v>
      </c>
      <c r="G47" s="1670">
        <f t="shared" si="4"/>
        <v>2607</v>
      </c>
      <c r="H47" s="1670">
        <f t="shared" si="4"/>
        <v>0</v>
      </c>
      <c r="I47" s="1670">
        <f t="shared" si="4"/>
        <v>0</v>
      </c>
      <c r="J47" s="1670">
        <f t="shared" si="4"/>
        <v>0</v>
      </c>
      <c r="K47" s="1670">
        <f t="shared" si="4"/>
        <v>207539</v>
      </c>
      <c r="L47" s="1670">
        <f>SUM(L44:L46)</f>
        <v>245409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1960</v>
      </c>
      <c r="D49" s="481"/>
      <c r="E49" s="481">
        <v>60197</v>
      </c>
      <c r="F49" s="481">
        <v>2604</v>
      </c>
      <c r="G49" s="481"/>
      <c r="H49" s="481">
        <v>12748</v>
      </c>
      <c r="I49" s="467"/>
      <c r="J49" s="467"/>
      <c r="K49" s="1672">
        <f>SUM(C49:J49)</f>
        <v>77509</v>
      </c>
      <c r="L49" s="481">
        <v>56300</v>
      </c>
    </row>
    <row r="50" spans="1:14" x14ac:dyDescent="0.2">
      <c r="A50" s="1504" t="s">
        <v>818</v>
      </c>
      <c r="B50" s="614">
        <v>2320</v>
      </c>
      <c r="C50" s="466">
        <v>126251</v>
      </c>
      <c r="D50" s="466">
        <v>17078</v>
      </c>
      <c r="E50" s="466">
        <v>6104</v>
      </c>
      <c r="F50" s="466">
        <v>200</v>
      </c>
      <c r="G50" s="466"/>
      <c r="H50" s="466">
        <v>1435</v>
      </c>
      <c r="I50" s="467"/>
      <c r="J50" s="467"/>
      <c r="K50" s="1672">
        <f>SUM(C50:J50)</f>
        <v>151068</v>
      </c>
      <c r="L50" s="466">
        <v>147500</v>
      </c>
    </row>
    <row r="51" spans="1:14" x14ac:dyDescent="0.2">
      <c r="A51" s="1504" t="s">
        <v>42</v>
      </c>
      <c r="B51" s="614">
        <v>2330</v>
      </c>
      <c r="C51" s="466">
        <v>22148</v>
      </c>
      <c r="D51" s="466">
        <v>4878</v>
      </c>
      <c r="E51" s="466">
        <v>3312</v>
      </c>
      <c r="F51" s="466">
        <v>1224</v>
      </c>
      <c r="G51" s="466"/>
      <c r="H51" s="466"/>
      <c r="I51" s="467"/>
      <c r="J51" s="467"/>
      <c r="K51" s="1672">
        <f>SUM(C51:J51)</f>
        <v>31562</v>
      </c>
      <c r="L51" s="466">
        <v>33829</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150359</v>
      </c>
      <c r="D53" s="1670">
        <f t="shared" ref="D53:L53" si="5">SUM(D49:D52)</f>
        <v>21956</v>
      </c>
      <c r="E53" s="1670">
        <f t="shared" si="5"/>
        <v>69613</v>
      </c>
      <c r="F53" s="1670">
        <f t="shared" si="5"/>
        <v>4028</v>
      </c>
      <c r="G53" s="1670">
        <f t="shared" si="5"/>
        <v>0</v>
      </c>
      <c r="H53" s="1670">
        <f t="shared" si="5"/>
        <v>14183</v>
      </c>
      <c r="I53" s="1670">
        <f t="shared" si="5"/>
        <v>0</v>
      </c>
      <c r="J53" s="1670">
        <f t="shared" si="5"/>
        <v>0</v>
      </c>
      <c r="K53" s="1670">
        <f t="shared" si="5"/>
        <v>260139</v>
      </c>
      <c r="L53" s="1670">
        <f t="shared" si="5"/>
        <v>237629</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341643</v>
      </c>
      <c r="D55" s="481">
        <v>63258</v>
      </c>
      <c r="E55" s="481">
        <v>1147</v>
      </c>
      <c r="F55" s="481">
        <v>1547</v>
      </c>
      <c r="G55" s="481"/>
      <c r="H55" s="481"/>
      <c r="I55" s="467"/>
      <c r="J55" s="467"/>
      <c r="K55" s="1672">
        <f>SUM(C55:J55)</f>
        <v>407595</v>
      </c>
      <c r="L55" s="481">
        <v>405800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341643</v>
      </c>
      <c r="D57" s="1674">
        <f t="shared" ref="D57:K57" si="6">SUM(D55:D56)</f>
        <v>63258</v>
      </c>
      <c r="E57" s="1674">
        <f t="shared" si="6"/>
        <v>1147</v>
      </c>
      <c r="F57" s="1674">
        <f t="shared" si="6"/>
        <v>1547</v>
      </c>
      <c r="G57" s="1674">
        <f t="shared" si="6"/>
        <v>0</v>
      </c>
      <c r="H57" s="1674">
        <f t="shared" si="6"/>
        <v>0</v>
      </c>
      <c r="I57" s="1674">
        <f t="shared" si="6"/>
        <v>0</v>
      </c>
      <c r="J57" s="1674">
        <f t="shared" si="6"/>
        <v>0</v>
      </c>
      <c r="K57" s="1674">
        <f t="shared" si="6"/>
        <v>407595</v>
      </c>
      <c r="L57" s="1670">
        <f>SUM(L55:L56)</f>
        <v>405800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289671</v>
      </c>
      <c r="D60" s="466">
        <v>43634</v>
      </c>
      <c r="E60" s="466">
        <v>1719</v>
      </c>
      <c r="F60" s="466">
        <v>11525</v>
      </c>
      <c r="G60" s="466"/>
      <c r="H60" s="466"/>
      <c r="I60" s="467"/>
      <c r="J60" s="467"/>
      <c r="K60" s="1672">
        <f t="shared" si="7"/>
        <v>346549</v>
      </c>
      <c r="L60" s="466">
        <v>332210</v>
      </c>
      <c r="M60" s="609"/>
      <c r="N60" s="609"/>
    </row>
    <row r="61" spans="1:14" s="343" customFormat="1" x14ac:dyDescent="0.2">
      <c r="A61" s="1504" t="s">
        <v>197</v>
      </c>
      <c r="B61" s="614">
        <v>2540</v>
      </c>
      <c r="C61" s="466">
        <v>465791</v>
      </c>
      <c r="D61" s="466">
        <v>78896</v>
      </c>
      <c r="E61" s="466">
        <v>1745</v>
      </c>
      <c r="F61" s="466">
        <v>13311</v>
      </c>
      <c r="G61" s="466">
        <v>119088</v>
      </c>
      <c r="H61" s="466"/>
      <c r="I61" s="467"/>
      <c r="J61" s="467"/>
      <c r="K61" s="1672">
        <f t="shared" si="7"/>
        <v>678831</v>
      </c>
      <c r="L61" s="466">
        <v>666683</v>
      </c>
      <c r="M61" s="609"/>
      <c r="N61" s="609"/>
    </row>
    <row r="62" spans="1:14" s="343" customFormat="1" x14ac:dyDescent="0.2">
      <c r="A62" s="1504" t="s">
        <v>953</v>
      </c>
      <c r="B62" s="614">
        <v>2550</v>
      </c>
      <c r="C62" s="466"/>
      <c r="D62" s="466"/>
      <c r="E62" s="466">
        <v>11000</v>
      </c>
      <c r="F62" s="466"/>
      <c r="G62" s="466"/>
      <c r="H62" s="466"/>
      <c r="I62" s="467"/>
      <c r="J62" s="467"/>
      <c r="K62" s="1672">
        <f t="shared" si="7"/>
        <v>11000</v>
      </c>
      <c r="L62" s="466">
        <v>19500</v>
      </c>
      <c r="M62" s="609"/>
      <c r="N62" s="609"/>
    </row>
    <row r="63" spans="1:14" s="609" customFormat="1" x14ac:dyDescent="0.2">
      <c r="A63" s="1504" t="s">
        <v>100</v>
      </c>
      <c r="B63" s="614">
        <v>2560</v>
      </c>
      <c r="C63" s="466">
        <v>225404</v>
      </c>
      <c r="D63" s="466">
        <v>37575</v>
      </c>
      <c r="E63" s="466">
        <v>2497</v>
      </c>
      <c r="F63" s="466">
        <v>427727</v>
      </c>
      <c r="G63" s="466">
        <v>21191</v>
      </c>
      <c r="H63" s="466">
        <v>1854</v>
      </c>
      <c r="I63" s="467"/>
      <c r="J63" s="467"/>
      <c r="K63" s="1672">
        <f t="shared" si="7"/>
        <v>716248</v>
      </c>
      <c r="L63" s="466">
        <v>737796</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980866</v>
      </c>
      <c r="D65" s="1670">
        <f t="shared" ref="D65:L65" si="8">SUM(D59:D64)</f>
        <v>160105</v>
      </c>
      <c r="E65" s="1670">
        <f t="shared" si="8"/>
        <v>16961</v>
      </c>
      <c r="F65" s="1670">
        <f t="shared" si="8"/>
        <v>452563</v>
      </c>
      <c r="G65" s="1670">
        <f t="shared" si="8"/>
        <v>140279</v>
      </c>
      <c r="H65" s="1670">
        <f t="shared" si="8"/>
        <v>1854</v>
      </c>
      <c r="I65" s="1670">
        <f t="shared" si="8"/>
        <v>0</v>
      </c>
      <c r="J65" s="1670">
        <f t="shared" si="8"/>
        <v>0</v>
      </c>
      <c r="K65" s="1670">
        <f t="shared" si="8"/>
        <v>1752628</v>
      </c>
      <c r="L65" s="1670">
        <f t="shared" si="8"/>
        <v>1756189</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v>18050</v>
      </c>
      <c r="D71" s="466">
        <v>6661</v>
      </c>
      <c r="E71" s="466"/>
      <c r="F71" s="466"/>
      <c r="G71" s="466"/>
      <c r="H71" s="466"/>
      <c r="I71" s="467"/>
      <c r="J71" s="467"/>
      <c r="K71" s="1672">
        <f>SUM(C71:J71)</f>
        <v>24711</v>
      </c>
      <c r="L71" s="466">
        <v>24710</v>
      </c>
      <c r="M71" s="609"/>
      <c r="N71" s="609"/>
    </row>
    <row r="72" spans="1:14" s="343" customFormat="1" ht="12.75" customHeight="1" thickBot="1" x14ac:dyDescent="0.25">
      <c r="A72" s="1668" t="s">
        <v>37</v>
      </c>
      <c r="B72" s="1675" t="s">
        <v>36</v>
      </c>
      <c r="C72" s="1670">
        <f>SUM(C67:C71)</f>
        <v>18050</v>
      </c>
      <c r="D72" s="1670">
        <f t="shared" ref="D72:K72" si="9">SUM(D67:D71)</f>
        <v>6661</v>
      </c>
      <c r="E72" s="1670">
        <f t="shared" si="9"/>
        <v>0</v>
      </c>
      <c r="F72" s="1670">
        <f t="shared" si="9"/>
        <v>0</v>
      </c>
      <c r="G72" s="1670">
        <f t="shared" si="9"/>
        <v>0</v>
      </c>
      <c r="H72" s="1670">
        <f t="shared" si="9"/>
        <v>0</v>
      </c>
      <c r="I72" s="1670">
        <f t="shared" si="9"/>
        <v>0</v>
      </c>
      <c r="J72" s="1670">
        <f t="shared" si="9"/>
        <v>0</v>
      </c>
      <c r="K72" s="1670">
        <f t="shared" si="9"/>
        <v>24711</v>
      </c>
      <c r="L72" s="1670">
        <f>SUM(L67:L71)</f>
        <v>24710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1934155</v>
      </c>
      <c r="D74" s="1677">
        <f t="shared" ref="D74:K74" si="10">SUM(D42,D47,D53,D57,D65,D72,D73)</f>
        <v>351788</v>
      </c>
      <c r="E74" s="1677">
        <f t="shared" si="10"/>
        <v>124313</v>
      </c>
      <c r="F74" s="1677">
        <f t="shared" si="10"/>
        <v>471429</v>
      </c>
      <c r="G74" s="1677">
        <f t="shared" si="10"/>
        <v>143776</v>
      </c>
      <c r="H74" s="1677">
        <f t="shared" si="10"/>
        <v>16107</v>
      </c>
      <c r="I74" s="1677">
        <f t="shared" si="10"/>
        <v>0</v>
      </c>
      <c r="J74" s="1677">
        <f t="shared" si="10"/>
        <v>0</v>
      </c>
      <c r="K74" s="1677">
        <f t="shared" si="10"/>
        <v>3041568</v>
      </c>
      <c r="L74" s="1677">
        <f>SUM(L42,L47,L53,L57,L65,L72,L73)</f>
        <v>3054959</v>
      </c>
    </row>
    <row r="75" spans="1:14" s="259" customFormat="1" ht="15.75" customHeight="1" thickTop="1" thickBot="1" x14ac:dyDescent="0.25">
      <c r="A75" s="1610" t="s">
        <v>47</v>
      </c>
      <c r="B75" s="1611" t="s">
        <v>575</v>
      </c>
      <c r="C75" s="573">
        <v>117755</v>
      </c>
      <c r="D75" s="573">
        <v>46176</v>
      </c>
      <c r="E75" s="573">
        <v>7837</v>
      </c>
      <c r="F75" s="573">
        <v>15124</v>
      </c>
      <c r="G75" s="573">
        <v>22776</v>
      </c>
      <c r="H75" s="573"/>
      <c r="I75" s="531"/>
      <c r="J75" s="531"/>
      <c r="K75" s="1670">
        <f>SUM(C75:J75)</f>
        <v>209668</v>
      </c>
      <c r="L75" s="576">
        <v>253057</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v>3206</v>
      </c>
      <c r="I78" s="477"/>
      <c r="J78" s="477"/>
      <c r="K78" s="1671">
        <f t="shared" ref="K78:K83" si="11">SUM(C78:J78)</f>
        <v>3206</v>
      </c>
      <c r="L78" s="481"/>
    </row>
    <row r="79" spans="1:14" x14ac:dyDescent="0.2">
      <c r="A79" s="1504" t="s">
        <v>304</v>
      </c>
      <c r="B79" s="614">
        <v>4120</v>
      </c>
      <c r="C79" s="616"/>
      <c r="D79" s="616"/>
      <c r="E79" s="466">
        <v>15844</v>
      </c>
      <c r="F79" s="616"/>
      <c r="G79" s="616"/>
      <c r="H79" s="466">
        <v>397673</v>
      </c>
      <c r="I79" s="477"/>
      <c r="J79" s="477"/>
      <c r="K79" s="1671">
        <f t="shared" si="11"/>
        <v>413517</v>
      </c>
      <c r="L79" s="466">
        <v>352000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15844</v>
      </c>
      <c r="F84" s="616"/>
      <c r="G84" s="616"/>
      <c r="H84" s="1670">
        <f>SUM(H78:H83)</f>
        <v>400879</v>
      </c>
      <c r="I84" s="477"/>
      <c r="J84" s="477"/>
      <c r="K84" s="1670">
        <f>SUM(K78:K83)</f>
        <v>416723</v>
      </c>
      <c r="L84" s="1670">
        <f>SUM(L78:L83)</f>
        <v>352000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15844</v>
      </c>
      <c r="F102" s="616"/>
      <c r="G102" s="616"/>
      <c r="H102" s="1677">
        <f>SUM(H84,H92,H100,H101)</f>
        <v>400879</v>
      </c>
      <c r="I102" s="477"/>
      <c r="J102" s="477"/>
      <c r="K102" s="1677">
        <f>SUM(K84,K92,K100,K101)</f>
        <v>416723</v>
      </c>
      <c r="L102" s="1677">
        <f>SUM(L84,L92,L100,L101)</f>
        <v>352000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1000</v>
      </c>
      <c r="M113" s="613"/>
      <c r="N113" s="613"/>
    </row>
    <row r="114" spans="1:14" ht="12.75" customHeight="1" thickTop="1" thickBot="1" x14ac:dyDescent="0.25">
      <c r="A114" s="1668" t="s">
        <v>48</v>
      </c>
      <c r="B114" s="1682"/>
      <c r="C114" s="1670">
        <f>SUM(C33,C74,C75,C102,C112,C113)</f>
        <v>6449238</v>
      </c>
      <c r="D114" s="1670">
        <f t="shared" ref="D114:K114" si="13">SUM(D33,D74,D75,D102,D112,D113)</f>
        <v>1325075</v>
      </c>
      <c r="E114" s="1670">
        <f t="shared" si="13"/>
        <v>297985</v>
      </c>
      <c r="F114" s="1670">
        <f t="shared" si="13"/>
        <v>719199</v>
      </c>
      <c r="G114" s="1670">
        <f t="shared" si="13"/>
        <v>221915</v>
      </c>
      <c r="H114" s="1670">
        <f>SUM(H33,H74,H75,H102,H112,H113)</f>
        <v>437394</v>
      </c>
      <c r="I114" s="1670">
        <f t="shared" si="13"/>
        <v>0</v>
      </c>
      <c r="J114" s="1670">
        <f t="shared" si="13"/>
        <v>0</v>
      </c>
      <c r="K114" s="1670">
        <f t="shared" si="13"/>
        <v>9450806</v>
      </c>
      <c r="L114" s="1670">
        <f>SUM(L33,L74,L75,L102,L112,L113)</f>
        <v>9436550</v>
      </c>
    </row>
    <row r="115" spans="1:14" ht="13.5" thickTop="1" x14ac:dyDescent="0.2">
      <c r="A115" s="2187" t="s">
        <v>996</v>
      </c>
      <c r="B115" s="2188"/>
      <c r="C115" s="618"/>
      <c r="D115" s="618"/>
      <c r="E115" s="618"/>
      <c r="F115" s="618"/>
      <c r="G115" s="618"/>
      <c r="H115" s="618"/>
      <c r="I115" s="618"/>
      <c r="J115" s="618"/>
      <c r="K115" s="1684">
        <f>'Revenues 9-14'!C268-'Expenditures 15-22'!K114</f>
        <v>1399087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296</v>
      </c>
      <c r="B117" s="2166"/>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2055</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v>68105</v>
      </c>
      <c r="F124" s="466">
        <v>390892</v>
      </c>
      <c r="G124" s="466">
        <v>23730</v>
      </c>
      <c r="H124" s="466"/>
      <c r="I124" s="467"/>
      <c r="J124" s="467"/>
      <c r="K124" s="1670">
        <f>SUM(C124:J124)</f>
        <v>482727</v>
      </c>
      <c r="L124" s="466">
        <v>463000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68105</v>
      </c>
      <c r="F127" s="1670">
        <f t="shared" si="14"/>
        <v>390892</v>
      </c>
      <c r="G127" s="1670">
        <f t="shared" si="14"/>
        <v>23730</v>
      </c>
      <c r="H127" s="1670">
        <f t="shared" si="14"/>
        <v>0</v>
      </c>
      <c r="I127" s="1670">
        <f t="shared" si="14"/>
        <v>0</v>
      </c>
      <c r="J127" s="1670">
        <f t="shared" si="14"/>
        <v>0</v>
      </c>
      <c r="K127" s="1670">
        <f t="shared" si="14"/>
        <v>482727</v>
      </c>
      <c r="L127" s="1670">
        <f t="shared" si="14"/>
        <v>463000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68105</v>
      </c>
      <c r="F129" s="1677">
        <f t="shared" si="15"/>
        <v>390892</v>
      </c>
      <c r="G129" s="1677">
        <f t="shared" si="15"/>
        <v>23730</v>
      </c>
      <c r="H129" s="1677">
        <f t="shared" si="15"/>
        <v>0</v>
      </c>
      <c r="I129" s="1677">
        <f t="shared" si="15"/>
        <v>0</v>
      </c>
      <c r="J129" s="1677">
        <f t="shared" si="15"/>
        <v>0</v>
      </c>
      <c r="K129" s="1677">
        <f t="shared" si="15"/>
        <v>482727</v>
      </c>
      <c r="L129" s="1677">
        <f t="shared" si="15"/>
        <v>463000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1841</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5000</v>
      </c>
    </row>
    <row r="151" spans="1:14" ht="12.75" customHeight="1" thickTop="1" thickBot="1" x14ac:dyDescent="0.25">
      <c r="A151" s="2177" t="s">
        <v>620</v>
      </c>
      <c r="B151" s="2159"/>
      <c r="C151" s="1670">
        <f>SUM(C129,C130,C139,C149,C150)</f>
        <v>0</v>
      </c>
      <c r="D151" s="1670">
        <f t="shared" ref="D151:K151" si="16">SUM(D129,D130,D139,D149,D150)</f>
        <v>0</v>
      </c>
      <c r="E151" s="1670">
        <f t="shared" si="16"/>
        <v>68105</v>
      </c>
      <c r="F151" s="1670">
        <f t="shared" si="16"/>
        <v>390892</v>
      </c>
      <c r="G151" s="1670">
        <f t="shared" si="16"/>
        <v>23730</v>
      </c>
      <c r="H151" s="1670">
        <f t="shared" si="16"/>
        <v>0</v>
      </c>
      <c r="I151" s="1670">
        <f t="shared" si="16"/>
        <v>0</v>
      </c>
      <c r="J151" s="1670">
        <f t="shared" si="16"/>
        <v>0</v>
      </c>
      <c r="K151" s="1670">
        <f t="shared" si="16"/>
        <v>482727</v>
      </c>
      <c r="L151" s="1670">
        <f>SUM(L129,L130,L139,L149,L150)</f>
        <v>468000</v>
      </c>
    </row>
    <row r="152" spans="1:14" ht="12.75" customHeight="1" thickTop="1" x14ac:dyDescent="0.2">
      <c r="A152" s="2180" t="s">
        <v>1178</v>
      </c>
      <c r="B152" s="2181"/>
      <c r="C152" s="618"/>
      <c r="D152" s="618"/>
      <c r="E152" s="618"/>
      <c r="F152" s="618"/>
      <c r="G152" s="618"/>
      <c r="H152" s="618"/>
      <c r="I152" s="618"/>
      <c r="J152" s="616"/>
      <c r="K152" s="1684">
        <f>'Revenues 9-14'!D268-'Expenditures 15-22'!K151</f>
        <v>63535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621</v>
      </c>
      <c r="B154" s="2167"/>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1841</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1843</v>
      </c>
      <c r="C158" s="616"/>
      <c r="D158" s="616"/>
      <c r="E158" s="616"/>
      <c r="F158" s="616"/>
      <c r="G158" s="616"/>
      <c r="H158" s="467"/>
      <c r="I158" s="616"/>
      <c r="J158" s="616"/>
      <c r="K158" s="1671">
        <f>H158</f>
        <v>0</v>
      </c>
      <c r="L158" s="467"/>
      <c r="M158" s="619"/>
      <c r="N158" s="619"/>
    </row>
    <row r="159" spans="1:14" s="620" customFormat="1" ht="12" x14ac:dyDescent="0.2">
      <c r="A159" s="1826" t="s">
        <v>1844</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1845</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37687</v>
      </c>
      <c r="I169" s="616"/>
      <c r="J169" s="616"/>
      <c r="K169" s="1671">
        <f>SUM(C169:H169)</f>
        <v>37687</v>
      </c>
      <c r="L169" s="656">
        <v>37687</v>
      </c>
    </row>
    <row r="170" spans="1:14" ht="33.75" customHeight="1" x14ac:dyDescent="0.2">
      <c r="A170" s="669" t="s">
        <v>1670</v>
      </c>
      <c r="B170" s="671" t="s">
        <v>31</v>
      </c>
      <c r="C170" s="616"/>
      <c r="D170" s="616"/>
      <c r="E170" s="616"/>
      <c r="F170" s="616"/>
      <c r="G170" s="616"/>
      <c r="H170" s="569">
        <v>226900</v>
      </c>
      <c r="I170" s="616"/>
      <c r="J170" s="616"/>
      <c r="K170" s="1671">
        <f>SUM(C170:J170)</f>
        <v>226900</v>
      </c>
      <c r="L170" s="569">
        <v>227125</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264587</v>
      </c>
      <c r="I172" s="638"/>
      <c r="J172" s="616"/>
      <c r="K172" s="1677">
        <f>SUM(K168,K169,K170,K171)</f>
        <v>264587</v>
      </c>
      <c r="L172" s="1677">
        <f>SUM(L168,L169,L170,L171)</f>
        <v>264812</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264587</v>
      </c>
      <c r="I174" s="638"/>
      <c r="J174" s="616"/>
      <c r="K174" s="1677">
        <f>SUM(K160,K172,K173)</f>
        <v>264587</v>
      </c>
      <c r="L174" s="1677">
        <f>SUM(L160,L172,L173)</f>
        <v>264812</v>
      </c>
    </row>
    <row r="175" spans="1:14" ht="13.5" thickTop="1" x14ac:dyDescent="0.2">
      <c r="A175" s="2187" t="s">
        <v>996</v>
      </c>
      <c r="B175" s="2188"/>
      <c r="C175" s="616"/>
      <c r="D175" s="616"/>
      <c r="E175" s="616"/>
      <c r="F175" s="616"/>
      <c r="G175" s="616"/>
      <c r="H175" s="618"/>
      <c r="I175" s="616"/>
      <c r="J175" s="616"/>
      <c r="K175" s="1684">
        <f>'Revenues 9-14'!E268-'Expenditures 15-22'!K174</f>
        <v>-5677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2055</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390884</v>
      </c>
      <c r="D182" s="466">
        <v>84791</v>
      </c>
      <c r="E182" s="466">
        <v>27754</v>
      </c>
      <c r="F182" s="466">
        <v>157262</v>
      </c>
      <c r="G182" s="466">
        <v>362219</v>
      </c>
      <c r="H182" s="466">
        <v>2706</v>
      </c>
      <c r="I182" s="467"/>
      <c r="J182" s="467"/>
      <c r="K182" s="1671">
        <f>SUM(C182:J182)</f>
        <v>1025616</v>
      </c>
      <c r="L182" s="466">
        <v>1022350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390884</v>
      </c>
      <c r="D184" s="1677">
        <f t="shared" ref="D184:J184" si="17">SUM(D180,D182,D183)</f>
        <v>84791</v>
      </c>
      <c r="E184" s="1677">
        <f t="shared" si="17"/>
        <v>27754</v>
      </c>
      <c r="F184" s="1677">
        <f t="shared" si="17"/>
        <v>157262</v>
      </c>
      <c r="G184" s="1677">
        <f t="shared" si="17"/>
        <v>362219</v>
      </c>
      <c r="H184" s="1677">
        <f t="shared" si="17"/>
        <v>2706</v>
      </c>
      <c r="I184" s="1677">
        <f t="shared" si="17"/>
        <v>0</v>
      </c>
      <c r="J184" s="1677">
        <f t="shared" si="17"/>
        <v>0</v>
      </c>
      <c r="K184" s="1677">
        <f>SUM(K180,K182,K183)</f>
        <v>1025616</v>
      </c>
      <c r="L184" s="1677">
        <f>SUM(L180, L182:L183)</f>
        <v>1022350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7994</v>
      </c>
      <c r="I205" s="616"/>
      <c r="J205" s="616"/>
      <c r="K205" s="1685">
        <f>SUM(H205)</f>
        <v>7994</v>
      </c>
      <c r="L205" s="535">
        <v>10000</v>
      </c>
    </row>
    <row r="206" spans="1:14" ht="30" customHeight="1" x14ac:dyDescent="0.2">
      <c r="A206" s="681" t="s">
        <v>1671</v>
      </c>
      <c r="B206" s="672" t="s">
        <v>31</v>
      </c>
      <c r="C206" s="616"/>
      <c r="D206" s="616"/>
      <c r="E206" s="616"/>
      <c r="F206" s="616"/>
      <c r="G206" s="616"/>
      <c r="H206" s="466">
        <v>100670</v>
      </c>
      <c r="I206" s="616"/>
      <c r="J206" s="616"/>
      <c r="K206" s="1671">
        <f>SUM(H206)</f>
        <v>100670</v>
      </c>
      <c r="L206" s="466">
        <v>98700</v>
      </c>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108664</v>
      </c>
      <c r="I208" s="616"/>
      <c r="J208" s="616"/>
      <c r="K208" s="1677">
        <f>SUM(K204,K205,K206,K207)</f>
        <v>108664</v>
      </c>
      <c r="L208" s="1677">
        <f>SUM(L204,L205,L206,L207)</f>
        <v>108700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390884</v>
      </c>
      <c r="D210" s="1670">
        <f>SUM(D184,D185)</f>
        <v>84791</v>
      </c>
      <c r="E210" s="1670">
        <f>SUM(E184,E185,E196)</f>
        <v>27754</v>
      </c>
      <c r="F210" s="1670">
        <f>SUM(F184,F185)</f>
        <v>157262</v>
      </c>
      <c r="G210" s="1670">
        <f>SUM(G184,G185)</f>
        <v>362219</v>
      </c>
      <c r="H210" s="1670">
        <f>SUM(H184,H185,H196,H208,H209)</f>
        <v>111370</v>
      </c>
      <c r="I210" s="1670">
        <f>SUM(I184,I185)</f>
        <v>0</v>
      </c>
      <c r="J210" s="1670">
        <f>SUM(J184,J185)</f>
        <v>0</v>
      </c>
      <c r="K210" s="1671">
        <f>SUM(K184,K185,K196,K208,K209)</f>
        <v>1134280</v>
      </c>
      <c r="L210" s="1670">
        <f>SUM(L184,L185,L196,L208,L209)</f>
        <v>1131050</v>
      </c>
    </row>
    <row r="211" spans="1:14" ht="13.5" thickTop="1" x14ac:dyDescent="0.2">
      <c r="A211" s="2187" t="s">
        <v>996</v>
      </c>
      <c r="B211" s="2188"/>
      <c r="C211" s="618"/>
      <c r="D211" s="618"/>
      <c r="E211" s="618"/>
      <c r="F211" s="618"/>
      <c r="G211" s="618"/>
      <c r="H211" s="618"/>
      <c r="I211" s="616"/>
      <c r="J211" s="616"/>
      <c r="K211" s="1684">
        <f>'Revenues 9-14'!F268-'Expenditures 15-22'!K210</f>
        <v>2436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965</v>
      </c>
      <c r="B213" s="2183"/>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47630</v>
      </c>
      <c r="E215" s="616"/>
      <c r="F215" s="616"/>
      <c r="G215" s="616"/>
      <c r="H215" s="616"/>
      <c r="I215" s="616"/>
      <c r="J215" s="616"/>
      <c r="K215" s="1671">
        <f>D215</f>
        <v>47630</v>
      </c>
      <c r="L215" s="466">
        <v>28220</v>
      </c>
    </row>
    <row r="216" spans="1:14" x14ac:dyDescent="0.2">
      <c r="A216" s="1504" t="s">
        <v>163</v>
      </c>
      <c r="B216" s="614" t="s">
        <v>967</v>
      </c>
      <c r="C216" s="616"/>
      <c r="D216" s="467"/>
      <c r="E216" s="616"/>
      <c r="F216" s="616"/>
      <c r="G216" s="616"/>
      <c r="H216" s="616"/>
      <c r="I216" s="616"/>
      <c r="J216" s="616"/>
      <c r="K216" s="1671">
        <f t="shared" ref="K216:K228" si="19">D216</f>
        <v>0</v>
      </c>
      <c r="L216" s="466">
        <v>19200</v>
      </c>
    </row>
    <row r="217" spans="1:14" x14ac:dyDescent="0.2">
      <c r="A217" s="1504" t="s">
        <v>164</v>
      </c>
      <c r="B217" s="614">
        <v>1200</v>
      </c>
      <c r="C217" s="616"/>
      <c r="D217" s="466">
        <v>74052</v>
      </c>
      <c r="E217" s="616"/>
      <c r="F217" s="616"/>
      <c r="G217" s="616"/>
      <c r="H217" s="616"/>
      <c r="I217" s="616"/>
      <c r="J217" s="616"/>
      <c r="K217" s="1671">
        <f t="shared" si="19"/>
        <v>74052</v>
      </c>
      <c r="L217" s="466">
        <v>76900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5668</v>
      </c>
      <c r="E223" s="616"/>
      <c r="F223" s="616"/>
      <c r="G223" s="616"/>
      <c r="H223" s="616"/>
      <c r="I223" s="616"/>
      <c r="J223" s="616"/>
      <c r="K223" s="1671">
        <f t="shared" si="19"/>
        <v>5668</v>
      </c>
      <c r="L223" s="466">
        <v>7300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127350</v>
      </c>
      <c r="E229" s="616"/>
      <c r="F229" s="616"/>
      <c r="G229" s="616"/>
      <c r="H229" s="616"/>
      <c r="I229" s="616"/>
      <c r="J229" s="616"/>
      <c r="K229" s="1670">
        <f>SUM(K215:K228)</f>
        <v>127350</v>
      </c>
      <c r="L229" s="1670">
        <f>SUM(L215:L228)</f>
        <v>131620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1766</v>
      </c>
      <c r="E233" s="616"/>
      <c r="F233" s="616"/>
      <c r="G233" s="616"/>
      <c r="H233" s="616"/>
      <c r="I233" s="616"/>
      <c r="J233" s="616"/>
      <c r="K233" s="1671">
        <f t="shared" si="20"/>
        <v>1766</v>
      </c>
      <c r="L233" s="466">
        <v>2000</v>
      </c>
    </row>
    <row r="234" spans="1:12" x14ac:dyDescent="0.2">
      <c r="A234" s="1504" t="s">
        <v>198</v>
      </c>
      <c r="B234" s="614">
        <v>2130</v>
      </c>
      <c r="C234" s="616"/>
      <c r="D234" s="466">
        <v>10290</v>
      </c>
      <c r="E234" s="616"/>
      <c r="F234" s="616"/>
      <c r="G234" s="616"/>
      <c r="H234" s="616"/>
      <c r="I234" s="616"/>
      <c r="J234" s="616"/>
      <c r="K234" s="1671">
        <f t="shared" si="20"/>
        <v>10290</v>
      </c>
      <c r="L234" s="466">
        <v>8000</v>
      </c>
    </row>
    <row r="235" spans="1:12" x14ac:dyDescent="0.2">
      <c r="A235" s="1504" t="s">
        <v>199</v>
      </c>
      <c r="B235" s="614">
        <v>2140</v>
      </c>
      <c r="C235" s="616"/>
      <c r="D235" s="466">
        <v>1701</v>
      </c>
      <c r="E235" s="616"/>
      <c r="F235" s="616"/>
      <c r="G235" s="616"/>
      <c r="H235" s="616"/>
      <c r="I235" s="616"/>
      <c r="J235" s="616"/>
      <c r="K235" s="1671">
        <f t="shared" si="20"/>
        <v>1701</v>
      </c>
      <c r="L235" s="466"/>
    </row>
    <row r="236" spans="1:12" x14ac:dyDescent="0.2">
      <c r="A236" s="1504" t="s">
        <v>200</v>
      </c>
      <c r="B236" s="614">
        <v>2150</v>
      </c>
      <c r="C236" s="616"/>
      <c r="D236" s="466"/>
      <c r="E236" s="616"/>
      <c r="F236" s="616"/>
      <c r="G236" s="616"/>
      <c r="H236" s="616"/>
      <c r="I236" s="616"/>
      <c r="J236" s="616"/>
      <c r="K236" s="1671">
        <f t="shared" si="20"/>
        <v>0</v>
      </c>
      <c r="L236" s="466">
        <v>1800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13757</v>
      </c>
      <c r="E238" s="616"/>
      <c r="F238" s="616"/>
      <c r="G238" s="616"/>
      <c r="H238" s="616"/>
      <c r="I238" s="616"/>
      <c r="J238" s="616"/>
      <c r="K238" s="1670">
        <f>SUM(K232:K237)</f>
        <v>13757</v>
      </c>
      <c r="L238" s="1670">
        <f>SUM(L232:L237)</f>
        <v>11800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6395</v>
      </c>
      <c r="E240" s="616"/>
      <c r="F240" s="616"/>
      <c r="G240" s="616"/>
      <c r="H240" s="616"/>
      <c r="I240" s="616"/>
      <c r="J240" s="616"/>
      <c r="K240" s="1672">
        <f>D240</f>
        <v>6395</v>
      </c>
      <c r="L240" s="481">
        <v>8420</v>
      </c>
    </row>
    <row r="241" spans="1:12" x14ac:dyDescent="0.2">
      <c r="A241" s="1504" t="s">
        <v>815</v>
      </c>
      <c r="B241" s="614">
        <v>2220</v>
      </c>
      <c r="C241" s="616"/>
      <c r="D241" s="466">
        <v>2990</v>
      </c>
      <c r="E241" s="616"/>
      <c r="F241" s="616"/>
      <c r="G241" s="616"/>
      <c r="H241" s="616"/>
      <c r="I241" s="616"/>
      <c r="J241" s="616"/>
      <c r="K241" s="1672">
        <f>D241</f>
        <v>2990</v>
      </c>
      <c r="L241" s="466">
        <v>3200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9385</v>
      </c>
      <c r="E243" s="616"/>
      <c r="F243" s="616"/>
      <c r="G243" s="616"/>
      <c r="H243" s="616"/>
      <c r="I243" s="616"/>
      <c r="J243" s="616"/>
      <c r="K243" s="1670">
        <f>SUM(K240:K242)</f>
        <v>9385</v>
      </c>
      <c r="L243" s="1670">
        <f>SUM(L240:L242)</f>
        <v>11620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21</v>
      </c>
      <c r="E245" s="616"/>
      <c r="F245" s="616"/>
      <c r="G245" s="616"/>
      <c r="H245" s="616"/>
      <c r="I245" s="616"/>
      <c r="J245" s="616"/>
      <c r="K245" s="1672">
        <f>D245</f>
        <v>21</v>
      </c>
      <c r="L245" s="481">
        <v>200</v>
      </c>
    </row>
    <row r="246" spans="1:12" x14ac:dyDescent="0.2">
      <c r="A246" s="1504" t="s">
        <v>818</v>
      </c>
      <c r="B246" s="614">
        <v>2320</v>
      </c>
      <c r="C246" s="616"/>
      <c r="D246" s="466">
        <v>1719</v>
      </c>
      <c r="E246" s="616"/>
      <c r="F246" s="616"/>
      <c r="G246" s="616"/>
      <c r="H246" s="616"/>
      <c r="I246" s="616"/>
      <c r="J246" s="616"/>
      <c r="K246" s="1672">
        <f t="shared" ref="K246:K256" si="21">D246</f>
        <v>1719</v>
      </c>
      <c r="L246" s="466">
        <v>1800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1740</v>
      </c>
      <c r="E257" s="616"/>
      <c r="F257" s="616"/>
      <c r="G257" s="616"/>
      <c r="H257" s="616"/>
      <c r="I257" s="616"/>
      <c r="J257" s="616"/>
      <c r="K257" s="1670">
        <f>SUM(K245:K256)</f>
        <v>1740</v>
      </c>
      <c r="L257" s="1670">
        <f>SUM(L245:L256)</f>
        <v>2000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4405</v>
      </c>
      <c r="E259" s="616"/>
      <c r="F259" s="616"/>
      <c r="G259" s="616"/>
      <c r="H259" s="616"/>
      <c r="I259" s="616"/>
      <c r="J259" s="616"/>
      <c r="K259" s="1672">
        <f>D259</f>
        <v>4405</v>
      </c>
      <c r="L259" s="481">
        <v>5100</v>
      </c>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4405</v>
      </c>
      <c r="E261" s="616"/>
      <c r="F261" s="616"/>
      <c r="G261" s="616"/>
      <c r="H261" s="616"/>
      <c r="I261" s="616"/>
      <c r="J261" s="616"/>
      <c r="K261" s="1670">
        <f>SUM(K259:K260)</f>
        <v>4405</v>
      </c>
      <c r="L261" s="1670">
        <f>SUM(L259:L260)</f>
        <v>5100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71908</v>
      </c>
      <c r="E264" s="616"/>
      <c r="F264" s="616"/>
      <c r="G264" s="616"/>
      <c r="H264" s="616"/>
      <c r="I264" s="616"/>
      <c r="J264" s="616"/>
      <c r="K264" s="1672">
        <f t="shared" ref="K264:K269" si="22">D264</f>
        <v>71908</v>
      </c>
      <c r="L264" s="466">
        <v>57000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77390</v>
      </c>
      <c r="E266" s="616"/>
      <c r="F266" s="616"/>
      <c r="G266" s="616"/>
      <c r="H266" s="616"/>
      <c r="I266" s="616"/>
      <c r="J266" s="616"/>
      <c r="K266" s="1672">
        <f t="shared" si="22"/>
        <v>77390</v>
      </c>
      <c r="L266" s="466">
        <v>83000</v>
      </c>
    </row>
    <row r="267" spans="1:14" x14ac:dyDescent="0.2">
      <c r="A267" s="1504" t="s">
        <v>953</v>
      </c>
      <c r="B267" s="614">
        <v>2550</v>
      </c>
      <c r="C267" s="616"/>
      <c r="D267" s="466">
        <v>69957</v>
      </c>
      <c r="E267" s="616"/>
      <c r="F267" s="616"/>
      <c r="G267" s="616"/>
      <c r="H267" s="616"/>
      <c r="I267" s="616"/>
      <c r="J267" s="616"/>
      <c r="K267" s="1672">
        <f t="shared" si="22"/>
        <v>69957</v>
      </c>
      <c r="L267" s="466">
        <v>73100</v>
      </c>
    </row>
    <row r="268" spans="1:14" x14ac:dyDescent="0.2">
      <c r="A268" s="1504" t="s">
        <v>100</v>
      </c>
      <c r="B268" s="614">
        <v>2560</v>
      </c>
      <c r="C268" s="616"/>
      <c r="D268" s="466">
        <v>38098</v>
      </c>
      <c r="E268" s="616"/>
      <c r="F268" s="616"/>
      <c r="G268" s="616"/>
      <c r="H268" s="616"/>
      <c r="I268" s="616"/>
      <c r="J268" s="616"/>
      <c r="K268" s="1672">
        <f t="shared" si="22"/>
        <v>38098</v>
      </c>
      <c r="L268" s="466">
        <v>40200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257353</v>
      </c>
      <c r="E270" s="616"/>
      <c r="F270" s="616"/>
      <c r="G270" s="616"/>
      <c r="H270" s="616"/>
      <c r="I270" s="616"/>
      <c r="J270" s="616"/>
      <c r="K270" s="1670">
        <f>SUM(K263:K269)</f>
        <v>257353</v>
      </c>
      <c r="L270" s="1670">
        <f>SUM(L263:L269)</f>
        <v>253300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286640</v>
      </c>
      <c r="E279" s="616"/>
      <c r="F279" s="616"/>
      <c r="G279" s="616"/>
      <c r="H279" s="616"/>
      <c r="I279" s="616"/>
      <c r="J279" s="616"/>
      <c r="K279" s="1677">
        <f>SUM(K238,K243,K257,K261,K270,K277,K278)</f>
        <v>286640</v>
      </c>
      <c r="L279" s="1677">
        <f>SUM(L238,L243,L257,L261,L270,L277,L278)</f>
        <v>283820</v>
      </c>
    </row>
    <row r="280" spans="1:12" ht="15.75" customHeight="1" thickTop="1" thickBot="1" x14ac:dyDescent="0.25">
      <c r="A280" s="1624" t="s">
        <v>875</v>
      </c>
      <c r="B280" s="1613">
        <v>3000</v>
      </c>
      <c r="C280" s="616"/>
      <c r="D280" s="576">
        <v>115</v>
      </c>
      <c r="E280" s="616"/>
      <c r="F280" s="616"/>
      <c r="G280" s="616"/>
      <c r="H280" s="616"/>
      <c r="I280" s="616"/>
      <c r="J280" s="616"/>
      <c r="K280" s="1679">
        <f>D280</f>
        <v>115</v>
      </c>
      <c r="L280" s="576">
        <v>400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1841</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8" t="s">
        <v>505</v>
      </c>
      <c r="B295" s="2179"/>
      <c r="C295" s="616"/>
      <c r="D295" s="1670">
        <f>SUM(D229,D279,D280,D285)</f>
        <v>414105</v>
      </c>
      <c r="E295" s="616"/>
      <c r="F295" s="616"/>
      <c r="G295" s="616"/>
      <c r="H295" s="1670">
        <f>H293</f>
        <v>0</v>
      </c>
      <c r="I295" s="616"/>
      <c r="J295" s="616"/>
      <c r="K295" s="1670">
        <f>SUM(K229,K279,K280,K285,K293,K294)</f>
        <v>414105</v>
      </c>
      <c r="L295" s="1670">
        <f>SUM(L229,L279,L280,L285,L293,L294)</f>
        <v>415840</v>
      </c>
    </row>
    <row r="296" spans="1:14" ht="13.5" thickTop="1" x14ac:dyDescent="0.2">
      <c r="A296" s="2187" t="s">
        <v>996</v>
      </c>
      <c r="B296" s="2188"/>
      <c r="C296" s="616"/>
      <c r="D296" s="618"/>
      <c r="E296" s="616"/>
      <c r="F296" s="616"/>
      <c r="G296" s="616"/>
      <c r="H296" s="687"/>
      <c r="I296" s="616"/>
      <c r="J296" s="616"/>
      <c r="K296" s="1684">
        <f>'Revenues 9-14'!G268-'Expenditures 15-22'!K295</f>
        <v>13649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134900</v>
      </c>
      <c r="F301" s="466">
        <v>7052</v>
      </c>
      <c r="G301" s="466">
        <v>125056</v>
      </c>
      <c r="H301" s="466"/>
      <c r="I301" s="467"/>
      <c r="J301" s="467"/>
      <c r="K301" s="1671">
        <f>SUM(C301:J301)</f>
        <v>267008</v>
      </c>
      <c r="L301" s="467">
        <v>369000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134900</v>
      </c>
      <c r="F303" s="1677">
        <f t="shared" si="23"/>
        <v>7052</v>
      </c>
      <c r="G303" s="1677">
        <f t="shared" si="23"/>
        <v>125056</v>
      </c>
      <c r="H303" s="1677">
        <f t="shared" si="23"/>
        <v>0</v>
      </c>
      <c r="I303" s="1677">
        <f t="shared" si="23"/>
        <v>0</v>
      </c>
      <c r="J303" s="1677">
        <f t="shared" si="23"/>
        <v>0</v>
      </c>
      <c r="K303" s="1677">
        <f t="shared" si="23"/>
        <v>267008</v>
      </c>
      <c r="L303" s="1677">
        <f t="shared" si="23"/>
        <v>369000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5" t="s">
        <v>277</v>
      </c>
      <c r="B312" s="2176"/>
      <c r="C312" s="1670">
        <f>SUM(C303)</f>
        <v>0</v>
      </c>
      <c r="D312" s="1670">
        <f>SUM(D303)</f>
        <v>0</v>
      </c>
      <c r="E312" s="1670">
        <f>SUM(E303,E310)</f>
        <v>134900</v>
      </c>
      <c r="F312" s="1670">
        <f>SUM(F303)</f>
        <v>7052</v>
      </c>
      <c r="G312" s="1670">
        <f>SUM(G303)</f>
        <v>125056</v>
      </c>
      <c r="H312" s="1670">
        <f>SUM(H303,H310)</f>
        <v>0</v>
      </c>
      <c r="I312" s="1670">
        <f>SUM(I303)</f>
        <v>0</v>
      </c>
      <c r="J312" s="1670">
        <f>SUM(J303)</f>
        <v>0</v>
      </c>
      <c r="K312" s="1670">
        <f>SUM(K303,K310,K311)</f>
        <v>267008</v>
      </c>
      <c r="L312" s="1670">
        <f>SUM(L303,L310,L311)</f>
        <v>369000</v>
      </c>
      <c r="M312" s="665"/>
      <c r="N312" s="665"/>
    </row>
    <row r="313" spans="1:14" ht="13.5" thickTop="1" x14ac:dyDescent="0.2">
      <c r="A313" s="2171" t="s">
        <v>996</v>
      </c>
      <c r="B313" s="2172"/>
      <c r="C313" s="626"/>
      <c r="D313" s="626"/>
      <c r="E313" s="626"/>
      <c r="F313" s="626"/>
      <c r="G313" s="626"/>
      <c r="H313" s="626"/>
      <c r="I313" s="626"/>
      <c r="J313" s="626"/>
      <c r="K313" s="1685">
        <f>'Revenues 9-14'!H268-'Expenditures 15-22'!K312</f>
        <v>55621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898</v>
      </c>
      <c r="B317" s="2185"/>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3000</v>
      </c>
      <c r="M319" s="665"/>
      <c r="N319" s="665"/>
    </row>
    <row r="320" spans="1:14" s="674" customFormat="1" x14ac:dyDescent="0.2">
      <c r="A320" s="1523" t="s">
        <v>1802</v>
      </c>
      <c r="B320" s="698" t="s">
        <v>282</v>
      </c>
      <c r="C320" s="467"/>
      <c r="D320" s="467"/>
      <c r="E320" s="467">
        <v>84147</v>
      </c>
      <c r="F320" s="467"/>
      <c r="G320" s="467"/>
      <c r="H320" s="467"/>
      <c r="I320" s="467"/>
      <c r="J320" s="467"/>
      <c r="K320" s="1671">
        <f t="shared" ref="K320:K327" si="24">SUM(C320:J320)</f>
        <v>84147</v>
      </c>
      <c r="L320" s="467">
        <v>70000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15000</v>
      </c>
      <c r="M321" s="665"/>
      <c r="N321" s="665"/>
    </row>
    <row r="322" spans="1:14" s="674" customFormat="1" x14ac:dyDescent="0.2">
      <c r="A322" s="1519" t="s">
        <v>238</v>
      </c>
      <c r="B322" s="697" t="s">
        <v>284</v>
      </c>
      <c r="C322" s="467"/>
      <c r="D322" s="467"/>
      <c r="E322" s="467">
        <v>25895</v>
      </c>
      <c r="F322" s="467"/>
      <c r="G322" s="467"/>
      <c r="H322" s="467"/>
      <c r="I322" s="467"/>
      <c r="J322" s="467"/>
      <c r="K322" s="1671">
        <f t="shared" si="24"/>
        <v>25895</v>
      </c>
      <c r="L322" s="467">
        <v>23100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123580</v>
      </c>
      <c r="D325" s="467"/>
      <c r="E325" s="467">
        <v>64900</v>
      </c>
      <c r="F325" s="467">
        <v>2642</v>
      </c>
      <c r="G325" s="467"/>
      <c r="H325" s="467"/>
      <c r="I325" s="467"/>
      <c r="J325" s="467"/>
      <c r="K325" s="1671">
        <f t="shared" si="24"/>
        <v>191122</v>
      </c>
      <c r="L325" s="467">
        <v>211800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11494</v>
      </c>
      <c r="F327" s="467"/>
      <c r="G327" s="467"/>
      <c r="H327" s="467"/>
      <c r="I327" s="467"/>
      <c r="J327" s="467"/>
      <c r="K327" s="1671">
        <f t="shared" si="24"/>
        <v>11494</v>
      </c>
      <c r="L327" s="467">
        <v>15000</v>
      </c>
      <c r="M327" s="665"/>
      <c r="N327" s="665"/>
    </row>
    <row r="328" spans="1:14" s="674" customFormat="1" x14ac:dyDescent="0.2">
      <c r="A328" s="1520" t="s">
        <v>472</v>
      </c>
      <c r="B328" s="690" t="s">
        <v>1132</v>
      </c>
      <c r="C328" s="474"/>
      <c r="D328" s="474"/>
      <c r="E328" s="474">
        <v>107658</v>
      </c>
      <c r="F328" s="474"/>
      <c r="G328" s="474"/>
      <c r="H328" s="474"/>
      <c r="I328" s="474"/>
      <c r="J328" s="474"/>
      <c r="K328" s="1699">
        <f>SUM(C328:J328)</f>
        <v>107658</v>
      </c>
      <c r="L328" s="474">
        <v>107700</v>
      </c>
      <c r="M328" s="665"/>
      <c r="N328" s="665"/>
    </row>
    <row r="329" spans="1:14" s="674" customFormat="1" x14ac:dyDescent="0.2">
      <c r="A329" s="1520" t="s">
        <v>1133</v>
      </c>
      <c r="B329" s="690" t="s">
        <v>1134</v>
      </c>
      <c r="C329" s="474"/>
      <c r="D329" s="474"/>
      <c r="E329" s="474">
        <v>10349</v>
      </c>
      <c r="F329" s="474"/>
      <c r="G329" s="474"/>
      <c r="H329" s="474"/>
      <c r="I329" s="474"/>
      <c r="J329" s="474"/>
      <c r="K329" s="1699">
        <f>SUM(C329:J329)</f>
        <v>10349</v>
      </c>
      <c r="L329" s="474">
        <v>9800</v>
      </c>
      <c r="M329" s="665"/>
      <c r="N329" s="665"/>
    </row>
    <row r="330" spans="1:14" s="674" customFormat="1" ht="12.75" customHeight="1" thickBot="1" x14ac:dyDescent="0.25">
      <c r="A330" s="1700" t="s">
        <v>717</v>
      </c>
      <c r="B330" s="1669" t="s">
        <v>569</v>
      </c>
      <c r="C330" s="1670">
        <f>SUM(C319:C329)</f>
        <v>123580</v>
      </c>
      <c r="D330" s="1670">
        <f t="shared" ref="D330:J330" si="25">SUM(D319:D329)</f>
        <v>0</v>
      </c>
      <c r="E330" s="1670">
        <f t="shared" si="25"/>
        <v>304443</v>
      </c>
      <c r="F330" s="1670">
        <f t="shared" si="25"/>
        <v>2642</v>
      </c>
      <c r="G330" s="1670">
        <f t="shared" si="25"/>
        <v>0</v>
      </c>
      <c r="H330" s="1670">
        <f t="shared" si="25"/>
        <v>0</v>
      </c>
      <c r="I330" s="1670">
        <f t="shared" si="25"/>
        <v>0</v>
      </c>
      <c r="J330" s="1670">
        <f t="shared" si="25"/>
        <v>0</v>
      </c>
      <c r="K330" s="1670">
        <f>SUM(K319:K329)</f>
        <v>430665</v>
      </c>
      <c r="L330" s="1670">
        <f>SUM(L319:L329)</f>
        <v>455400</v>
      </c>
      <c r="M330" s="665"/>
      <c r="N330" s="665"/>
    </row>
    <row r="331" spans="1:14" s="674" customFormat="1" ht="12.75" customHeight="1" thickTop="1" x14ac:dyDescent="0.2">
      <c r="A331" s="1831" t="s">
        <v>1847</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1841</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1843</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1848</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123580</v>
      </c>
      <c r="D342" s="1670">
        <f>SUM(D330)</f>
        <v>0</v>
      </c>
      <c r="E342" s="1670">
        <f>SUM(E330)</f>
        <v>304443</v>
      </c>
      <c r="F342" s="1670">
        <f>SUM(F330)</f>
        <v>2642</v>
      </c>
      <c r="G342" s="1670">
        <f>SUM(G330)</f>
        <v>0</v>
      </c>
      <c r="H342" s="1670">
        <f>SUM(H330,H334,H340)</f>
        <v>0</v>
      </c>
      <c r="I342" s="1670">
        <f>SUM(I330)</f>
        <v>0</v>
      </c>
      <c r="J342" s="1670">
        <f>SUM(J330)</f>
        <v>0</v>
      </c>
      <c r="K342" s="1670">
        <f>SUM(K330,K334,K340)</f>
        <v>430665</v>
      </c>
      <c r="L342" s="1677">
        <f>SUM(L330,L334,L340,L341)</f>
        <v>455400</v>
      </c>
    </row>
    <row r="343" spans="1:14" ht="12.75" customHeight="1" thickTop="1" x14ac:dyDescent="0.2">
      <c r="A343" s="2173" t="s">
        <v>996</v>
      </c>
      <c r="B343" s="2174"/>
      <c r="C343" s="616"/>
      <c r="D343" s="616"/>
      <c r="E343" s="616"/>
      <c r="F343" s="616"/>
      <c r="G343" s="616"/>
      <c r="H343" s="616"/>
      <c r="I343" s="616"/>
      <c r="J343" s="616"/>
      <c r="K343" s="1684">
        <f>'Revenues 9-14'!J268-'Expenditures 15-22'!K342</f>
        <v>-24156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966</v>
      </c>
      <c r="B345" s="2164"/>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v>60000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60000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60000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row>
    <row r="355" spans="1:14" ht="12.75" customHeight="1" x14ac:dyDescent="0.2">
      <c r="A355" s="1513" t="s">
        <v>1850</v>
      </c>
      <c r="B355" s="690" t="s">
        <v>1843</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60000</v>
      </c>
    </row>
    <row r="368" spans="1:14" ht="13.5" thickTop="1" x14ac:dyDescent="0.2">
      <c r="A368" s="2187" t="s">
        <v>996</v>
      </c>
      <c r="B368" s="2188"/>
      <c r="C368" s="654"/>
      <c r="D368" s="654"/>
      <c r="E368" s="626"/>
      <c r="F368" s="626"/>
      <c r="G368" s="626"/>
      <c r="H368" s="626"/>
      <c r="I368" s="626"/>
      <c r="J368" s="623"/>
      <c r="K368" s="1671">
        <f>'Revenues 9-14'!K268-'Expenditures 15-22'!K367</f>
        <v>51844</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4d435f69-8686-490b-bd6d-b153bf22ab50"/>
    <ds:schemaRef ds:uri="d21dc803-237d-4c68-8692-8d731fd29118"/>
    <ds:schemaRef ds:uri="http://schemas.microsoft.com/office/2006/metadata/properties"/>
    <ds:schemaRef ds:uri="http://purl.org/dc/dcmitype/"/>
    <ds:schemaRef ds:uri="http://schemas.microsoft.com/sharepoint/v3"/>
    <ds:schemaRef ds:uri="http://purl.org/dc/elements/1.1/"/>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6ce3111e-7420-4802-b50a-75d4e9a0b980"/>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2020-01-02T20:57:55Z</cp:lastPrinted>
  <dcterms:created xsi:type="dcterms:W3CDTF">2003-10-29T19:06:34Z</dcterms:created>
  <dcterms:modified xsi:type="dcterms:W3CDTF">2020-01-13T16:42:23Z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