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17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G138" i="181" s="1"/>
  <c r="F137" i="181"/>
  <c r="G137" i="181" s="1"/>
  <c r="F136" i="181"/>
  <c r="F135" i="181"/>
  <c r="G135" i="181" s="1"/>
  <c r="F134" i="181"/>
  <c r="G134" i="181" s="1"/>
  <c r="F133" i="181"/>
  <c r="G133" i="181" s="1"/>
  <c r="F132" i="181"/>
  <c r="F131" i="181"/>
  <c r="F130" i="181"/>
  <c r="G130" i="181" s="1"/>
  <c r="F129" i="181"/>
  <c r="G129" i="181" s="1"/>
  <c r="F128" i="181"/>
  <c r="F127" i="181"/>
  <c r="F126" i="181"/>
  <c r="G126" i="181" s="1"/>
  <c r="F125" i="181"/>
  <c r="G125" i="181" s="1"/>
  <c r="F124" i="181"/>
  <c r="F123" i="181"/>
  <c r="F122" i="181"/>
  <c r="G122" i="181" s="1"/>
  <c r="F121" i="181"/>
  <c r="G121" i="181" s="1"/>
  <c r="F120" i="181"/>
  <c r="F119" i="181"/>
  <c r="G119" i="181" s="1"/>
  <c r="F118" i="181"/>
  <c r="G118" i="181" s="1"/>
  <c r="F117" i="181"/>
  <c r="G117" i="181" s="1"/>
  <c r="F116" i="181"/>
  <c r="F115" i="181"/>
  <c r="F114" i="181"/>
  <c r="G114" i="181" s="1"/>
  <c r="F113" i="181"/>
  <c r="G113" i="181" s="1"/>
  <c r="F112" i="181"/>
  <c r="F111" i="181"/>
  <c r="G111" i="181" s="1"/>
  <c r="F110" i="181"/>
  <c r="G110" i="181" s="1"/>
  <c r="F109" i="181"/>
  <c r="G109" i="181" s="1"/>
  <c r="F108" i="181"/>
  <c r="F107" i="181"/>
  <c r="F106" i="181"/>
  <c r="G106" i="181" s="1"/>
  <c r="F105" i="181"/>
  <c r="G105" i="181" s="1"/>
  <c r="F104" i="181"/>
  <c r="G104" i="181" s="1"/>
  <c r="F103" i="181"/>
  <c r="G103" i="181" s="1"/>
  <c r="F102" i="181"/>
  <c r="G102" i="181" s="1"/>
  <c r="F101" i="181"/>
  <c r="G101" i="181" s="1"/>
  <c r="F100" i="181"/>
  <c r="F99" i="181"/>
  <c r="G99" i="181" s="1"/>
  <c r="F98" i="181"/>
  <c r="G98" i="181" s="1"/>
  <c r="F97" i="181"/>
  <c r="G97" i="181" s="1"/>
  <c r="F96" i="181"/>
  <c r="F95" i="181"/>
  <c r="F94" i="181"/>
  <c r="G94" i="181" s="1"/>
  <c r="F93" i="181"/>
  <c r="G93" i="181" s="1"/>
  <c r="F92" i="181"/>
  <c r="F91" i="181"/>
  <c r="F90" i="181"/>
  <c r="G90" i="181" s="1"/>
  <c r="F89" i="181"/>
  <c r="G89" i="181" s="1"/>
  <c r="F88" i="181"/>
  <c r="G88" i="181" s="1"/>
  <c r="F87" i="181"/>
  <c r="G87" i="181" s="1"/>
  <c r="F86" i="181"/>
  <c r="G86" i="181" s="1"/>
  <c r="F85" i="181"/>
  <c r="G85" i="181" s="1"/>
  <c r="F84" i="181"/>
  <c r="G84" i="181" s="1"/>
  <c r="F83" i="181"/>
  <c r="G83" i="181" s="1"/>
  <c r="F82" i="181"/>
  <c r="G82" i="181" s="1"/>
  <c r="F81" i="181"/>
  <c r="G81" i="181" s="1"/>
  <c r="F80" i="181"/>
  <c r="F79" i="181"/>
  <c r="G79" i="181" s="1"/>
  <c r="F78" i="181"/>
  <c r="G78" i="181" s="1"/>
  <c r="F77" i="181"/>
  <c r="G77" i="181" s="1"/>
  <c r="F76" i="181"/>
  <c r="F75" i="181"/>
  <c r="G75" i="181" s="1"/>
  <c r="F74" i="181"/>
  <c r="G74" i="181" s="1"/>
  <c r="F73" i="181"/>
  <c r="G73" i="181" s="1"/>
  <c r="F72" i="181"/>
  <c r="G72" i="181" s="1"/>
  <c r="F71" i="181"/>
  <c r="G71" i="181" s="1"/>
  <c r="F70" i="181"/>
  <c r="G70" i="181" s="1"/>
  <c r="F69" i="181"/>
  <c r="G69" i="181" s="1"/>
  <c r="F68" i="181"/>
  <c r="G68" i="181" s="1"/>
  <c r="F67" i="181"/>
  <c r="G67" i="181" s="1"/>
  <c r="F66" i="181"/>
  <c r="F65" i="181"/>
  <c r="F64" i="181"/>
  <c r="G64" i="181" s="1"/>
  <c r="F63" i="181"/>
  <c r="G63" i="181" s="1"/>
  <c r="F62" i="181"/>
  <c r="G62" i="181" s="1"/>
  <c r="F61" i="181"/>
  <c r="G61" i="181" s="1"/>
  <c r="F60" i="181"/>
  <c r="G60" i="181" s="1"/>
  <c r="F59" i="181"/>
  <c r="G59" i="181" s="1"/>
  <c r="F58" i="181"/>
  <c r="G58" i="181" s="1"/>
  <c r="F57" i="181"/>
  <c r="G57" i="181" s="1"/>
  <c r="F56" i="181"/>
  <c r="F55" i="181"/>
  <c r="G55" i="181" s="1"/>
  <c r="F54" i="181"/>
  <c r="G54" i="181" s="1"/>
  <c r="F53" i="181"/>
  <c r="G53" i="181" s="1"/>
  <c r="F52" i="181"/>
  <c r="G52" i="181" s="1"/>
  <c r="F51" i="181"/>
  <c r="G51" i="181" s="1"/>
  <c r="F50" i="181"/>
  <c r="G50" i="181" s="1"/>
  <c r="F49" i="181"/>
  <c r="F48" i="181"/>
  <c r="G48" i="181" s="1"/>
  <c r="F47" i="181"/>
  <c r="G47" i="181" s="1"/>
  <c r="F46" i="181"/>
  <c r="G46" i="181" s="1"/>
  <c r="B15" i="7"/>
  <c r="B1756" i="106" s="1"/>
  <c r="D1756" i="106" s="1"/>
  <c r="D167" i="34"/>
  <c r="D166" i="34"/>
  <c r="C167" i="34"/>
  <c r="C166" i="34"/>
  <c r="F167" i="34"/>
  <c r="F166" i="34"/>
  <c r="B7812" i="106"/>
  <c r="D7812" i="106" s="1"/>
  <c r="B7811" i="106"/>
  <c r="D7811" i="106" s="1"/>
  <c r="B7810" i="106"/>
  <c r="D7810" i="106" s="1"/>
  <c r="B7809" i="106"/>
  <c r="D7809" i="106" s="1"/>
  <c r="B7816" i="106"/>
  <c r="D7816" i="106" s="1"/>
  <c r="B7815" i="106"/>
  <c r="D7815" i="106" s="1"/>
  <c r="B7814" i="106"/>
  <c r="D7814" i="106" s="1"/>
  <c r="B7813" i="106"/>
  <c r="D7813" i="106" s="1"/>
  <c r="B7808" i="106"/>
  <c r="D7808" i="106" s="1"/>
  <c r="B7807" i="106"/>
  <c r="D7807" i="106" s="1"/>
  <c r="B7806" i="106"/>
  <c r="D7806" i="106" s="1"/>
  <c r="B7805" i="106"/>
  <c r="D7805" i="106" s="1"/>
  <c r="B7804" i="106"/>
  <c r="D7804" i="106" s="1"/>
  <c r="B7803" i="106"/>
  <c r="D7803" i="106" s="1"/>
  <c r="B7802" i="106"/>
  <c r="D7802" i="106" s="1"/>
  <c r="B7801" i="106"/>
  <c r="D7801" i="106" s="1"/>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5" i="29"/>
  <c r="B1093" i="106" s="1"/>
  <c r="D1093" i="106" s="1"/>
  <c r="K6" i="29"/>
  <c r="B7763" i="106" s="1"/>
  <c r="D7763" i="106" s="1"/>
  <c r="K7" i="29"/>
  <c r="B6848" i="106" s="1"/>
  <c r="D6848" i="106" s="1"/>
  <c r="K8" i="29"/>
  <c r="K9" i="29"/>
  <c r="B6853" i="106" s="1"/>
  <c r="D6853" i="106" s="1"/>
  <c r="K10" i="29"/>
  <c r="K11" i="29"/>
  <c r="K12" i="29"/>
  <c r="K13" i="29"/>
  <c r="B1105" i="106" s="1"/>
  <c r="D1105" i="106" s="1"/>
  <c r="K14" i="29"/>
  <c r="B1106" i="106" s="1"/>
  <c r="D1106" i="106" s="1"/>
  <c r="K15" i="29"/>
  <c r="F38" i="34" s="1"/>
  <c r="K16" i="29"/>
  <c r="K17" i="29"/>
  <c r="B6871" i="106" s="1"/>
  <c r="D6871" i="106" s="1"/>
  <c r="K18" i="29"/>
  <c r="K19" i="29"/>
  <c r="K20" i="29"/>
  <c r="K21" i="29"/>
  <c r="K22" i="29"/>
  <c r="F41" i="34" s="1"/>
  <c r="K23" i="29"/>
  <c r="F42" i="34" s="1"/>
  <c r="K24" i="29"/>
  <c r="K25" i="29"/>
  <c r="F44" i="34" s="1"/>
  <c r="K26" i="29"/>
  <c r="K27" i="29"/>
  <c r="K28" i="29"/>
  <c r="K29" i="29"/>
  <c r="K30" i="29"/>
  <c r="F49" i="34" s="1"/>
  <c r="K31" i="29"/>
  <c r="B6899" i="106" s="1"/>
  <c r="D6899" i="106" s="1"/>
  <c r="K32" i="29"/>
  <c r="K36" i="29"/>
  <c r="B1109" i="106" s="1"/>
  <c r="D1109" i="106" s="1"/>
  <c r="K37" i="29"/>
  <c r="K38" i="29"/>
  <c r="K39" i="29"/>
  <c r="K40" i="29"/>
  <c r="B1113" i="106" s="1"/>
  <c r="D1113" i="106" s="1"/>
  <c r="K41" i="29"/>
  <c r="B1114" i="106" s="1"/>
  <c r="D1114" i="106" s="1"/>
  <c r="K44" i="29"/>
  <c r="B1116" i="106" s="1"/>
  <c r="D1116" i="106" s="1"/>
  <c r="K45" i="29"/>
  <c r="K46" i="29"/>
  <c r="B1118" i="106" s="1"/>
  <c r="D1118" i="106" s="1"/>
  <c r="K49" i="29"/>
  <c r="K50" i="29"/>
  <c r="K51" i="29"/>
  <c r="K52" i="29"/>
  <c r="B6940" i="106" s="1"/>
  <c r="D6940" i="106" s="1"/>
  <c r="K55" i="29"/>
  <c r="B1123" i="106" s="1"/>
  <c r="D1123" i="106" s="1"/>
  <c r="K56" i="29"/>
  <c r="E14" i="145" s="1"/>
  <c r="G14" i="145" s="1"/>
  <c r="K59" i="29"/>
  <c r="K60" i="29"/>
  <c r="D27" i="108" s="1"/>
  <c r="K61" i="29"/>
  <c r="K62" i="29"/>
  <c r="K63" i="29"/>
  <c r="K64" i="29"/>
  <c r="F31" i="108" s="1"/>
  <c r="K67" i="29"/>
  <c r="E17" i="145" s="1"/>
  <c r="G17" i="145" s="1"/>
  <c r="K68" i="29"/>
  <c r="E34" i="108" s="1"/>
  <c r="K69" i="29"/>
  <c r="K70" i="29"/>
  <c r="B1137" i="106" s="1"/>
  <c r="D1137" i="106" s="1"/>
  <c r="K71" i="29"/>
  <c r="K73" i="29"/>
  <c r="K75" i="29"/>
  <c r="K78" i="29"/>
  <c r="B2973" i="106" s="1"/>
  <c r="D2973" i="106" s="1"/>
  <c r="K79" i="29"/>
  <c r="B2974" i="106" s="1"/>
  <c r="D2974" i="106" s="1"/>
  <c r="K80" i="29"/>
  <c r="K81" i="29"/>
  <c r="K82" i="29"/>
  <c r="B2977" i="106" s="1"/>
  <c r="D2977" i="106" s="1"/>
  <c r="K83" i="29"/>
  <c r="H92" i="29"/>
  <c r="K92" i="29" s="1"/>
  <c r="B2089" i="106" s="1"/>
  <c r="D2089" i="106" s="1"/>
  <c r="K93" i="29"/>
  <c r="K94" i="29"/>
  <c r="B6999" i="106" s="1"/>
  <c r="D6999" i="106" s="1"/>
  <c r="K95" i="29"/>
  <c r="B7001" i="106" s="1"/>
  <c r="D7001" i="106" s="1"/>
  <c r="K96" i="29"/>
  <c r="B7003" i="106" s="1"/>
  <c r="D7003" i="106" s="1"/>
  <c r="K97" i="29"/>
  <c r="K98" i="29"/>
  <c r="B7007" i="106" s="1"/>
  <c r="D7007" i="106" s="1"/>
  <c r="K99" i="29"/>
  <c r="K101" i="29"/>
  <c r="K105" i="29"/>
  <c r="K106" i="29"/>
  <c r="K107" i="29"/>
  <c r="B2795" i="106" s="1"/>
  <c r="D2795" i="106" s="1"/>
  <c r="K108" i="29"/>
  <c r="B2796" i="106" s="1"/>
  <c r="D2796" i="106" s="1"/>
  <c r="K109" i="29"/>
  <c r="K111" i="29"/>
  <c r="B7017" i="106" s="1"/>
  <c r="D7017" i="106" s="1"/>
  <c r="K120" i="29"/>
  <c r="B4080" i="106" s="1"/>
  <c r="D4080" i="106" s="1"/>
  <c r="K122" i="29"/>
  <c r="K123" i="29"/>
  <c r="K124" i="29"/>
  <c r="B1276" i="106" s="1"/>
  <c r="D1276" i="106" s="1"/>
  <c r="K125" i="29"/>
  <c r="K126" i="29"/>
  <c r="B1277" i="106" s="1"/>
  <c r="D1277" i="106" s="1"/>
  <c r="K128" i="29"/>
  <c r="K130" i="29"/>
  <c r="G39" i="108" s="1"/>
  <c r="K133" i="29"/>
  <c r="K134" i="29"/>
  <c r="K135" i="29"/>
  <c r="K136" i="29"/>
  <c r="B2988" i="106" s="1"/>
  <c r="D2988" i="106" s="1"/>
  <c r="K138" i="29"/>
  <c r="B2094" i="106" s="1"/>
  <c r="D2094" i="106" s="1"/>
  <c r="K142" i="29"/>
  <c r="B1283" i="106" s="1"/>
  <c r="D1283" i="106" s="1"/>
  <c r="K143" i="29"/>
  <c r="K144" i="29"/>
  <c r="B2810" i="106" s="1"/>
  <c r="D2810" i="106" s="1"/>
  <c r="K145" i="29"/>
  <c r="B2811" i="106" s="1"/>
  <c r="D2811" i="106" s="1"/>
  <c r="K146" i="29"/>
  <c r="K148" i="29"/>
  <c r="K157" i="29"/>
  <c r="B7778" i="106" s="1"/>
  <c r="D7778" i="106" s="1"/>
  <c r="K158" i="29"/>
  <c r="B7780" i="106" s="1"/>
  <c r="D7780" i="106" s="1"/>
  <c r="K159" i="29"/>
  <c r="B7782" i="106" s="1"/>
  <c r="D7782" i="106" s="1"/>
  <c r="K163" i="29"/>
  <c r="K164" i="29"/>
  <c r="B1325" i="106" s="1"/>
  <c r="D1325" i="106" s="1"/>
  <c r="K165" i="29"/>
  <c r="K166" i="29"/>
  <c r="K167" i="29"/>
  <c r="K169" i="29"/>
  <c r="B1326" i="106" s="1"/>
  <c r="D1326" i="106" s="1"/>
  <c r="K170" i="29"/>
  <c r="F61" i="34" s="1"/>
  <c r="K171" i="29"/>
  <c r="B1330" i="106" s="1"/>
  <c r="D1330" i="106" s="1"/>
  <c r="K180" i="29"/>
  <c r="K182" i="29"/>
  <c r="B1377" i="106" s="1"/>
  <c r="D1377" i="106" s="1"/>
  <c r="K183" i="29"/>
  <c r="K185" i="29"/>
  <c r="K188" i="29"/>
  <c r="K189" i="29"/>
  <c r="B3008" i="106" s="1"/>
  <c r="D3008" i="106" s="1"/>
  <c r="K190" i="29"/>
  <c r="B3009" i="106" s="1"/>
  <c r="D3009" i="106" s="1"/>
  <c r="K191" i="29"/>
  <c r="B3010" i="106" s="1"/>
  <c r="D3010" i="106" s="1"/>
  <c r="K192" i="29"/>
  <c r="K193" i="29"/>
  <c r="K195" i="29"/>
  <c r="K199" i="29"/>
  <c r="K200" i="29"/>
  <c r="K201" i="29"/>
  <c r="B2841" i="106" s="1"/>
  <c r="D2841" i="106" s="1"/>
  <c r="K202" i="29"/>
  <c r="B2842" i="106" s="1"/>
  <c r="D2842" i="106" s="1"/>
  <c r="K203" i="29"/>
  <c r="B1385" i="106" s="1"/>
  <c r="D1385" i="106" s="1"/>
  <c r="K205" i="29"/>
  <c r="K206" i="29"/>
  <c r="F64" i="34" s="1"/>
  <c r="K207" i="29"/>
  <c r="K215" i="29"/>
  <c r="K216" i="29"/>
  <c r="K217" i="29"/>
  <c r="B3391" i="106" s="1"/>
  <c r="D3391" i="106" s="1"/>
  <c r="K218" i="29"/>
  <c r="F68" i="34" s="1"/>
  <c r="K219" i="29"/>
  <c r="B3065" i="106" s="1"/>
  <c r="D3065" i="106" s="1"/>
  <c r="K220" i="29"/>
  <c r="K221" i="29"/>
  <c r="F70" i="34" s="1"/>
  <c r="K222" i="29"/>
  <c r="K223" i="29"/>
  <c r="K224" i="29"/>
  <c r="K225" i="29"/>
  <c r="B1460" i="106" s="1"/>
  <c r="D1460" i="106" s="1"/>
  <c r="K226" i="29"/>
  <c r="B7080" i="106" s="1"/>
  <c r="D7080" i="106" s="1"/>
  <c r="K227" i="29"/>
  <c r="B1466" i="106" s="1"/>
  <c r="D1466" i="106" s="1"/>
  <c r="K228" i="29"/>
  <c r="K232" i="29"/>
  <c r="B1475" i="106" s="1"/>
  <c r="D1475" i="106" s="1"/>
  <c r="K233" i="29"/>
  <c r="K234" i="29"/>
  <c r="K235" i="29"/>
  <c r="K236" i="29"/>
  <c r="K237" i="29"/>
  <c r="B1480" i="106" s="1"/>
  <c r="D1480" i="106" s="1"/>
  <c r="K240" i="29"/>
  <c r="B1482" i="106" s="1"/>
  <c r="D1482" i="106" s="1"/>
  <c r="K241" i="29"/>
  <c r="K242" i="29"/>
  <c r="B1484" i="106" s="1"/>
  <c r="D1484" i="106" s="1"/>
  <c r="K245" i="29"/>
  <c r="K246" i="29"/>
  <c r="K247" i="29"/>
  <c r="K248" i="29"/>
  <c r="B7082" i="106" s="1"/>
  <c r="D7082" i="106" s="1"/>
  <c r="K249" i="29"/>
  <c r="B7084" i="106" s="1"/>
  <c r="D7084" i="106" s="1"/>
  <c r="K250" i="29"/>
  <c r="B7086" i="106" s="1"/>
  <c r="D7086" i="106" s="1"/>
  <c r="K251" i="29"/>
  <c r="K252" i="29"/>
  <c r="K253" i="29"/>
  <c r="K254" i="29"/>
  <c r="K255" i="29"/>
  <c r="K256" i="29"/>
  <c r="B7098" i="106" s="1"/>
  <c r="D7098" i="106" s="1"/>
  <c r="K259" i="29"/>
  <c r="K260" i="29"/>
  <c r="B1490" i="106" s="1"/>
  <c r="D1490" i="106" s="1"/>
  <c r="K263" i="29"/>
  <c r="K264" i="29"/>
  <c r="B1493" i="106" s="1"/>
  <c r="D1493" i="106" s="1"/>
  <c r="K265" i="29"/>
  <c r="K266" i="29"/>
  <c r="K267" i="29"/>
  <c r="K268" i="29"/>
  <c r="B1497" i="106" s="1"/>
  <c r="D1497" i="106" s="1"/>
  <c r="K269" i="29"/>
  <c r="B1498" i="106" s="1"/>
  <c r="D1498" i="106" s="1"/>
  <c r="K272" i="29"/>
  <c r="B1501" i="106" s="1"/>
  <c r="D1501" i="106" s="1"/>
  <c r="K273" i="29"/>
  <c r="K274" i="29"/>
  <c r="B1503" i="106" s="1"/>
  <c r="D1503" i="106" s="1"/>
  <c r="K275" i="29"/>
  <c r="K276" i="29"/>
  <c r="K278" i="29"/>
  <c r="K280" i="29"/>
  <c r="G14" i="4" s="1"/>
  <c r="B2609" i="106" s="1"/>
  <c r="D2609" i="106" s="1"/>
  <c r="K282" i="29"/>
  <c r="B7784" i="106" s="1"/>
  <c r="D7784" i="106" s="1"/>
  <c r="K283" i="29"/>
  <c r="B3723" i="106" s="1"/>
  <c r="D3723" i="106" s="1"/>
  <c r="K284" i="29"/>
  <c r="K288" i="29"/>
  <c r="B1512" i="106" s="1"/>
  <c r="D1512" i="106" s="1"/>
  <c r="K289" i="29"/>
  <c r="K290" i="29"/>
  <c r="K291" i="29"/>
  <c r="B2846" i="106" s="1"/>
  <c r="D2846" i="106" s="1"/>
  <c r="K292" i="29"/>
  <c r="B1514" i="106" s="1"/>
  <c r="D1514" i="106" s="1"/>
  <c r="K319" i="29"/>
  <c r="B7126" i="106" s="1"/>
  <c r="D7126" i="106" s="1"/>
  <c r="K320" i="29"/>
  <c r="K321" i="29"/>
  <c r="K322" i="29"/>
  <c r="B7153" i="106" s="1"/>
  <c r="D7153" i="106" s="1"/>
  <c r="K323" i="29"/>
  <c r="K324" i="29"/>
  <c r="K325" i="29"/>
  <c r="K326" i="29"/>
  <c r="B7189" i="106" s="1"/>
  <c r="D7189" i="106" s="1"/>
  <c r="K327" i="29"/>
  <c r="B7198" i="106" s="1"/>
  <c r="D7198" i="106" s="1"/>
  <c r="K328" i="29"/>
  <c r="K329" i="29"/>
  <c r="K332" i="29"/>
  <c r="K334" i="29" s="1"/>
  <c r="B7790" i="106" s="1"/>
  <c r="D7790" i="106" s="1"/>
  <c r="K333" i="29"/>
  <c r="K337" i="29"/>
  <c r="B7209" i="106" s="1"/>
  <c r="D7209" i="106" s="1"/>
  <c r="K338" i="29"/>
  <c r="B7211" i="106" s="1"/>
  <c r="D7211" i="106" s="1"/>
  <c r="K339" i="29"/>
  <c r="B7213" i="106" s="1"/>
  <c r="D7213" i="106" s="1"/>
  <c r="F18" i="34"/>
  <c r="F19" i="34"/>
  <c r="F20" i="34"/>
  <c r="F21" i="34"/>
  <c r="F22" i="34"/>
  <c r="F23" i="34"/>
  <c r="F24" i="34"/>
  <c r="F25" i="34"/>
  <c r="F26" i="34"/>
  <c r="F27" i="34"/>
  <c r="F28" i="34"/>
  <c r="F30" i="34"/>
  <c r="F31" i="34"/>
  <c r="F32" i="34"/>
  <c r="F33" i="34"/>
  <c r="F34" i="34"/>
  <c r="F36" i="34"/>
  <c r="F37" i="34"/>
  <c r="F39" i="34"/>
  <c r="F43" i="34"/>
  <c r="F45" i="34"/>
  <c r="F46" i="34"/>
  <c r="F47" i="34"/>
  <c r="F51" i="34"/>
  <c r="F52" i="34"/>
  <c r="G33" i="29"/>
  <c r="B952" i="106" s="1"/>
  <c r="D952" i="106" s="1"/>
  <c r="G42" i="29"/>
  <c r="G47" i="29"/>
  <c r="G53" i="29"/>
  <c r="G57" i="29"/>
  <c r="G65" i="29"/>
  <c r="G72" i="29"/>
  <c r="B985" i="106" s="1"/>
  <c r="D985" i="106" s="1"/>
  <c r="I33" i="29"/>
  <c r="B6902" i="106" s="1"/>
  <c r="D6902" i="106" s="1"/>
  <c r="I42" i="29"/>
  <c r="B6916" i="106" s="1"/>
  <c r="D6916" i="106" s="1"/>
  <c r="I47" i="29"/>
  <c r="I53" i="29"/>
  <c r="I57" i="29"/>
  <c r="I65" i="29"/>
  <c r="I72" i="29"/>
  <c r="B6973" i="106" s="1"/>
  <c r="D6973" i="106" s="1"/>
  <c r="G127" i="29"/>
  <c r="B1256" i="106" s="1"/>
  <c r="D1256" i="106" s="1"/>
  <c r="I127" i="29"/>
  <c r="F62" i="34"/>
  <c r="G184" i="29"/>
  <c r="B1364" i="106" s="1"/>
  <c r="D1364" i="106" s="1"/>
  <c r="I184" i="29"/>
  <c r="I210" i="29" s="1"/>
  <c r="F66" i="34" s="1"/>
  <c r="F67" i="34"/>
  <c r="F69" i="34"/>
  <c r="F71" i="34"/>
  <c r="K356" i="29"/>
  <c r="K355" i="29"/>
  <c r="B3674" i="106" s="1"/>
  <c r="D3674" i="106" s="1"/>
  <c r="K354" i="29"/>
  <c r="H357" i="29"/>
  <c r="L334" i="29"/>
  <c r="B7788" i="106"/>
  <c r="D7788" i="106" s="1"/>
  <c r="H334" i="29"/>
  <c r="B7789" i="106" s="1"/>
  <c r="D7789" i="106" s="1"/>
  <c r="H160" i="29"/>
  <c r="B7795" i="106"/>
  <c r="B7776" i="106"/>
  <c r="D7776" i="106" s="1"/>
  <c r="B7793" i="106"/>
  <c r="B7791" i="106"/>
  <c r="D7791" i="106" s="1"/>
  <c r="B7787" i="106"/>
  <c r="B7785" i="106"/>
  <c r="D7785" i="106" s="1"/>
  <c r="B7783" i="106"/>
  <c r="D7783" i="106" s="1"/>
  <c r="B7781" i="106"/>
  <c r="D7781" i="106" s="1"/>
  <c r="B7779" i="106"/>
  <c r="B7777" i="106"/>
  <c r="D7777" i="106" s="1"/>
  <c r="B7775" i="106"/>
  <c r="B7774" i="106"/>
  <c r="D7774" i="106" s="1"/>
  <c r="L357" i="29"/>
  <c r="L285" i="29"/>
  <c r="D285" i="29"/>
  <c r="B3722" i="106" s="1"/>
  <c r="D3722" i="106" s="1"/>
  <c r="L160" i="29"/>
  <c r="L137" i="29"/>
  <c r="H137" i="29"/>
  <c r="H139" i="29" s="1"/>
  <c r="B1267" i="106" s="1"/>
  <c r="D1267" i="106" s="1"/>
  <c r="E137" i="29"/>
  <c r="B4202" i="106" s="1"/>
  <c r="D4202" i="106" s="1"/>
  <c r="E139" i="29"/>
  <c r="B4203" i="106" s="1"/>
  <c r="D4203" i="106" s="1"/>
  <c r="G139" i="181"/>
  <c r="E139" i="181"/>
  <c r="E138" i="181"/>
  <c r="E137" i="181"/>
  <c r="G136" i="181"/>
  <c r="E136" i="181"/>
  <c r="E135" i="181"/>
  <c r="E134" i="181"/>
  <c r="E133" i="181"/>
  <c r="E132" i="181"/>
  <c r="G132" i="181"/>
  <c r="G131" i="181"/>
  <c r="E131" i="181"/>
  <c r="E130" i="181"/>
  <c r="E129" i="181"/>
  <c r="G128" i="181"/>
  <c r="E128" i="181"/>
  <c r="E127" i="181"/>
  <c r="G127" i="181"/>
  <c r="E126" i="181"/>
  <c r="E125" i="181"/>
  <c r="G124" i="181"/>
  <c r="E124" i="181"/>
  <c r="E123" i="181"/>
  <c r="G123" i="181"/>
  <c r="E122" i="181"/>
  <c r="E121" i="181"/>
  <c r="G120" i="181"/>
  <c r="E120" i="181"/>
  <c r="E119" i="181"/>
  <c r="E118" i="181"/>
  <c r="E117" i="181"/>
  <c r="G116" i="181"/>
  <c r="E116" i="181"/>
  <c r="G115" i="181"/>
  <c r="E115" i="181"/>
  <c r="E114" i="181"/>
  <c r="E113" i="181"/>
  <c r="G112" i="181"/>
  <c r="E112" i="181"/>
  <c r="E111" i="181"/>
  <c r="E110" i="181"/>
  <c r="E109" i="181"/>
  <c r="G108" i="181"/>
  <c r="E108" i="181"/>
  <c r="G107" i="181"/>
  <c r="E107" i="181"/>
  <c r="E106" i="181"/>
  <c r="E105" i="181"/>
  <c r="E104" i="181"/>
  <c r="E99" i="181"/>
  <c r="E103" i="181"/>
  <c r="E102" i="181"/>
  <c r="E101" i="181"/>
  <c r="E100" i="181"/>
  <c r="G100" i="181"/>
  <c r="E98" i="181"/>
  <c r="E97" i="181"/>
  <c r="G96" i="181"/>
  <c r="E96" i="181"/>
  <c r="E95" i="181"/>
  <c r="G95" i="181"/>
  <c r="E93" i="181"/>
  <c r="G92" i="181"/>
  <c r="E92" i="181"/>
  <c r="E91" i="181"/>
  <c r="G91" i="181"/>
  <c r="E90" i="181"/>
  <c r="E89" i="181"/>
  <c r="E88" i="181"/>
  <c r="E87" i="181"/>
  <c r="E86" i="181"/>
  <c r="E84" i="181"/>
  <c r="E83" i="181"/>
  <c r="E82" i="181"/>
  <c r="E81" i="181"/>
  <c r="G80" i="181"/>
  <c r="E80" i="181"/>
  <c r="E79" i="181"/>
  <c r="E78" i="181"/>
  <c r="E77" i="181"/>
  <c r="G76" i="181"/>
  <c r="E76" i="181"/>
  <c r="E75" i="181"/>
  <c r="E74" i="181"/>
  <c r="E73" i="181"/>
  <c r="G140" i="181"/>
  <c r="E140" i="181"/>
  <c r="E94" i="181"/>
  <c r="E85" i="181"/>
  <c r="E72" i="181"/>
  <c r="E71" i="181"/>
  <c r="E70" i="181"/>
  <c r="E69" i="181"/>
  <c r="E68" i="181"/>
  <c r="E67" i="181"/>
  <c r="G66" i="181"/>
  <c r="E66" i="181"/>
  <c r="E65" i="181"/>
  <c r="G65" i="181"/>
  <c r="E64" i="181"/>
  <c r="E63" i="181"/>
  <c r="E62" i="181"/>
  <c r="E61" i="181"/>
  <c r="E60" i="181"/>
  <c r="E59" i="181"/>
  <c r="E58" i="181"/>
  <c r="E57" i="181"/>
  <c r="E56" i="181"/>
  <c r="G56" i="181"/>
  <c r="E55" i="181"/>
  <c r="E54" i="181"/>
  <c r="E53" i="181"/>
  <c r="E52" i="181"/>
  <c r="E51" i="181"/>
  <c r="E50" i="181"/>
  <c r="G49" i="181"/>
  <c r="E49" i="181"/>
  <c r="E48" i="181"/>
  <c r="E47" i="181"/>
  <c r="E46" i="181"/>
  <c r="E45" i="181"/>
  <c r="F45" i="181"/>
  <c r="G45" i="181" s="1"/>
  <c r="E44" i="181"/>
  <c r="F44" i="181"/>
  <c r="G44" i="181" s="1"/>
  <c r="E43" i="181"/>
  <c r="E42" i="181"/>
  <c r="E41" i="181"/>
  <c r="F41" i="181"/>
  <c r="G41" i="181" s="1"/>
  <c r="E40" i="181"/>
  <c r="F40" i="181"/>
  <c r="G40" i="181" s="1"/>
  <c r="E39" i="181"/>
  <c r="F39" i="181"/>
  <c r="G39" i="181" s="1"/>
  <c r="E38" i="181"/>
  <c r="F38" i="181"/>
  <c r="G38" i="181" s="1"/>
  <c r="E37" i="181"/>
  <c r="F37" i="181"/>
  <c r="G37" i="181" s="1"/>
  <c r="E36" i="181"/>
  <c r="F36" i="181"/>
  <c r="G36" i="181" s="1"/>
  <c r="E35" i="181"/>
  <c r="F35" i="181"/>
  <c r="G35" i="181" s="1"/>
  <c r="E34" i="181"/>
  <c r="F34" i="181"/>
  <c r="G34" i="181" s="1"/>
  <c r="E33" i="181"/>
  <c r="E32" i="181"/>
  <c r="F32" i="181"/>
  <c r="G32" i="181" s="1"/>
  <c r="E31" i="181"/>
  <c r="F31" i="181"/>
  <c r="G31" i="181" s="1"/>
  <c r="E30" i="181"/>
  <c r="F30" i="181"/>
  <c r="G30" i="181" s="1"/>
  <c r="E29" i="181"/>
  <c r="E28" i="181"/>
  <c r="F28" i="181"/>
  <c r="G28" i="181" s="1"/>
  <c r="E27" i="181"/>
  <c r="E26" i="181"/>
  <c r="F26" i="181"/>
  <c r="G26" i="181" s="1"/>
  <c r="E25" i="181"/>
  <c r="E24" i="181"/>
  <c r="F24" i="181"/>
  <c r="G24" i="181" s="1"/>
  <c r="E23" i="181"/>
  <c r="F23" i="181" s="1"/>
  <c r="G23" i="181" s="1"/>
  <c r="E22" i="181"/>
  <c r="F22" i="181" s="1"/>
  <c r="G22" i="181" s="1"/>
  <c r="E21" i="181"/>
  <c r="F21" i="181"/>
  <c r="G21" i="181" s="1"/>
  <c r="E20" i="181"/>
  <c r="F20" i="181" s="1"/>
  <c r="G20" i="181" s="1"/>
  <c r="E19" i="181"/>
  <c r="F19" i="181" s="1"/>
  <c r="G19" i="181" s="1"/>
  <c r="E18" i="181"/>
  <c r="F18" i="181" s="1"/>
  <c r="G18" i="181" s="1"/>
  <c r="F43" i="181"/>
  <c r="G43" i="181" s="1"/>
  <c r="F42" i="181"/>
  <c r="G42" i="181" s="1"/>
  <c r="F33" i="181"/>
  <c r="G33" i="181" s="1"/>
  <c r="F29" i="181"/>
  <c r="G29" i="181" s="1"/>
  <c r="F27" i="181"/>
  <c r="G27" i="181" s="1"/>
  <c r="F25" i="181"/>
  <c r="G25" i="181" s="1"/>
  <c r="D141" i="181"/>
  <c r="D80" i="36" s="1"/>
  <c r="E17" i="181"/>
  <c r="F17" i="181" s="1"/>
  <c r="E16" i="181"/>
  <c r="F16" i="181" s="1"/>
  <c r="G16" i="181"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6" s="1"/>
  <c r="A7" i="169"/>
  <c r="B1" i="17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D7773" i="106" s="1"/>
  <c r="B61" i="106"/>
  <c r="B52" i="106"/>
  <c r="B51" i="106"/>
  <c r="B49" i="106"/>
  <c r="B48" i="106"/>
  <c r="B47" i="106"/>
  <c r="B46" i="106"/>
  <c r="B45" i="106"/>
  <c r="B44" i="106"/>
  <c r="B43" i="106"/>
  <c r="B42" i="106"/>
  <c r="B41" i="106"/>
  <c r="B50" i="106"/>
  <c r="F159" i="34"/>
  <c r="B7769" i="106"/>
  <c r="D7769" i="106" s="1"/>
  <c r="B7768" i="106"/>
  <c r="D7768" i="106" s="1"/>
  <c r="B7766" i="106"/>
  <c r="D7766" i="106" s="1"/>
  <c r="B7765" i="106"/>
  <c r="D7765" i="106" s="1"/>
  <c r="B7764" i="106"/>
  <c r="D7764" i="106" s="1"/>
  <c r="J85" i="28"/>
  <c r="B7758" i="106" s="1"/>
  <c r="D7758" i="106" s="1"/>
  <c r="J88" i="28"/>
  <c r="B7759" i="106" s="1"/>
  <c r="D7759" i="106" s="1"/>
  <c r="B7762" i="106"/>
  <c r="D7762" i="106" s="1"/>
  <c r="K12" i="12"/>
  <c r="K23" i="12"/>
  <c r="J12" i="12"/>
  <c r="B7718" i="106" s="1"/>
  <c r="D7718" i="106" s="1"/>
  <c r="J21" i="12"/>
  <c r="B7727" i="106" s="1"/>
  <c r="D7727" i="106"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C14" i="4"/>
  <c r="B2558" i="106" s="1"/>
  <c r="D2558" i="106" s="1"/>
  <c r="F15" i="145"/>
  <c r="F19" i="145" s="1"/>
  <c r="F26" i="108"/>
  <c r="F36" i="108"/>
  <c r="F37" i="108"/>
  <c r="E15" i="145"/>
  <c r="E13" i="145"/>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41" i="3" s="1"/>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39" i="106" s="1"/>
  <c r="D139" i="106" s="1"/>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c r="D157" i="106" s="1"/>
  <c r="D158" i="106"/>
  <c r="D159" i="106"/>
  <c r="D160" i="106"/>
  <c r="D161" i="106"/>
  <c r="D162" i="106"/>
  <c r="D163" i="106"/>
  <c r="B164" i="106"/>
  <c r="D164" i="106" s="1"/>
  <c r="D165" i="106"/>
  <c r="B166" i="106"/>
  <c r="D166" i="106" s="1"/>
  <c r="D167" i="106"/>
  <c r="D168" i="106"/>
  <c r="F34" i="3"/>
  <c r="F41" i="3" s="1"/>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8" i="106" s="1"/>
  <c r="D188" i="106" s="1"/>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H41" i="3" s="1"/>
  <c r="B213" i="106" s="1"/>
  <c r="D213" i="106" s="1"/>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C47" i="29"/>
  <c r="C53" i="29"/>
  <c r="B734" i="106" s="1"/>
  <c r="D734" i="106" s="1"/>
  <c r="C72" i="29"/>
  <c r="B753" i="106" s="1"/>
  <c r="D753" i="106" s="1"/>
  <c r="B746" i="106"/>
  <c r="D746" i="106" s="1"/>
  <c r="B747" i="106"/>
  <c r="D747" i="106" s="1"/>
  <c r="B748" i="106"/>
  <c r="D748" i="106" s="1"/>
  <c r="B749" i="106"/>
  <c r="D749" i="106" s="1"/>
  <c r="D750" i="106"/>
  <c r="B751" i="106"/>
  <c r="D751" i="106" s="1"/>
  <c r="D752" i="106"/>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D65" i="29"/>
  <c r="B803" i="106" s="1"/>
  <c r="D803" i="106" s="1"/>
  <c r="D72" i="29"/>
  <c r="B811" i="106" s="1"/>
  <c r="D811" i="106" s="1"/>
  <c r="D33" i="29"/>
  <c r="B796" i="106"/>
  <c r="D796" i="106" s="1"/>
  <c r="B797" i="106"/>
  <c r="D797" i="106" s="1"/>
  <c r="B798" i="106"/>
  <c r="D798" i="106" s="1"/>
  <c r="B799" i="106"/>
  <c r="D799" i="106" s="1"/>
  <c r="B800" i="106"/>
  <c r="D800" i="106" s="1"/>
  <c r="B801" i="106"/>
  <c r="D801" i="106" s="1"/>
  <c r="D802" i="106"/>
  <c r="B804" i="106"/>
  <c r="D804" i="106" s="1"/>
  <c r="B805" i="106"/>
  <c r="D805" i="106" s="1"/>
  <c r="B806" i="106"/>
  <c r="D806" i="106" s="1"/>
  <c r="B807" i="106"/>
  <c r="D807" i="106" s="1"/>
  <c r="D808" i="106"/>
  <c r="B809" i="106"/>
  <c r="D809" i="106" s="1"/>
  <c r="D810" i="106"/>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E84" i="29"/>
  <c r="B2789" i="106" s="1"/>
  <c r="D2789" i="106" s="1"/>
  <c r="E100" i="29"/>
  <c r="B7011" i="106" s="1"/>
  <c r="D7011" i="106" s="1"/>
  <c r="B870" i="106"/>
  <c r="D870" i="106" s="1"/>
  <c r="B872" i="106"/>
  <c r="D872"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2" i="106"/>
  <c r="D902" i="106" s="1"/>
  <c r="B903" i="106"/>
  <c r="D903" i="106" s="1"/>
  <c r="B904" i="106"/>
  <c r="D904" i="106" s="1"/>
  <c r="F47" i="29"/>
  <c r="F53" i="29"/>
  <c r="B908" i="106" s="1"/>
  <c r="D908" i="106" s="1"/>
  <c r="F57" i="29"/>
  <c r="B911" i="106" s="1"/>
  <c r="D911" i="106" s="1"/>
  <c r="F65" i="29"/>
  <c r="B919" i="106" s="1"/>
  <c r="D919" i="106" s="1"/>
  <c r="F72" i="29"/>
  <c r="B927" i="106" s="1"/>
  <c r="D927" i="106" s="1"/>
  <c r="B906" i="106"/>
  <c r="D906" i="106" s="1"/>
  <c r="B907" i="106"/>
  <c r="D907" i="106" s="1"/>
  <c r="B909" i="106"/>
  <c r="D909" i="106" s="1"/>
  <c r="B910" i="106"/>
  <c r="D910" i="106" s="1"/>
  <c r="B912" i="106"/>
  <c r="D912" i="106" s="1"/>
  <c r="B913" i="106"/>
  <c r="D913" i="106" s="1"/>
  <c r="B914" i="106"/>
  <c r="D914" i="106" s="1"/>
  <c r="B915" i="106"/>
  <c r="D915" i="106" s="1"/>
  <c r="B916" i="106"/>
  <c r="D916" i="106" s="1"/>
  <c r="B917" i="106"/>
  <c r="D917" i="106" s="1"/>
  <c r="D918" i="106"/>
  <c r="B920" i="106"/>
  <c r="D920" i="106" s="1"/>
  <c r="B921" i="106"/>
  <c r="D921" i="106" s="1"/>
  <c r="B922" i="106"/>
  <c r="D922" i="106" s="1"/>
  <c r="B923" i="106"/>
  <c r="D923" i="106" s="1"/>
  <c r="D924" i="106"/>
  <c r="B925" i="106"/>
  <c r="D925" i="106" s="1"/>
  <c r="D926" i="106"/>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B959" i="106"/>
  <c r="D959" i="106" s="1"/>
  <c r="B960" i="106"/>
  <c r="D960" i="106" s="1"/>
  <c r="B961" i="106"/>
  <c r="D961" i="106" s="1"/>
  <c r="B962" i="106"/>
  <c r="D962" i="106" s="1"/>
  <c r="B963" i="106"/>
  <c r="D963" i="106" s="1"/>
  <c r="B964" i="106"/>
  <c r="D964" i="106" s="1"/>
  <c r="B965" i="106"/>
  <c r="D965" i="106" s="1"/>
  <c r="B966" i="106"/>
  <c r="D966" i="106" s="1"/>
  <c r="B967" i="106"/>
  <c r="D967" i="106" s="1"/>
  <c r="B968" i="106"/>
  <c r="D968" i="106" s="1"/>
  <c r="B969" i="106"/>
  <c r="D969" i="106" s="1"/>
  <c r="B970" i="106"/>
  <c r="D970" i="106" s="1"/>
  <c r="B971" i="106"/>
  <c r="D971" i="106" s="1"/>
  <c r="B972" i="106"/>
  <c r="D972" i="106" s="1"/>
  <c r="B973" i="106"/>
  <c r="D973" i="106" s="1"/>
  <c r="B974" i="106"/>
  <c r="D974" i="106" s="1"/>
  <c r="B975" i="106"/>
  <c r="D975" i="106" s="1"/>
  <c r="D976" i="106"/>
  <c r="B978" i="106"/>
  <c r="D978" i="106" s="1"/>
  <c r="B979" i="106"/>
  <c r="D979" i="106" s="1"/>
  <c r="B980" i="106"/>
  <c r="D980" i="106" s="1"/>
  <c r="B981" i="106"/>
  <c r="D981" i="106" s="1"/>
  <c r="D982" i="106"/>
  <c r="B983" i="106"/>
  <c r="D983" i="106" s="1"/>
  <c r="D984" i="106"/>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100" i="29"/>
  <c r="H33" i="29"/>
  <c r="B1010" i="106" s="1"/>
  <c r="D1010" i="106" s="1"/>
  <c r="H110" i="29"/>
  <c r="H112" i="29" s="1"/>
  <c r="B7018" i="106" s="1"/>
  <c r="D7018" i="106" s="1"/>
  <c r="B1048" i="106"/>
  <c r="D1048" i="106" s="1"/>
  <c r="B1049" i="106"/>
  <c r="D1049" i="106" s="1"/>
  <c r="D1050" i="106"/>
  <c r="B1051" i="106"/>
  <c r="D1051" i="106" s="1"/>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s="1"/>
  <c r="D1095" i="106"/>
  <c r="D1096" i="106"/>
  <c r="D1097" i="106"/>
  <c r="D1098" i="106"/>
  <c r="D1099" i="106"/>
  <c r="B1100" i="106"/>
  <c r="D1100" i="106" s="1"/>
  <c r="D1101" i="106"/>
  <c r="D1102" i="106"/>
  <c r="D1103" i="106"/>
  <c r="B1104" i="106"/>
  <c r="D1104" i="106" s="1"/>
  <c r="B1110" i="106"/>
  <c r="D1110" i="106" s="1"/>
  <c r="B1111" i="106"/>
  <c r="D1111" i="106" s="1"/>
  <c r="B1112" i="106"/>
  <c r="D1112" i="106" s="1"/>
  <c r="B1120" i="106"/>
  <c r="D1120" i="106" s="1"/>
  <c r="B1126" i="106"/>
  <c r="D1126" i="106" s="1"/>
  <c r="B1128" i="106"/>
  <c r="D1128" i="106" s="1"/>
  <c r="B1129" i="106"/>
  <c r="D1129" i="106" s="1"/>
  <c r="B1130" i="106"/>
  <c r="D1130" i="106" s="1"/>
  <c r="D1132" i="106"/>
  <c r="B1136" i="106"/>
  <c r="D1136" i="106" s="1"/>
  <c r="D1138" i="106"/>
  <c r="B1139" i="106"/>
  <c r="D1139" i="106" s="1"/>
  <c r="D1140" i="106"/>
  <c r="B1142" i="106"/>
  <c r="D1142" i="106" s="1"/>
  <c r="B2976" i="106"/>
  <c r="D2976" i="106" s="1"/>
  <c r="B2978" i="106"/>
  <c r="D2978" i="106" s="1"/>
  <c r="B7015" i="106"/>
  <c r="D7015" i="106" s="1"/>
  <c r="B1147" i="106"/>
  <c r="D1147" i="106" s="1"/>
  <c r="D1148" i="106"/>
  <c r="B1149" i="106"/>
  <c r="D1149" i="106" s="1"/>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D129" i="29" s="1"/>
  <c r="D151" i="29" s="1"/>
  <c r="B1234" i="106" s="1"/>
  <c r="D1234" i="106" s="1"/>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B1257" i="106"/>
  <c r="D1257" i="106" s="1"/>
  <c r="B1260" i="106"/>
  <c r="D1260" i="106" s="1"/>
  <c r="B1261" i="106"/>
  <c r="D1261" i="106" s="1"/>
  <c r="B1262" i="106"/>
  <c r="D1262" i="106" s="1"/>
  <c r="D1263" i="106"/>
  <c r="H127" i="29"/>
  <c r="B1264" i="106" s="1"/>
  <c r="D1264" i="106" s="1"/>
  <c r="B1265" i="106"/>
  <c r="D1265" i="106" s="1"/>
  <c r="B1268" i="106"/>
  <c r="D1268" i="106" s="1"/>
  <c r="B1269" i="106"/>
  <c r="D1269" i="106" s="1"/>
  <c r="B1270" i="106"/>
  <c r="D1270" i="106" s="1"/>
  <c r="D1271" i="106"/>
  <c r="H147" i="29"/>
  <c r="H149" i="29" s="1"/>
  <c r="B1272" i="106" s="1"/>
  <c r="D1272" i="106" s="1"/>
  <c r="H129" i="29"/>
  <c r="B1266" i="106" s="1"/>
  <c r="D1266" i="106" s="1"/>
  <c r="B1274" i="106"/>
  <c r="D1274" i="106" s="1"/>
  <c r="D1278" i="106"/>
  <c r="B1280" i="106"/>
  <c r="D1280" i="106" s="1"/>
  <c r="B2987" i="106"/>
  <c r="D2987" i="106" s="1"/>
  <c r="B1284" i="106"/>
  <c r="D1284" i="106" s="1"/>
  <c r="B1285" i="106"/>
  <c r="D1285" i="106" s="1"/>
  <c r="D1286" i="106"/>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B1324" i="106"/>
  <c r="D1324" i="106" s="1"/>
  <c r="B1327" i="106"/>
  <c r="D1327" i="106" s="1"/>
  <c r="B2818" i="106"/>
  <c r="D2818" i="106" s="1"/>
  <c r="B2819" i="106"/>
  <c r="D2819" i="106" s="1"/>
  <c r="D1334" i="106"/>
  <c r="B1335" i="106"/>
  <c r="D1335" i="106" s="1"/>
  <c r="D1336" i="106"/>
  <c r="D1337" i="106"/>
  <c r="B1338" i="106"/>
  <c r="D1338" i="106" s="1"/>
  <c r="C184" i="29"/>
  <c r="C210" i="29" s="1"/>
  <c r="B1340" i="106" s="1"/>
  <c r="D1340" i="106" s="1"/>
  <c r="B1341" i="106"/>
  <c r="D1341" i="106" s="1"/>
  <c r="D1342" i="106"/>
  <c r="D1343" i="106"/>
  <c r="B1344" i="106"/>
  <c r="D1344" i="106" s="1"/>
  <c r="D184" i="29"/>
  <c r="D210" i="29" s="1"/>
  <c r="B1346" i="106" s="1"/>
  <c r="D1346" i="106" s="1"/>
  <c r="B1347" i="106"/>
  <c r="D1347" i="106" s="1"/>
  <c r="D1348" i="106"/>
  <c r="D1349" i="106"/>
  <c r="B1350" i="106"/>
  <c r="D1350" i="106" s="1"/>
  <c r="E184" i="29"/>
  <c r="B1351" i="106" s="1"/>
  <c r="D1351" i="106" s="1"/>
  <c r="E194" i="29"/>
  <c r="E196" i="29" s="1"/>
  <c r="B1354" i="106"/>
  <c r="D1354" i="106" s="1"/>
  <c r="D1355" i="106"/>
  <c r="D1356" i="106"/>
  <c r="B1357" i="106"/>
  <c r="D1357" i="106" s="1"/>
  <c r="F184" i="29"/>
  <c r="F210" i="29" s="1"/>
  <c r="B1359" i="106" s="1"/>
  <c r="D1359" i="106" s="1"/>
  <c r="B1360" i="106"/>
  <c r="D1360" i="106" s="1"/>
  <c r="D1361" i="106"/>
  <c r="D1362" i="106"/>
  <c r="B1363" i="106"/>
  <c r="D1363"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c r="D1375" i="106" s="1"/>
  <c r="H194" i="29"/>
  <c r="H196" i="29" s="1"/>
  <c r="B2830" i="106" s="1"/>
  <c r="D2830" i="106" s="1"/>
  <c r="D1378" i="106"/>
  <c r="D1379" i="106"/>
  <c r="B1380" i="106"/>
  <c r="D1380" i="106" s="1"/>
  <c r="B3007" i="106"/>
  <c r="D3007" i="106" s="1"/>
  <c r="B3012" i="106"/>
  <c r="D3012" i="106" s="1"/>
  <c r="B2839" i="106"/>
  <c r="D2839" i="106" s="1"/>
  <c r="B1383" i="106"/>
  <c r="D1383" i="106" s="1"/>
  <c r="B1384" i="106"/>
  <c r="D1384" i="106" s="1"/>
  <c r="D1386" i="106"/>
  <c r="B7068" i="106"/>
  <c r="D7068" i="106" s="1"/>
  <c r="B7070" i="106"/>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D270" i="29"/>
  <c r="B1436" i="106" s="1"/>
  <c r="D1436" i="106" s="1"/>
  <c r="D277" i="29"/>
  <c r="B1444" i="106" s="1"/>
  <c r="D1444" i="106" s="1"/>
  <c r="B1428" i="106"/>
  <c r="D1428" i="106" s="1"/>
  <c r="B1429" i="106"/>
  <c r="D1429" i="106" s="1"/>
  <c r="B1430" i="106"/>
  <c r="D1430" i="106" s="1"/>
  <c r="B1431" i="106"/>
  <c r="D1431" i="106" s="1"/>
  <c r="B1432" i="106"/>
  <c r="D1432" i="106" s="1"/>
  <c r="B1433" i="106"/>
  <c r="D1433" i="106" s="1"/>
  <c r="B1434" i="106"/>
  <c r="D1434" i="106" s="1"/>
  <c r="D1435" i="106"/>
  <c r="B1437" i="106"/>
  <c r="D1437" i="106" s="1"/>
  <c r="B1438" i="106"/>
  <c r="D1438" i="106" s="1"/>
  <c r="B1439" i="106"/>
  <c r="D1439" i="106" s="1"/>
  <c r="B1440" i="106"/>
  <c r="D1440" i="106" s="1"/>
  <c r="D1441" i="106"/>
  <c r="B1442" i="106"/>
  <c r="D1442" i="106" s="1"/>
  <c r="D1443" i="106"/>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D1461" i="106"/>
  <c r="D1462" i="106"/>
  <c r="D1463" i="106"/>
  <c r="D1464" i="106"/>
  <c r="D1465" i="106"/>
  <c r="D1467" i="106"/>
  <c r="D1468" i="106"/>
  <c r="D1469" i="106"/>
  <c r="B1471" i="106"/>
  <c r="D1471" i="106" s="1"/>
  <c r="B1472" i="106"/>
  <c r="D1472" i="106" s="1"/>
  <c r="B1473" i="106"/>
  <c r="D1473" i="106" s="1"/>
  <c r="B3390" i="106"/>
  <c r="D3390" i="106" s="1"/>
  <c r="B1476" i="106"/>
  <c r="D1476" i="106" s="1"/>
  <c r="B1477" i="106"/>
  <c r="D1477" i="106" s="1"/>
  <c r="B1478" i="106"/>
  <c r="D1478" i="106" s="1"/>
  <c r="B1479" i="106"/>
  <c r="D1479" i="106" s="1"/>
  <c r="B1483" i="106"/>
  <c r="D1483" i="106" s="1"/>
  <c r="B1486" i="106"/>
  <c r="D1486" i="106" s="1"/>
  <c r="B1487" i="106"/>
  <c r="D1487" i="106" s="1"/>
  <c r="B7090" i="106"/>
  <c r="D7090" i="106" s="1"/>
  <c r="B7092" i="106"/>
  <c r="D7092" i="106" s="1"/>
  <c r="B7094" i="106"/>
  <c r="D7094" i="106" s="1"/>
  <c r="B1494" i="106"/>
  <c r="D1494" i="106" s="1"/>
  <c r="B1495" i="106"/>
  <c r="D1495" i="106" s="1"/>
  <c r="B1496" i="106"/>
  <c r="D1496" i="106" s="1"/>
  <c r="D1499" i="106"/>
  <c r="B1502" i="106"/>
  <c r="D1502" i="106" s="1"/>
  <c r="B1504" i="106"/>
  <c r="D1504" i="106" s="1"/>
  <c r="D1505" i="106"/>
  <c r="B1506" i="106"/>
  <c r="D1506" i="106" s="1"/>
  <c r="D1507" i="106"/>
  <c r="B1509" i="106"/>
  <c r="D1509" i="106" s="1"/>
  <c r="B1513" i="106"/>
  <c r="D1513" i="106" s="1"/>
  <c r="B2845" i="106"/>
  <c r="D2845" i="106" s="1"/>
  <c r="D1516" i="106"/>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F312" i="29" s="1"/>
  <c r="B1542" i="106" s="1"/>
  <c r="D1542"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B1555" i="106" s="1"/>
  <c r="D1555" i="106" s="1"/>
  <c r="D1556" i="106"/>
  <c r="D1557" i="106"/>
  <c r="K302" i="29"/>
  <c r="K306" i="29"/>
  <c r="B7107" i="106" s="1"/>
  <c r="D7107" i="106" s="1"/>
  <c r="K307" i="29"/>
  <c r="K308" i="29"/>
  <c r="B4100" i="106" s="1"/>
  <c r="D4100" i="106" s="1"/>
  <c r="K309" i="29"/>
  <c r="B3717" i="106"/>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L41" i="3"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H76" i="4" s="1"/>
  <c r="B3298" i="106" s="1"/>
  <c r="D3298"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4" i="106"/>
  <c r="D3234" i="106" s="1"/>
  <c r="D44" i="4"/>
  <c r="B3235" i="106" s="1"/>
  <c r="D3235" i="106" s="1"/>
  <c r="B3236" i="106"/>
  <c r="D3236" i="106" s="1"/>
  <c r="D76" i="4"/>
  <c r="B3237" i="106" s="1"/>
  <c r="D3237" i="106" s="1"/>
  <c r="D3240" i="106"/>
  <c r="D3241" i="106"/>
  <c r="D3242" i="106"/>
  <c r="D3243" i="106"/>
  <c r="D3244" i="106"/>
  <c r="D3245" i="106"/>
  <c r="D3246" i="106"/>
  <c r="D3247" i="106"/>
  <c r="D3248" i="106"/>
  <c r="D3249" i="106"/>
  <c r="D3250" i="106"/>
  <c r="B3251" i="106"/>
  <c r="D3251" i="106" s="1"/>
  <c r="F44" i="4"/>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B3380" i="106"/>
  <c r="D3380" i="106" s="1"/>
  <c r="B3381" i="106"/>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0" i="106" s="1"/>
  <c r="D3640" i="106" s="1"/>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K360" i="29"/>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B6849" i="106"/>
  <c r="D6849" i="106" s="1"/>
  <c r="B6850" i="106"/>
  <c r="D6850" i="106" s="1"/>
  <c r="B6851" i="106"/>
  <c r="D6851" i="106" s="1"/>
  <c r="B6852" i="106"/>
  <c r="D6852" i="106" s="1"/>
  <c r="B6854" i="106"/>
  <c r="D6854" i="106" s="1"/>
  <c r="B6855" i="106"/>
  <c r="D6855" i="106" s="1"/>
  <c r="B6856" i="106"/>
  <c r="D6856" i="106" s="1"/>
  <c r="B6857" i="106"/>
  <c r="D6857" i="106" s="1"/>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B6872" i="106"/>
  <c r="D6872" i="106" s="1"/>
  <c r="B6873" i="106"/>
  <c r="D6873" i="106" s="1"/>
  <c r="B6874" i="106"/>
  <c r="D6874" i="106" s="1"/>
  <c r="B6875" i="106"/>
  <c r="D6875" i="106" s="1"/>
  <c r="B6876" i="106"/>
  <c r="D6876" i="106" s="1"/>
  <c r="B6878" i="106"/>
  <c r="D6878" i="106" s="1"/>
  <c r="B6880" i="106"/>
  <c r="D6880" i="106" s="1"/>
  <c r="B6881" i="106"/>
  <c r="D6881" i="106" s="1"/>
  <c r="B6882" i="106"/>
  <c r="D6882" i="106" s="1"/>
  <c r="B6884" i="106"/>
  <c r="D6884" i="106" s="1"/>
  <c r="B6886" i="106"/>
  <c r="D6886" i="106" s="1"/>
  <c r="B6888" i="106"/>
  <c r="D6888" i="106" s="1"/>
  <c r="B6889" i="106"/>
  <c r="D6889" i="106" s="1"/>
  <c r="B6890" i="106"/>
  <c r="D6890" i="106" s="1"/>
  <c r="B6891" i="106"/>
  <c r="D6891" i="106" s="1"/>
  <c r="B6892" i="106"/>
  <c r="D6892" i="106" s="1"/>
  <c r="B6894" i="106"/>
  <c r="D6894" i="106" s="1"/>
  <c r="B6896" i="106"/>
  <c r="D6896" i="106" s="1"/>
  <c r="B6898" i="106"/>
  <c r="D6898" i="106" s="1"/>
  <c r="B6900" i="106"/>
  <c r="D6900"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J42" i="29"/>
  <c r="B6918" i="106"/>
  <c r="D6918" i="106" s="1"/>
  <c r="B6919" i="106"/>
  <c r="D6919" i="106" s="1"/>
  <c r="B6920" i="106"/>
  <c r="D6920" i="106" s="1"/>
  <c r="B6921" i="106"/>
  <c r="D6921" i="106" s="1"/>
  <c r="B6922" i="106"/>
  <c r="D6922" i="106" s="1"/>
  <c r="B6923" i="106"/>
  <c r="D6923" i="106" s="1"/>
  <c r="B6924" i="106"/>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B6941" i="106"/>
  <c r="D6941" i="106" s="1"/>
  <c r="B6942" i="106"/>
  <c r="D6942" i="106" s="1"/>
  <c r="J53" i="29"/>
  <c r="B6943" i="106" s="1"/>
  <c r="D6943" i="106" s="1"/>
  <c r="B6944" i="106"/>
  <c r="D6944" i="106" s="1"/>
  <c r="B6945" i="106"/>
  <c r="D6945" i="106" s="1"/>
  <c r="B6946" i="106"/>
  <c r="D6946" i="106" s="1"/>
  <c r="B6947" i="106"/>
  <c r="D6947" i="106" s="1"/>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B6961" i="106"/>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0" i="106"/>
  <c r="D7010" i="106" s="1"/>
  <c r="B7012" i="106"/>
  <c r="D7012" i="106" s="1"/>
  <c r="B7014" i="106"/>
  <c r="D7014" i="106" s="1"/>
  <c r="B7016" i="106"/>
  <c r="D7016"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J184" i="29"/>
  <c r="J210" i="29" s="1"/>
  <c r="B7072" i="106" s="1"/>
  <c r="D7072"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I312" i="29" s="1"/>
  <c r="B7116" i="106" s="1"/>
  <c r="D7116"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B7127" i="106"/>
  <c r="D7127" i="106" s="1"/>
  <c r="B7128" i="106"/>
  <c r="D7128" i="106" s="1"/>
  <c r="B7129" i="106"/>
  <c r="D7129" i="106" s="1"/>
  <c r="B7130" i="106"/>
  <c r="D7130" i="106" s="1"/>
  <c r="B7131" i="106"/>
  <c r="D7131" i="106" s="1"/>
  <c r="B7132" i="106"/>
  <c r="D7132" i="106" s="1"/>
  <c r="B7133" i="106"/>
  <c r="D7133" i="106" s="1"/>
  <c r="B7134" i="106"/>
  <c r="D7134" i="106" s="1"/>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B7145" i="106"/>
  <c r="D7145" i="106" s="1"/>
  <c r="B7146" i="106"/>
  <c r="D7146" i="106" s="1"/>
  <c r="B7147" i="106"/>
  <c r="D7147" i="106" s="1"/>
  <c r="B7148" i="106"/>
  <c r="D7148" i="106" s="1"/>
  <c r="B7149" i="106"/>
  <c r="D7149" i="106" s="1"/>
  <c r="B7150" i="106"/>
  <c r="D7150" i="106" s="1"/>
  <c r="B7151" i="106"/>
  <c r="D7151" i="106" s="1"/>
  <c r="B7152" i="106"/>
  <c r="D7152" i="106"/>
  <c r="B7154" i="106"/>
  <c r="D7154" i="106" s="1"/>
  <c r="B7155" i="106"/>
  <c r="D7155" i="106" s="1"/>
  <c r="B7156" i="106"/>
  <c r="D7156" i="106" s="1"/>
  <c r="B7157" i="106"/>
  <c r="D7157" i="106" s="1"/>
  <c r="B7158" i="106"/>
  <c r="D7158" i="106" s="1"/>
  <c r="B7159" i="106"/>
  <c r="D7159" i="106" s="1"/>
  <c r="B7160" i="106"/>
  <c r="D7160" i="106" s="1"/>
  <c r="B7161" i="106"/>
  <c r="D7161" i="106" s="1"/>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B7190" i="106"/>
  <c r="D7190" i="106" s="1"/>
  <c r="B7191" i="106"/>
  <c r="D7191" i="106" s="1"/>
  <c r="B7192" i="106"/>
  <c r="D7192" i="106" s="1"/>
  <c r="B7193" i="106"/>
  <c r="D7193" i="106" s="1"/>
  <c r="B7194" i="106"/>
  <c r="D7194" i="106" s="1"/>
  <c r="B7195" i="106"/>
  <c r="D7195" i="106" s="1"/>
  <c r="B7196" i="106"/>
  <c r="D7196" i="106" s="1"/>
  <c r="B7197" i="106"/>
  <c r="D7197" i="106" s="1"/>
  <c r="C330" i="29"/>
  <c r="B7199" i="106" s="1"/>
  <c r="D7199" i="106" s="1"/>
  <c r="D330" i="29"/>
  <c r="E330" i="29"/>
  <c r="B7201" i="106" s="1"/>
  <c r="D7201" i="106" s="1"/>
  <c r="F330" i="29"/>
  <c r="B7202" i="106" s="1"/>
  <c r="D7202" i="106" s="1"/>
  <c r="G330" i="29"/>
  <c r="G342" i="29" s="1"/>
  <c r="B7220" i="106" s="1"/>
  <c r="D7220" i="106" s="1"/>
  <c r="H330" i="29"/>
  <c r="B7204" i="106" s="1"/>
  <c r="D7204" i="106" s="1"/>
  <c r="I330" i="29"/>
  <c r="J330" i="29"/>
  <c r="B7206" i="106" s="1"/>
  <c r="D7206" i="106" s="1"/>
  <c r="B7696" i="106"/>
  <c r="D7696" i="106" s="1"/>
  <c r="B7705" i="106"/>
  <c r="D7705" i="106" s="1"/>
  <c r="B7208" i="106"/>
  <c r="D7208" i="106" s="1"/>
  <c r="B7210" i="106"/>
  <c r="D7210" i="106" s="1"/>
  <c r="B7212" i="106"/>
  <c r="D7212" i="106" s="1"/>
  <c r="H340" i="29"/>
  <c r="B7214" i="106" s="1"/>
  <c r="D7214" i="106" s="1"/>
  <c r="B7226" i="106"/>
  <c r="D7226" i="106" s="1"/>
  <c r="B7227" i="106"/>
  <c r="D7227" i="106" s="1"/>
  <c r="B7228" i="106"/>
  <c r="D7228" i="106" s="1"/>
  <c r="B7229" i="106"/>
  <c r="D7229" i="106" s="1"/>
  <c r="I350" i="29"/>
  <c r="B7230" i="106" s="1"/>
  <c r="D7230" i="106" s="1"/>
  <c r="J350" i="29"/>
  <c r="J352" i="29" s="1"/>
  <c r="J367" i="29" s="1"/>
  <c r="B7245"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8" i="106"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5" i="106"/>
  <c r="D7779" i="106"/>
  <c r="D7787" i="106"/>
  <c r="D7793" i="106"/>
  <c r="D7795"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7" i="127"/>
  <c r="B68" i="127"/>
  <c r="E26" i="108"/>
  <c r="G26" i="108"/>
  <c r="E27" i="108"/>
  <c r="G27" i="108"/>
  <c r="G28" i="108"/>
  <c r="G30" i="108"/>
  <c r="D36" i="108"/>
  <c r="E31" i="108"/>
  <c r="G31" i="108"/>
  <c r="E33" i="108"/>
  <c r="E35" i="108"/>
  <c r="G35" i="108"/>
  <c r="E36" i="108"/>
  <c r="G36" i="108"/>
  <c r="E37" i="108"/>
  <c r="G37" i="108"/>
  <c r="E38"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D14" i="7" s="1"/>
  <c r="B1770" i="106" s="1"/>
  <c r="D1770" i="106" s="1"/>
  <c r="B16" i="7"/>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3062" i="106"/>
  <c r="D3062" i="106" s="1"/>
  <c r="C33" i="29"/>
  <c r="B778" i="106"/>
  <c r="D778" i="106" s="1"/>
  <c r="F33" i="29"/>
  <c r="B894" i="106" s="1"/>
  <c r="D894" i="106" s="1"/>
  <c r="J33" i="29"/>
  <c r="B6903" i="106" s="1"/>
  <c r="D6903" i="106" s="1"/>
  <c r="L33" i="29"/>
  <c r="L42" i="29"/>
  <c r="B1117" i="106"/>
  <c r="D1117" i="106" s="1"/>
  <c r="L47" i="29"/>
  <c r="L53" i="29"/>
  <c r="L57" i="29"/>
  <c r="L65" i="29"/>
  <c r="L72" i="29"/>
  <c r="L84" i="29"/>
  <c r="L92" i="29"/>
  <c r="L100" i="29"/>
  <c r="L110" i="29"/>
  <c r="L112" i="29" s="1"/>
  <c r="L147" i="29"/>
  <c r="L168" i="29"/>
  <c r="L172"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D12" i="5"/>
  <c r="B5334" i="106" s="1"/>
  <c r="D5334" i="106" s="1"/>
  <c r="E12" i="5"/>
  <c r="B5513" i="106" s="1"/>
  <c r="D5513" i="106" s="1"/>
  <c r="F12" i="5"/>
  <c r="B5557" i="106"/>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c r="D5733" i="106" s="1"/>
  <c r="H67" i="5"/>
  <c r="B5881" i="106" s="1"/>
  <c r="D5881" i="106" s="1"/>
  <c r="I67" i="5"/>
  <c r="B5926" i="106"/>
  <c r="D5926" i="106" s="1"/>
  <c r="J67" i="5"/>
  <c r="B6318" i="106" s="1"/>
  <c r="D6318" i="106" s="1"/>
  <c r="K67" i="5"/>
  <c r="B5995" i="106" s="1"/>
  <c r="D5995" i="106" s="1"/>
  <c r="C82" i="5"/>
  <c r="B5102" i="106"/>
  <c r="D5102" i="106" s="1"/>
  <c r="D82" i="5"/>
  <c r="B5348" i="106" s="1"/>
  <c r="D5348" i="106" s="1"/>
  <c r="D108" i="5"/>
  <c r="B5355" i="106" s="1"/>
  <c r="D5355" i="106" s="1"/>
  <c r="C93" i="5"/>
  <c r="B5112" i="106"/>
  <c r="D5112" i="106" s="1"/>
  <c r="C108" i="5"/>
  <c r="B5120" i="106" s="1"/>
  <c r="D5120"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C5" i="4" s="1"/>
  <c r="B3405" i="106" s="1"/>
  <c r="D3405" i="106" s="1"/>
  <c r="D114" i="5"/>
  <c r="D5" i="4" s="1"/>
  <c r="B3406" i="106" s="1"/>
  <c r="D3406" i="106" s="1"/>
  <c r="F114" i="5"/>
  <c r="B5592" i="106" s="1"/>
  <c r="D5592" i="106" s="1"/>
  <c r="G114" i="5"/>
  <c r="G5" i="4" s="1"/>
  <c r="B3409" i="106" s="1"/>
  <c r="D3409" i="106" s="1"/>
  <c r="C122" i="5"/>
  <c r="B5132" i="106" s="1"/>
  <c r="D5132" i="106" s="1"/>
  <c r="D122" i="5"/>
  <c r="B5367" i="106" s="1"/>
  <c r="D5367" i="106" s="1"/>
  <c r="D132" i="5"/>
  <c r="B5369" i="106" s="1"/>
  <c r="D5369" i="106" s="1"/>
  <c r="D141" i="5"/>
  <c r="D169" i="5" s="1"/>
  <c r="D170" i="5" s="1"/>
  <c r="D155" i="5"/>
  <c r="E122" i="5"/>
  <c r="B5534" i="106" s="1"/>
  <c r="D5534" i="106" s="1"/>
  <c r="F122" i="5"/>
  <c r="B5599" i="106" s="1"/>
  <c r="D5599" i="106" s="1"/>
  <c r="F132" i="5"/>
  <c r="B5614" i="106" s="1"/>
  <c r="D5614" i="106" s="1"/>
  <c r="F155" i="5"/>
  <c r="G122" i="5"/>
  <c r="B5748" i="106" s="1"/>
  <c r="D5748" i="106" s="1"/>
  <c r="H122" i="5"/>
  <c r="H169" i="5"/>
  <c r="B5899" i="106" s="1"/>
  <c r="D5899" i="106" s="1"/>
  <c r="J122" i="5"/>
  <c r="B6357" i="106" s="1"/>
  <c r="D6357" i="106" s="1"/>
  <c r="K122" i="5"/>
  <c r="B6006" i="106" s="1"/>
  <c r="D6006" i="106" s="1"/>
  <c r="C132" i="5"/>
  <c r="B5147" i="106" s="1"/>
  <c r="D5147" i="106" s="1"/>
  <c r="C141" i="5"/>
  <c r="B5161" i="106" s="1"/>
  <c r="D5161" i="106" s="1"/>
  <c r="G141" i="5"/>
  <c r="B5752" i="106" s="1"/>
  <c r="D5752" i="106" s="1"/>
  <c r="G145" i="5"/>
  <c r="B5756" i="106" s="1"/>
  <c r="D5756" i="106" s="1"/>
  <c r="G155" i="5"/>
  <c r="B4357" i="106" s="1"/>
  <c r="D4357" i="106" s="1"/>
  <c r="C145" i="5"/>
  <c r="B5165" i="106" s="1"/>
  <c r="D5165" i="106" s="1"/>
  <c r="C155" i="5"/>
  <c r="B5178" i="106" s="1"/>
  <c r="D5178" i="106" s="1"/>
  <c r="E169" i="5"/>
  <c r="B5537" i="106" s="1"/>
  <c r="D5537" i="106" s="1"/>
  <c r="I169" i="5"/>
  <c r="I170" i="5" s="1"/>
  <c r="I6" i="4" s="1"/>
  <c r="B5011" i="106" s="1"/>
  <c r="D5011" i="106" s="1"/>
  <c r="J169" i="5"/>
  <c r="B6396" i="106" s="1"/>
  <c r="D6396" i="106" s="1"/>
  <c r="K169" i="5"/>
  <c r="B5000" i="106" s="1"/>
  <c r="D5000" i="106" s="1"/>
  <c r="C175" i="5"/>
  <c r="D175" i="5"/>
  <c r="B5423" i="106" s="1"/>
  <c r="D5423" i="106" s="1"/>
  <c r="E175" i="5"/>
  <c r="B4372" i="106" s="1"/>
  <c r="D4372" i="106" s="1"/>
  <c r="F175" i="5"/>
  <c r="B5655" i="106" s="1"/>
  <c r="D5655" i="106" s="1"/>
  <c r="G175" i="5"/>
  <c r="B5780" i="106" s="1"/>
  <c r="D5780" i="106" s="1"/>
  <c r="H175" i="5"/>
  <c r="B4950" i="106" s="1"/>
  <c r="D4950" i="106" s="1"/>
  <c r="I175" i="5"/>
  <c r="I267" i="5" s="1"/>
  <c r="I7" i="4" s="1"/>
  <c r="J175" i="5"/>
  <c r="B6400" i="106"/>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c r="K181" i="5"/>
  <c r="B6016" i="106" s="1"/>
  <c r="D6016" i="106" s="1"/>
  <c r="D188" i="5"/>
  <c r="D204" i="5"/>
  <c r="D209" i="5"/>
  <c r="B4412" i="106" s="1"/>
  <c r="D4412" i="106" s="1"/>
  <c r="D217" i="5"/>
  <c r="B5470" i="106" s="1"/>
  <c r="D5470" i="106" s="1"/>
  <c r="D221" i="5"/>
  <c r="B5488" i="106" s="1"/>
  <c r="D5488" i="106" s="1"/>
  <c r="D252" i="5"/>
  <c r="B6834" i="106" s="1"/>
  <c r="D6834" i="106" s="1"/>
  <c r="F188" i="5"/>
  <c r="B4397" i="106" s="1"/>
  <c r="D4397" i="106" s="1"/>
  <c r="F204" i="5"/>
  <c r="B5677" i="106" s="1"/>
  <c r="D5677" i="106" s="1"/>
  <c r="F209" i="5"/>
  <c r="F217" i="5"/>
  <c r="B5703" i="106" s="1"/>
  <c r="D5703" i="106" s="1"/>
  <c r="F252" i="5"/>
  <c r="G188" i="5"/>
  <c r="B4398" i="106" s="1"/>
  <c r="D4398" i="106" s="1"/>
  <c r="G198" i="5"/>
  <c r="F125" i="34" s="1"/>
  <c r="G204" i="5"/>
  <c r="G209" i="5"/>
  <c r="B4414" i="106" s="1"/>
  <c r="D4414" i="106" s="1"/>
  <c r="G217" i="5"/>
  <c r="B5829" i="106" s="1"/>
  <c r="D5829" i="106" s="1"/>
  <c r="G221" i="5"/>
  <c r="B5847" i="106" s="1"/>
  <c r="D5847" i="106" s="1"/>
  <c r="G252" i="5"/>
  <c r="B6837" i="106" s="1"/>
  <c r="D6837" i="106" s="1"/>
  <c r="B5260" i="106"/>
  <c r="D5260" i="106" s="1"/>
  <c r="B5803" i="106"/>
  <c r="D5803" i="106" s="1"/>
  <c r="B4413" i="106"/>
  <c r="D4413" i="106" s="1"/>
  <c r="E252" i="5"/>
  <c r="B6835" i="106" s="1"/>
  <c r="D6835" i="106" s="1"/>
  <c r="B6836" i="106"/>
  <c r="D6836" i="106" s="1"/>
  <c r="H252" i="5"/>
  <c r="B6838" i="106" s="1"/>
  <c r="D6838" i="106" s="1"/>
  <c r="J252" i="5"/>
  <c r="J266" i="5" s="1"/>
  <c r="B7041" i="106" s="1"/>
  <c r="D7041" i="106" s="1"/>
  <c r="K252" i="5"/>
  <c r="K266" i="5" s="1"/>
  <c r="B4442" i="106" s="1"/>
  <c r="D4442" i="106" s="1"/>
  <c r="D7" i="118"/>
  <c r="D8" i="118"/>
  <c r="D9" i="118"/>
  <c r="H14" i="118"/>
  <c r="H19" i="118"/>
  <c r="H24" i="118"/>
  <c r="H33" i="118"/>
  <c r="D22" i="37"/>
  <c r="D24" i="37"/>
  <c r="B4270" i="106" s="1"/>
  <c r="D4270" i="106" s="1"/>
  <c r="B3647" i="106"/>
  <c r="D3647" i="106" s="1"/>
  <c r="H365" i="29"/>
  <c r="B7242" i="106" s="1"/>
  <c r="D7242" i="106" s="1"/>
  <c r="B1308" i="106"/>
  <c r="D1308" i="106" s="1"/>
  <c r="E174" i="29"/>
  <c r="B1309" i="106" s="1"/>
  <c r="D1309" i="106" s="1"/>
  <c r="G38" i="108"/>
  <c r="D37" i="108"/>
  <c r="E30" i="108"/>
  <c r="D26" i="108"/>
  <c r="B4087" i="106"/>
  <c r="D4087" i="106" s="1"/>
  <c r="B3649" i="106"/>
  <c r="D3649" i="106" s="1"/>
  <c r="G367" i="29"/>
  <c r="B3650" i="106" s="1"/>
  <c r="D3650" i="106" s="1"/>
  <c r="K24" i="12"/>
  <c r="K26" i="12" s="1"/>
  <c r="B7743" i="106" s="1"/>
  <c r="D7743" i="106" s="1"/>
  <c r="B1410" i="106"/>
  <c r="D1410" i="106" s="1"/>
  <c r="B5066" i="106"/>
  <c r="D5066" i="106" s="1"/>
  <c r="D7" i="7"/>
  <c r="B1763" i="106" s="1"/>
  <c r="D1763" i="106" s="1"/>
  <c r="H295" i="29"/>
  <c r="B1454" i="106" s="1"/>
  <c r="D1454" i="106" s="1"/>
  <c r="B4156" i="106"/>
  <c r="D4156" i="106" s="1"/>
  <c r="B2823" i="106"/>
  <c r="D2823" i="106" s="1"/>
  <c r="J90" i="28"/>
  <c r="B7760" i="106" s="1"/>
  <c r="D7760" i="106" s="1"/>
  <c r="J342" i="29"/>
  <c r="B7223" i="106" s="1"/>
  <c r="D7223" i="106" s="1"/>
  <c r="J170" i="5"/>
  <c r="B6397" i="106" s="1"/>
  <c r="D6397" i="106" s="1"/>
  <c r="F5" i="4"/>
  <c r="B3408" i="106" s="1"/>
  <c r="D3408" i="106" s="1"/>
  <c r="B5618" i="106"/>
  <c r="D5618" i="106" s="1"/>
  <c r="B7200" i="106"/>
  <c r="D7200" i="106" s="1"/>
  <c r="D342" i="29"/>
  <c r="B7217" i="106" s="1"/>
  <c r="D7217" i="106" s="1"/>
  <c r="B7144" i="106"/>
  <c r="D7144" i="106" s="1"/>
  <c r="B6901" i="106"/>
  <c r="D6901" i="106" s="1"/>
  <c r="B6885" i="106"/>
  <c r="D6885" i="106" s="1"/>
  <c r="B6893" i="106"/>
  <c r="D6893" i="106" s="1"/>
  <c r="B6877" i="106"/>
  <c r="D6877" i="106" s="1"/>
  <c r="B1352" i="106"/>
  <c r="D1352" i="106" s="1"/>
  <c r="B1239" i="106"/>
  <c r="D1239" i="106" s="1"/>
  <c r="E129" i="29"/>
  <c r="E151" i="29" s="1"/>
  <c r="B1242" i="106" s="1"/>
  <c r="D1242" i="106" s="1"/>
  <c r="B1146" i="106"/>
  <c r="D1146" i="106" s="1"/>
  <c r="B122" i="106"/>
  <c r="D122" i="106" s="1"/>
  <c r="B1339" i="106"/>
  <c r="D1339" i="106" s="1"/>
  <c r="B1121" i="106"/>
  <c r="D1121" i="106" s="1"/>
  <c r="E12" i="145"/>
  <c r="G12" i="145" s="1"/>
  <c r="B731" i="106"/>
  <c r="D731" i="106" s="1"/>
  <c r="B720" i="106"/>
  <c r="D720" i="106" s="1"/>
  <c r="B7503" i="106"/>
  <c r="B7531" i="106"/>
  <c r="E342" i="29"/>
  <c r="B7218" i="106"/>
  <c r="D7218" i="106" s="1"/>
  <c r="B6917" i="106"/>
  <c r="D6917" i="106" s="1"/>
  <c r="J312" i="29"/>
  <c r="B7117" i="106" s="1"/>
  <c r="D7117" i="106" s="1"/>
  <c r="B3633" i="106"/>
  <c r="D3633" i="106" s="1"/>
  <c r="E352" i="29"/>
  <c r="E367" i="29" s="1"/>
  <c r="B3636" i="106" s="1"/>
  <c r="D3636" i="106" s="1"/>
  <c r="B3229" i="106"/>
  <c r="D3229" i="106" s="1"/>
  <c r="B1977" i="106"/>
  <c r="D1977" i="106" s="1"/>
  <c r="B1867" i="106"/>
  <c r="D1867" i="106" s="1"/>
  <c r="B4099" i="106"/>
  <c r="D4099" i="106" s="1"/>
  <c r="G312" i="29"/>
  <c r="B1548" i="106" s="1"/>
  <c r="D1548" i="106" s="1"/>
  <c r="B1523" i="106"/>
  <c r="D1523" i="106" s="1"/>
  <c r="C312" i="29"/>
  <c r="B1524" i="106" s="1"/>
  <c r="D1524" i="106" s="1"/>
  <c r="G24" i="12"/>
  <c r="B1958" i="106" s="1"/>
  <c r="D1958" i="106" s="1"/>
  <c r="B1492" i="106"/>
  <c r="D1492" i="106" s="1"/>
  <c r="B1417" i="106"/>
  <c r="D1417" i="106" s="1"/>
  <c r="B2986" i="106"/>
  <c r="D2986" i="106" s="1"/>
  <c r="B1135" i="106"/>
  <c r="D1135" i="106" s="1"/>
  <c r="B1021" i="106"/>
  <c r="D1021" i="106" s="1"/>
  <c r="B847" i="106"/>
  <c r="D847" i="106" s="1"/>
  <c r="B1144" i="106"/>
  <c r="D1144" i="106" s="1"/>
  <c r="B1345" i="106"/>
  <c r="D1345" i="106" s="1"/>
  <c r="B1275" i="106"/>
  <c r="D1275" i="106" s="1"/>
  <c r="B1247" i="106"/>
  <c r="D1247" i="106" s="1"/>
  <c r="F129" i="29"/>
  <c r="F151" i="29" s="1"/>
  <c r="B1250" i="106" s="1"/>
  <c r="D1250" i="106" s="1"/>
  <c r="B905" i="106"/>
  <c r="D905" i="106" s="1"/>
  <c r="B7270" i="106"/>
  <c r="D24" i="36"/>
  <c r="B1241" i="106"/>
  <c r="D1241" i="106" s="1"/>
  <c r="B7298" i="106"/>
  <c r="B7299" i="106"/>
  <c r="D312" i="29"/>
  <c r="B1530" i="106" s="1"/>
  <c r="D1530" i="106" s="1"/>
  <c r="B2054" i="106"/>
  <c r="D2054" i="106" s="1"/>
  <c r="D69" i="36"/>
  <c r="B7078" i="106"/>
  <c r="D7078" i="106" s="1"/>
  <c r="B2836" i="106"/>
  <c r="D2836" i="106" s="1"/>
  <c r="F14" i="4"/>
  <c r="B2597" i="106" s="1"/>
  <c r="D2597" i="106" s="1"/>
  <c r="I342" i="29"/>
  <c r="B7222" i="106" s="1"/>
  <c r="D7222" i="106" s="1"/>
  <c r="B7205" i="106"/>
  <c r="D7205" i="106" s="1"/>
  <c r="B7074" i="106"/>
  <c r="D7074" i="106" s="1"/>
  <c r="D54" i="36"/>
  <c r="B3170" i="106"/>
  <c r="D3170" i="106" s="1"/>
  <c r="E44" i="4"/>
  <c r="B3274" i="106" s="1"/>
  <c r="D3274" i="106" s="1"/>
  <c r="J41" i="3"/>
  <c r="B6216" i="106" s="1"/>
  <c r="D6216" i="106" s="1"/>
  <c r="B109" i="106"/>
  <c r="D109" i="106" s="1"/>
  <c r="B6288" i="106"/>
  <c r="D6288" i="106" s="1"/>
  <c r="B3252" i="106"/>
  <c r="D3252" i="106" s="1"/>
  <c r="I41" i="3"/>
  <c r="B2913" i="106" s="1"/>
  <c r="D2913" i="106" s="1"/>
  <c r="A1" i="173" l="1"/>
  <c r="B1" i="179"/>
  <c r="B1" i="175"/>
  <c r="D6103" i="106"/>
  <c r="L10" i="11"/>
  <c r="B2058" i="106" s="1"/>
  <c r="D2058" i="106" s="1"/>
  <c r="L279" i="29"/>
  <c r="C352" i="29"/>
  <c r="C367" i="29" s="1"/>
  <c r="B3622" i="106" s="1"/>
  <c r="D3622" i="106" s="1"/>
  <c r="F352" i="29"/>
  <c r="F367" i="29" s="1"/>
  <c r="B3643" i="106" s="1"/>
  <c r="D3643" i="106" s="1"/>
  <c r="B1131" i="106"/>
  <c r="D1131" i="106" s="1"/>
  <c r="E28" i="108"/>
  <c r="I352" i="29"/>
  <c r="I367" i="29" s="1"/>
  <c r="B7244" i="106" s="1"/>
  <c r="D7244" i="106" s="1"/>
  <c r="E16" i="145"/>
  <c r="G16" i="145" s="1"/>
  <c r="H342" i="29"/>
  <c r="B7221" i="106" s="1"/>
  <c r="D7221" i="106" s="1"/>
  <c r="L174" i="29"/>
  <c r="D31" i="108"/>
  <c r="K285" i="29"/>
  <c r="F95" i="34"/>
  <c r="F123" i="34"/>
  <c r="B5741" i="106"/>
  <c r="D5741" i="106" s="1"/>
  <c r="B5383" i="106"/>
  <c r="D5383" i="106" s="1"/>
  <c r="B5096" i="106"/>
  <c r="D5096" i="106" s="1"/>
  <c r="B4216" i="106"/>
  <c r="D4216" i="106" s="1"/>
  <c r="B5360" i="106"/>
  <c r="D5360" i="106" s="1"/>
  <c r="B6839" i="106"/>
  <c r="D6839" i="106" s="1"/>
  <c r="F126" i="34"/>
  <c r="J77" i="4"/>
  <c r="B6262" i="106" s="1"/>
  <c r="D6262" i="106" s="1"/>
  <c r="C41" i="3"/>
  <c r="B93" i="106" s="1"/>
  <c r="D93" i="106" s="1"/>
  <c r="K41" i="3"/>
  <c r="D52" i="36" s="1"/>
  <c r="B4268" i="106"/>
  <c r="D4268" i="106" s="1"/>
  <c r="L14" i="11"/>
  <c r="B7623" i="106" s="1"/>
  <c r="L15" i="11"/>
  <c r="B3459" i="106" s="1"/>
  <c r="D3459" i="106" s="1"/>
  <c r="L9" i="11"/>
  <c r="B7614" i="106" s="1"/>
  <c r="J22" i="37"/>
  <c r="D4" i="7"/>
  <c r="B1760" i="106" s="1"/>
  <c r="D1760" i="106" s="1"/>
  <c r="B1754" i="106"/>
  <c r="D1754" i="106" s="1"/>
  <c r="D14" i="4"/>
  <c r="B2570" i="106" s="1"/>
  <c r="D2570" i="106" s="1"/>
  <c r="B6887" i="106"/>
  <c r="D6887" i="106" s="1"/>
  <c r="B2805" i="106"/>
  <c r="D2805" i="106" s="1"/>
  <c r="B1053" i="106"/>
  <c r="D1053" i="106" s="1"/>
  <c r="B1127" i="106"/>
  <c r="D1127" i="106" s="1"/>
  <c r="B4211" i="106"/>
  <c r="D4211" i="106" s="1"/>
  <c r="F27" i="108"/>
  <c r="B1249" i="106"/>
  <c r="D1249" i="106" s="1"/>
  <c r="F56" i="34"/>
  <c r="F35" i="34"/>
  <c r="E29" i="108"/>
  <c r="E39" i="108"/>
  <c r="K362" i="29"/>
  <c r="K365" i="29" s="1"/>
  <c r="G210" i="29"/>
  <c r="F65" i="34" s="1"/>
  <c r="B7064" i="106"/>
  <c r="D7064" i="106" s="1"/>
  <c r="B1470" i="106"/>
  <c r="D1470" i="106" s="1"/>
  <c r="G15" i="145"/>
  <c r="G19" i="145" s="1"/>
  <c r="J20" i="145" s="1"/>
  <c r="B7794" i="106"/>
  <c r="D7794" i="106" s="1"/>
  <c r="B6840" i="106"/>
  <c r="D6840" i="106" s="1"/>
  <c r="H266" i="5"/>
  <c r="B4441" i="106" s="1"/>
  <c r="D4441" i="106" s="1"/>
  <c r="B5125" i="106"/>
  <c r="D5125" i="106" s="1"/>
  <c r="K170" i="5"/>
  <c r="F124" i="34"/>
  <c r="G77" i="4"/>
  <c r="B3261" i="106" s="1"/>
  <c r="D3261" i="106" s="1"/>
  <c r="D77" i="4"/>
  <c r="B3238" i="106" s="1"/>
  <c r="D3238" i="106" s="1"/>
  <c r="F77" i="4"/>
  <c r="B3255" i="106" s="1"/>
  <c r="D3255" i="106" s="1"/>
  <c r="B211" i="106"/>
  <c r="D211" i="106" s="1"/>
  <c r="A1" i="171"/>
  <c r="B1" i="177"/>
  <c r="A1" i="170"/>
  <c r="B1" i="176"/>
  <c r="D7246" i="106"/>
  <c r="A7247" i="106"/>
  <c r="A7248" i="106" s="1"/>
  <c r="A7249" i="106" s="1"/>
  <c r="A7250" i="106" s="1"/>
  <c r="A7251" i="106" s="1"/>
  <c r="A7252" i="106" s="1"/>
  <c r="A7253" i="106" s="1"/>
  <c r="A7254" i="106" s="1"/>
  <c r="A7255" i="106" s="1"/>
  <c r="J19" i="145"/>
  <c r="D82" i="36" s="1"/>
  <c r="B7797" i="106"/>
  <c r="D7797" i="106" s="1"/>
  <c r="K16" i="11"/>
  <c r="B2055" i="106" s="1"/>
  <c r="D2055" i="106" s="1"/>
  <c r="I24" i="12"/>
  <c r="I26" i="12" s="1"/>
  <c r="B7741" i="106" s="1"/>
  <c r="D7741" i="106" s="1"/>
  <c r="D68" i="36"/>
  <c r="F15" i="8"/>
  <c r="B1875" i="106" s="1"/>
  <c r="D1875" i="106" s="1"/>
  <c r="L22" i="37"/>
  <c r="D8" i="7"/>
  <c r="B1764" i="106" s="1"/>
  <c r="D1764" i="106" s="1"/>
  <c r="D9" i="7"/>
  <c r="B1767" i="106" s="1"/>
  <c r="D1767" i="106" s="1"/>
  <c r="G15" i="4"/>
  <c r="B6032" i="106" s="1"/>
  <c r="D6032" i="106" s="1"/>
  <c r="B3724" i="106"/>
  <c r="D3724" i="106" s="1"/>
  <c r="F73" i="34"/>
  <c r="L210" i="29"/>
  <c r="B7063" i="106"/>
  <c r="D7063" i="106" s="1"/>
  <c r="B3642" i="106"/>
  <c r="D3642" i="106" s="1"/>
  <c r="B1365" i="106"/>
  <c r="D1365" i="106" s="1"/>
  <c r="B2828" i="106"/>
  <c r="D2828" i="106" s="1"/>
  <c r="G34" i="108"/>
  <c r="J74" i="29"/>
  <c r="H352" i="29"/>
  <c r="B3656" i="106" s="1"/>
  <c r="D3656" i="106" s="1"/>
  <c r="B1329" i="106"/>
  <c r="D1329" i="106" s="1"/>
  <c r="B6883" i="106"/>
  <c r="D6883" i="106" s="1"/>
  <c r="B3488" i="106"/>
  <c r="D3488" i="106" s="1"/>
  <c r="E312" i="29"/>
  <c r="B1536" i="106" s="1"/>
  <c r="D1536" i="106" s="1"/>
  <c r="B7071" i="106"/>
  <c r="D7071" i="106" s="1"/>
  <c r="G29" i="108"/>
  <c r="B7203" i="106"/>
  <c r="D7203" i="106" s="1"/>
  <c r="B7047" i="106"/>
  <c r="D7047" i="106" s="1"/>
  <c r="B3675" i="106"/>
  <c r="D3675" i="106" s="1"/>
  <c r="B1541" i="106"/>
  <c r="D1541" i="106" s="1"/>
  <c r="E210" i="29"/>
  <c r="B1353" i="106" s="1"/>
  <c r="D1353" i="106" s="1"/>
  <c r="F28" i="108"/>
  <c r="G129" i="29"/>
  <c r="B1107" i="106"/>
  <c r="D1107" i="106" s="1"/>
  <c r="G33" i="108"/>
  <c r="G74" i="29"/>
  <c r="F50" i="34"/>
  <c r="K340" i="29"/>
  <c r="K84" i="29"/>
  <c r="B2088" i="106" s="1"/>
  <c r="D2088" i="106" s="1"/>
  <c r="H172" i="29"/>
  <c r="H174" i="29" s="1"/>
  <c r="B1318" i="106" s="1"/>
  <c r="D1318" i="106" s="1"/>
  <c r="D352" i="29"/>
  <c r="B1231" i="106"/>
  <c r="D1231" i="106" s="1"/>
  <c r="B1134" i="106"/>
  <c r="D1134" i="106" s="1"/>
  <c r="C129" i="29"/>
  <c r="B6897" i="106"/>
  <c r="D6897" i="106" s="1"/>
  <c r="B1124" i="106"/>
  <c r="D1124" i="106" s="1"/>
  <c r="L151" i="29"/>
  <c r="B7786" i="106"/>
  <c r="D7786" i="106" s="1"/>
  <c r="K110" i="29"/>
  <c r="K112" i="29" s="1"/>
  <c r="B7019" i="106" s="1"/>
  <c r="D7019" i="106" s="1"/>
  <c r="K100" i="29"/>
  <c r="B7013" i="106" s="1"/>
  <c r="D7013" i="106" s="1"/>
  <c r="B7235" i="106"/>
  <c r="D7235" i="106" s="1"/>
  <c r="B1358" i="106"/>
  <c r="D1358" i="106" s="1"/>
  <c r="L74" i="29"/>
  <c r="D279" i="29"/>
  <c r="B977" i="106"/>
  <c r="D977" i="106" s="1"/>
  <c r="K277" i="29"/>
  <c r="B1508" i="106" s="1"/>
  <c r="D1508" i="106" s="1"/>
  <c r="H151" i="29"/>
  <c r="B1273" i="106" s="1"/>
  <c r="D1273" i="106" s="1"/>
  <c r="K57" i="29"/>
  <c r="B1233" i="106"/>
  <c r="D1233" i="106" s="1"/>
  <c r="K137" i="29"/>
  <c r="F266" i="5"/>
  <c r="B5713" i="106" s="1"/>
  <c r="D5713" i="106" s="1"/>
  <c r="G109" i="5"/>
  <c r="G4" i="4" s="1"/>
  <c r="B2603" i="106" s="1"/>
  <c r="D2603" i="106" s="1"/>
  <c r="G169" i="5"/>
  <c r="B5770" i="106" s="1"/>
  <c r="D5770" i="106" s="1"/>
  <c r="K109" i="5"/>
  <c r="E266" i="5"/>
  <c r="B7747" i="106" s="1"/>
  <c r="D7747" i="106" s="1"/>
  <c r="F132" i="34"/>
  <c r="H170" i="5"/>
  <c r="B5906" i="106" s="1"/>
  <c r="D5906" i="106" s="1"/>
  <c r="F111" i="34"/>
  <c r="F107" i="34"/>
  <c r="B5444" i="106"/>
  <c r="D5444" i="106" s="1"/>
  <c r="B4373" i="106"/>
  <c r="D4373" i="106" s="1"/>
  <c r="B171" i="106"/>
  <c r="D171" i="106" s="1"/>
  <c r="D47" i="36"/>
  <c r="D45" i="36"/>
  <c r="B124" i="106"/>
  <c r="D124" i="106" s="1"/>
  <c r="B169" i="106"/>
  <c r="D169" i="106" s="1"/>
  <c r="D44" i="36"/>
  <c r="E41" i="3"/>
  <c r="H29" i="118"/>
  <c r="D31" i="36"/>
  <c r="D18" i="7"/>
  <c r="B4105" i="106" s="1"/>
  <c r="D4105" i="106" s="1"/>
  <c r="D7254" i="106"/>
  <c r="D7252" i="106"/>
  <c r="D7250" i="106"/>
  <c r="D7245" i="106"/>
  <c r="L6" i="11"/>
  <c r="B7605" i="106" s="1"/>
  <c r="J23" i="12"/>
  <c r="B7730" i="106" s="1"/>
  <c r="D7730" i="106" s="1"/>
  <c r="G26" i="12"/>
  <c r="B7739" i="106" s="1"/>
  <c r="D7739" i="106" s="1"/>
  <c r="N22" i="3"/>
  <c r="I49" i="8"/>
  <c r="N36" i="3" s="1"/>
  <c r="B285" i="106" s="1"/>
  <c r="D285" i="106" s="1"/>
  <c r="D11" i="7"/>
  <c r="B1768" i="106" s="1"/>
  <c r="D1768" i="106" s="1"/>
  <c r="D15" i="7"/>
  <c r="B1772" i="106" s="1"/>
  <c r="D1772" i="106" s="1"/>
  <c r="K16" i="4"/>
  <c r="B3574" i="106" s="1"/>
  <c r="D3574" i="106" s="1"/>
  <c r="B7243" i="106"/>
  <c r="D7243" i="106" s="1"/>
  <c r="B3676" i="106"/>
  <c r="D3676" i="106" s="1"/>
  <c r="B7234" i="106"/>
  <c r="D7234" i="106" s="1"/>
  <c r="H367" i="29"/>
  <c r="B3660" i="106" s="1"/>
  <c r="D3660" i="106" s="1"/>
  <c r="D41" i="108"/>
  <c r="E43" i="108" s="1"/>
  <c r="L342" i="29"/>
  <c r="L102" i="29"/>
  <c r="B7103" i="106"/>
  <c r="D7103" i="106" s="1"/>
  <c r="D74" i="29"/>
  <c r="B813" i="106" s="1"/>
  <c r="D813" i="106" s="1"/>
  <c r="B785" i="106"/>
  <c r="D785" i="106" s="1"/>
  <c r="F74" i="34"/>
  <c r="J15" i="4"/>
  <c r="B7796" i="106" s="1"/>
  <c r="D7796" i="106" s="1"/>
  <c r="F48" i="34"/>
  <c r="B6895" i="106"/>
  <c r="D6895" i="106" s="1"/>
  <c r="F40" i="34"/>
  <c r="B6879" i="106"/>
  <c r="D6879" i="106" s="1"/>
  <c r="K33" i="29"/>
  <c r="C342" i="29"/>
  <c r="B7216" i="106" s="1"/>
  <c r="D7216" i="106" s="1"/>
  <c r="K303" i="29"/>
  <c r="B1558" i="106"/>
  <c r="D1558" i="106" s="1"/>
  <c r="I129" i="29"/>
  <c r="B7033" i="106"/>
  <c r="D7033" i="106" s="1"/>
  <c r="B7792" i="106"/>
  <c r="D7792" i="106" s="1"/>
  <c r="K357" i="29"/>
  <c r="K15" i="4" s="1"/>
  <c r="B3573" i="106" s="1"/>
  <c r="D3573" i="106" s="1"/>
  <c r="B3673" i="106"/>
  <c r="D3673" i="106" s="1"/>
  <c r="B3621" i="106"/>
  <c r="D3621" i="106" s="1"/>
  <c r="L295" i="29"/>
  <c r="B1035" i="106"/>
  <c r="D1035" i="106" s="1"/>
  <c r="H74" i="29"/>
  <c r="B1045" i="106" s="1"/>
  <c r="D1045" i="106" s="1"/>
  <c r="B901" i="106"/>
  <c r="D901" i="106" s="1"/>
  <c r="F74" i="29"/>
  <c r="J129" i="29"/>
  <c r="F342" i="29"/>
  <c r="B7219" i="106" s="1"/>
  <c r="D7219" i="106" s="1"/>
  <c r="L367" i="29"/>
  <c r="B6997" i="106"/>
  <c r="D6997" i="106" s="1"/>
  <c r="K168" i="29"/>
  <c r="B7231" i="106"/>
  <c r="D7231" i="106" s="1"/>
  <c r="K261" i="29"/>
  <c r="B1491" i="106" s="1"/>
  <c r="D1491" i="106" s="1"/>
  <c r="B1489" i="106"/>
  <c r="D1489" i="106" s="1"/>
  <c r="F72" i="34"/>
  <c r="B1511" i="106"/>
  <c r="D1511" i="106" s="1"/>
  <c r="K350" i="29"/>
  <c r="E102" i="29"/>
  <c r="B2790" i="106" s="1"/>
  <c r="D2790" i="106" s="1"/>
  <c r="I74" i="29"/>
  <c r="K270" i="29"/>
  <c r="B1500" i="106" s="1"/>
  <c r="D1500" i="106" s="1"/>
  <c r="K293" i="29"/>
  <c r="K194" i="29"/>
  <c r="K147" i="29"/>
  <c r="K53" i="29"/>
  <c r="E74" i="29"/>
  <c r="B871" i="106" s="1"/>
  <c r="D871" i="106" s="1"/>
  <c r="C74" i="29"/>
  <c r="K229" i="29"/>
  <c r="K204" i="29"/>
  <c r="K160" i="29"/>
  <c r="K42" i="29"/>
  <c r="K330" i="29"/>
  <c r="K342" i="29" s="1"/>
  <c r="K238" i="29"/>
  <c r="B1481" i="106" s="1"/>
  <c r="D1481" i="106" s="1"/>
  <c r="K65" i="29"/>
  <c r="B1133" i="106" s="1"/>
  <c r="D1133" i="106" s="1"/>
  <c r="K47" i="29"/>
  <c r="K310" i="29"/>
  <c r="H210" i="29"/>
  <c r="B1376" i="106" s="1"/>
  <c r="D1376" i="106" s="1"/>
  <c r="H102" i="29"/>
  <c r="B1047" i="106" s="1"/>
  <c r="D1047" i="106" s="1"/>
  <c r="H312" i="29"/>
  <c r="B1554" i="106" s="1"/>
  <c r="D1554" i="106" s="1"/>
  <c r="K257" i="29"/>
  <c r="B1488" i="106" s="1"/>
  <c r="D1488" i="106" s="1"/>
  <c r="K243" i="29"/>
  <c r="B1485" i="106" s="1"/>
  <c r="D1485" i="106" s="1"/>
  <c r="K184" i="29"/>
  <c r="K127" i="29"/>
  <c r="K72" i="29"/>
  <c r="B1141" i="106" s="1"/>
  <c r="D1141" i="106" s="1"/>
  <c r="B6014" i="106"/>
  <c r="D6014" i="106" s="1"/>
  <c r="K6" i="4"/>
  <c r="B3570" i="106" s="1"/>
  <c r="D3570" i="106" s="1"/>
  <c r="B5421" i="106"/>
  <c r="D5421" i="106" s="1"/>
  <c r="D6" i="4"/>
  <c r="B2566" i="106" s="1"/>
  <c r="D2566" i="106" s="1"/>
  <c r="B3446" i="106"/>
  <c r="D3446" i="106" s="1"/>
  <c r="D16" i="7"/>
  <c r="B3447" i="106" s="1"/>
  <c r="D3447" i="106" s="1"/>
  <c r="B6409" i="106"/>
  <c r="D6409" i="106" s="1"/>
  <c r="E170" i="5"/>
  <c r="F127" i="34"/>
  <c r="B4396" i="106"/>
  <c r="D4396" i="106" s="1"/>
  <c r="B1746" i="106"/>
  <c r="D1746" i="106" s="1"/>
  <c r="H267" i="5"/>
  <c r="B5914" i="106" s="1"/>
  <c r="D5914" i="106" s="1"/>
  <c r="B5394" i="106"/>
  <c r="D5394" i="106" s="1"/>
  <c r="J109" i="5"/>
  <c r="B5412" i="106"/>
  <c r="D5412" i="106" s="1"/>
  <c r="B4363" i="106"/>
  <c r="D4363" i="106" s="1"/>
  <c r="B5893" i="106"/>
  <c r="D5893" i="106" s="1"/>
  <c r="J6" i="4"/>
  <c r="B6221" i="106" s="1"/>
  <c r="D6221" i="106" s="1"/>
  <c r="F106" i="34"/>
  <c r="K267" i="5"/>
  <c r="K268" i="5" s="1"/>
  <c r="B5225" i="106"/>
  <c r="D5225" i="106" s="1"/>
  <c r="F105" i="34"/>
  <c r="F109" i="5"/>
  <c r="G266" i="5"/>
  <c r="G267" i="5" s="1"/>
  <c r="C169" i="5"/>
  <c r="B5214" i="106" s="1"/>
  <c r="D5214" i="106" s="1"/>
  <c r="E109" i="5"/>
  <c r="C266" i="5"/>
  <c r="B5320" i="106" s="1"/>
  <c r="D5320" i="106" s="1"/>
  <c r="E77" i="4"/>
  <c r="B3277" i="106" s="1"/>
  <c r="D3277" i="106" s="1"/>
  <c r="B3635" i="106"/>
  <c r="D3635" i="106" s="1"/>
  <c r="D50" i="36"/>
  <c r="D51" i="36"/>
  <c r="H34" i="182"/>
  <c r="I34" i="182"/>
  <c r="J34" i="182"/>
  <c r="B2026" i="106"/>
  <c r="D2026" i="106" s="1"/>
  <c r="L3" i="11"/>
  <c r="B7596" i="106" s="1"/>
  <c r="L12" i="11"/>
  <c r="B2059" i="106" s="1"/>
  <c r="D2059" i="106" s="1"/>
  <c r="B7733" i="106"/>
  <c r="D7733" i="106" s="1"/>
  <c r="H24" i="12"/>
  <c r="H28" i="118"/>
  <c r="F21" i="8"/>
  <c r="D10" i="7"/>
  <c r="B1765" i="106" s="1"/>
  <c r="D1765" i="106" s="1"/>
  <c r="D12" i="7"/>
  <c r="B1769" i="106" s="1"/>
  <c r="D1769" i="106" s="1"/>
  <c r="F19" i="7"/>
  <c r="B1807" i="106" s="1"/>
  <c r="D1807" i="106" s="1"/>
  <c r="D17" i="7"/>
  <c r="B4104" i="106" s="1"/>
  <c r="D4104" i="106" s="1"/>
  <c r="D5" i="7"/>
  <c r="B1761" i="106" s="1"/>
  <c r="D1761" i="106" s="1"/>
  <c r="D13" i="7"/>
  <c r="B19" i="7"/>
  <c r="B1759" i="106" s="1"/>
  <c r="D1759" i="106" s="1"/>
  <c r="E114" i="29"/>
  <c r="B873" i="106" s="1"/>
  <c r="D873" i="106" s="1"/>
  <c r="B5863" i="106"/>
  <c r="D5863" i="106" s="1"/>
  <c r="B4444" i="106"/>
  <c r="D4444" i="106" s="1"/>
  <c r="B4435" i="106"/>
  <c r="D4435" i="106" s="1"/>
  <c r="D266" i="5"/>
  <c r="D109" i="5"/>
  <c r="H109" i="5"/>
  <c r="I109" i="5"/>
  <c r="C109" i="5"/>
  <c r="J267" i="5"/>
  <c r="F157" i="34"/>
  <c r="F169" i="5"/>
  <c r="B3231" i="106"/>
  <c r="D3231" i="106" s="1"/>
  <c r="C77" i="4"/>
  <c r="B3232" i="106" s="1"/>
  <c r="D3232" i="106" s="1"/>
  <c r="B3584" i="106"/>
  <c r="D3584" i="106" s="1"/>
  <c r="K76" i="4"/>
  <c r="B3586" i="106" s="1"/>
  <c r="D3586" i="106" s="1"/>
  <c r="B3703" i="106"/>
  <c r="D3703" i="106" s="1"/>
  <c r="B3296" i="106"/>
  <c r="D3296" i="106" s="1"/>
  <c r="H77" i="4"/>
  <c r="B3299" i="106" s="1"/>
  <c r="D3299" i="106" s="1"/>
  <c r="I76" i="4"/>
  <c r="B2917" i="106"/>
  <c r="D2917" i="106" s="1"/>
  <c r="D53" i="36"/>
  <c r="B3568" i="106"/>
  <c r="D3568" i="106" s="1"/>
  <c r="B2916" i="106"/>
  <c r="D2916" i="106" s="1"/>
  <c r="B2888" i="106"/>
  <c r="D2888" i="106" s="1"/>
  <c r="G41" i="3"/>
  <c r="D49" i="36"/>
  <c r="B2" i="175"/>
  <c r="A2" i="170"/>
  <c r="A2" i="171"/>
  <c r="A2" i="173"/>
  <c r="B2" i="174"/>
  <c r="B2" i="177"/>
  <c r="B2" i="179"/>
  <c r="F141" i="181"/>
  <c r="B7798" i="106" s="1"/>
  <c r="D7798" i="106" s="1"/>
  <c r="G17" i="181"/>
  <c r="G141" i="181" s="1"/>
  <c r="E141" i="181"/>
  <c r="L8" i="11"/>
  <c r="B2057" i="106" s="1"/>
  <c r="D2057" i="106" s="1"/>
  <c r="F16" i="11"/>
  <c r="L13" i="11"/>
  <c r="B2060" i="106" s="1"/>
  <c r="D2060" i="106" s="1"/>
  <c r="B7600" i="106"/>
  <c r="B79" i="36"/>
  <c r="B77" i="36"/>
  <c r="D7249" i="106" l="1"/>
  <c r="D7253" i="106"/>
  <c r="B1996" i="106"/>
  <c r="D1996" i="106" s="1"/>
  <c r="F22" i="37"/>
  <c r="E19" i="145"/>
  <c r="E267" i="5"/>
  <c r="G170" i="5"/>
  <c r="H7" i="4"/>
  <c r="B2657" i="106" s="1"/>
  <c r="D2657" i="106" s="1"/>
  <c r="D7247" i="106"/>
  <c r="D7248" i="106"/>
  <c r="D7251" i="106"/>
  <c r="F41" i="108"/>
  <c r="G43" i="108" s="1"/>
  <c r="B1151" i="106"/>
  <c r="D1151" i="106" s="1"/>
  <c r="C16" i="4"/>
  <c r="B2560" i="106" s="1"/>
  <c r="D2560" i="106" s="1"/>
  <c r="L114" i="29"/>
  <c r="F174" i="34"/>
  <c r="B6024" i="106"/>
  <c r="D6024" i="106" s="1"/>
  <c r="E268" i="5"/>
  <c r="B5552" i="106" s="1"/>
  <c r="D5552" i="106" s="1"/>
  <c r="F267" i="5"/>
  <c r="K77" i="4"/>
  <c r="B3587" i="106" s="1"/>
  <c r="D3587" i="106" s="1"/>
  <c r="J24" i="12"/>
  <c r="K102" i="29"/>
  <c r="D367" i="29"/>
  <c r="B3629" i="106" s="1"/>
  <c r="D3629" i="106" s="1"/>
  <c r="B3628" i="106"/>
  <c r="D3628" i="106" s="1"/>
  <c r="G151" i="29"/>
  <c r="B1258" i="106"/>
  <c r="D1258" i="106" s="1"/>
  <c r="D295" i="29"/>
  <c r="B1448" i="106" s="1"/>
  <c r="D1448" i="106" s="1"/>
  <c r="B1446" i="106"/>
  <c r="D1446" i="106" s="1"/>
  <c r="B1225" i="106"/>
  <c r="D1225" i="106" s="1"/>
  <c r="C151" i="29"/>
  <c r="B1226" i="106" s="1"/>
  <c r="D1226" i="106" s="1"/>
  <c r="B1317" i="106"/>
  <c r="D1317" i="106" s="1"/>
  <c r="K139" i="29"/>
  <c r="B2093" i="106"/>
  <c r="D2093" i="106" s="1"/>
  <c r="J114" i="29"/>
  <c r="B7021" i="106" s="1"/>
  <c r="D7021" i="106" s="1"/>
  <c r="B6978" i="106"/>
  <c r="D6978" i="106" s="1"/>
  <c r="J16" i="4"/>
  <c r="B6226" i="106" s="1"/>
  <c r="D6226" i="106" s="1"/>
  <c r="B7215" i="106"/>
  <c r="D7215" i="106" s="1"/>
  <c r="G114" i="29"/>
  <c r="B987" i="106"/>
  <c r="D987" i="106" s="1"/>
  <c r="B1125" i="106"/>
  <c r="D1125" i="106" s="1"/>
  <c r="G24" i="108"/>
  <c r="E24" i="108"/>
  <c r="J268" i="5"/>
  <c r="B7055" i="106" s="1"/>
  <c r="D7055" i="106" s="1"/>
  <c r="K4" i="4"/>
  <c r="B3569" i="106" s="1"/>
  <c r="D3569" i="106" s="1"/>
  <c r="B6028" i="106"/>
  <c r="D6028" i="106" s="1"/>
  <c r="H6" i="4"/>
  <c r="B2656" i="106" s="1"/>
  <c r="D2656" i="106" s="1"/>
  <c r="K7" i="4"/>
  <c r="B3718" i="106" s="1"/>
  <c r="D3718" i="106" s="1"/>
  <c r="B6022" i="106"/>
  <c r="D6022" i="106" s="1"/>
  <c r="C267" i="5"/>
  <c r="D46" i="36"/>
  <c r="B141" i="106"/>
  <c r="D141" i="106" s="1"/>
  <c r="K28" i="118"/>
  <c r="O27" i="118" s="1"/>
  <c r="O29" i="118" s="1"/>
  <c r="B4171" i="106"/>
  <c r="D4171" i="106" s="1"/>
  <c r="A7256" i="106"/>
  <c r="D7255" i="106"/>
  <c r="N23" i="3"/>
  <c r="B284" i="106" s="1"/>
  <c r="D284" i="106" s="1"/>
  <c r="B283" i="106"/>
  <c r="D283" i="106" s="1"/>
  <c r="F60" i="34"/>
  <c r="E15" i="4"/>
  <c r="B1108" i="106"/>
  <c r="D1108" i="106" s="1"/>
  <c r="E19" i="108"/>
  <c r="C12" i="4"/>
  <c r="G19" i="108"/>
  <c r="K74" i="29"/>
  <c r="B1115" i="106"/>
  <c r="D1115" i="106" s="1"/>
  <c r="G21" i="108"/>
  <c r="E21" i="108"/>
  <c r="K149" i="29"/>
  <c r="B7048" i="106"/>
  <c r="D7048" i="106" s="1"/>
  <c r="K312" i="29"/>
  <c r="B1560" i="106" s="1"/>
  <c r="D1560" i="106" s="1"/>
  <c r="H13" i="4"/>
  <c r="B1559" i="106"/>
  <c r="D1559" i="106" s="1"/>
  <c r="J151" i="29"/>
  <c r="B7052" i="106" s="1"/>
  <c r="D7052" i="106" s="1"/>
  <c r="B7038" i="106"/>
  <c r="D7038" i="106" s="1"/>
  <c r="F114" i="29"/>
  <c r="B931" i="106" s="1"/>
  <c r="D931" i="106" s="1"/>
  <c r="B929" i="106"/>
  <c r="D929" i="106" s="1"/>
  <c r="K129" i="29"/>
  <c r="B1279" i="106"/>
  <c r="D1279" i="106" s="1"/>
  <c r="G22" i="108"/>
  <c r="B1119" i="106"/>
  <c r="D1119" i="106" s="1"/>
  <c r="E22" i="108"/>
  <c r="I114" i="29"/>
  <c r="B6977" i="106"/>
  <c r="D6977" i="106" s="1"/>
  <c r="H114" i="29"/>
  <c r="B1054" i="106" s="1"/>
  <c r="D1054" i="106" s="1"/>
  <c r="B1381" i="106"/>
  <c r="D1381" i="106" s="1"/>
  <c r="F13" i="4"/>
  <c r="C114" i="29"/>
  <c r="B757" i="106" s="1"/>
  <c r="D757" i="106" s="1"/>
  <c r="B755" i="106"/>
  <c r="D755" i="106" s="1"/>
  <c r="K172" i="29"/>
  <c r="B1328" i="106"/>
  <c r="D1328" i="106" s="1"/>
  <c r="K196" i="29"/>
  <c r="K210" i="29" s="1"/>
  <c r="B2837" i="106"/>
  <c r="D2837" i="106" s="1"/>
  <c r="K208" i="29"/>
  <c r="B4157" i="106"/>
  <c r="D4157" i="106" s="1"/>
  <c r="H15" i="4"/>
  <c r="B2660" i="106" s="1"/>
  <c r="D2660" i="106" s="1"/>
  <c r="B2102" i="106"/>
  <c r="D2102" i="106" s="1"/>
  <c r="F53" i="34"/>
  <c r="C15" i="4"/>
  <c r="B2559" i="106" s="1"/>
  <c r="D2559" i="106" s="1"/>
  <c r="B1145" i="106"/>
  <c r="D1145" i="106" s="1"/>
  <c r="K352" i="29"/>
  <c r="B3670" i="106"/>
  <c r="D3670" i="106" s="1"/>
  <c r="I151" i="29"/>
  <c r="B7037" i="106"/>
  <c r="D7037" i="106" s="1"/>
  <c r="G16" i="4"/>
  <c r="B2611" i="106" s="1"/>
  <c r="D2611" i="106" s="1"/>
  <c r="B1515" i="106"/>
  <c r="D1515" i="106" s="1"/>
  <c r="B1474" i="106"/>
  <c r="D1474" i="106" s="1"/>
  <c r="G12" i="4"/>
  <c r="K279" i="29"/>
  <c r="F13" i="34"/>
  <c r="B7224" i="106"/>
  <c r="D7224" i="106" s="1"/>
  <c r="D114" i="29"/>
  <c r="B815" i="106" s="1"/>
  <c r="D815" i="106" s="1"/>
  <c r="B7207" i="106"/>
  <c r="D7207" i="106" s="1"/>
  <c r="J13" i="4"/>
  <c r="G23" i="108"/>
  <c r="B1122" i="106"/>
  <c r="D1122" i="106" s="1"/>
  <c r="E23" i="108"/>
  <c r="B6023" i="106"/>
  <c r="D6023" i="106" s="1"/>
  <c r="E4" i="4"/>
  <c r="B2630" i="106" s="1"/>
  <c r="D2630" i="106" s="1"/>
  <c r="B5527" i="106"/>
  <c r="D5527" i="106" s="1"/>
  <c r="H268" i="5"/>
  <c r="K313" i="29" s="1"/>
  <c r="B1561" i="106" s="1"/>
  <c r="D1561" i="106" s="1"/>
  <c r="B6025" i="106"/>
  <c r="D6025" i="106" s="1"/>
  <c r="H4" i="4"/>
  <c r="B2655" i="106" s="1"/>
  <c r="D2655" i="106" s="1"/>
  <c r="F4" i="4"/>
  <c r="B2591" i="106" s="1"/>
  <c r="D2591" i="106" s="1"/>
  <c r="B5588" i="106"/>
  <c r="D5588" i="106" s="1"/>
  <c r="I268" i="5"/>
  <c r="B5946" i="106" s="1"/>
  <c r="D5946" i="106" s="1"/>
  <c r="I4" i="4"/>
  <c r="B6026" i="106"/>
  <c r="D6026" i="106" s="1"/>
  <c r="F170" i="5"/>
  <c r="B5644" i="106"/>
  <c r="D5644" i="106" s="1"/>
  <c r="D4" i="4"/>
  <c r="B2564" i="106" s="1"/>
  <c r="D2564" i="106" s="1"/>
  <c r="B5356" i="106"/>
  <c r="D5356" i="106" s="1"/>
  <c r="B5544" i="106"/>
  <c r="D5544" i="106" s="1"/>
  <c r="E6" i="4"/>
  <c r="B2631" i="106" s="1"/>
  <c r="D2631" i="106" s="1"/>
  <c r="B5121" i="106"/>
  <c r="D5121" i="106" s="1"/>
  <c r="C4" i="4"/>
  <c r="G268" i="5"/>
  <c r="B5870" i="106" s="1"/>
  <c r="D5870" i="106" s="1"/>
  <c r="B5778" i="106"/>
  <c r="D5778" i="106" s="1"/>
  <c r="G6" i="4"/>
  <c r="B2604" i="106" s="1"/>
  <c r="D2604" i="106" s="1"/>
  <c r="J4" i="4"/>
  <c r="B6220" i="106" s="1"/>
  <c r="D6220" i="106" s="1"/>
  <c r="B6352" i="106"/>
  <c r="D6352" i="106" s="1"/>
  <c r="C170" i="5"/>
  <c r="K34" i="182"/>
  <c r="D81" i="36" s="1"/>
  <c r="H26" i="12"/>
  <c r="B7740" i="106" s="1"/>
  <c r="D7740" i="106" s="1"/>
  <c r="B1983" i="106"/>
  <c r="D1983" i="106" s="1"/>
  <c r="H22" i="37"/>
  <c r="F24" i="37" s="1"/>
  <c r="B1879" i="106"/>
  <c r="D1879" i="106" s="1"/>
  <c r="H37" i="37"/>
  <c r="N37" i="3"/>
  <c r="D19" i="7"/>
  <c r="B1775" i="106" s="1"/>
  <c r="D1775" i="106" s="1"/>
  <c r="B3726" i="106"/>
  <c r="D3726" i="106" s="1"/>
  <c r="B5915" i="106"/>
  <c r="D5915" i="106" s="1"/>
  <c r="B5501" i="106"/>
  <c r="D5501" i="106" s="1"/>
  <c r="D267" i="5"/>
  <c r="D268" i="5" s="1"/>
  <c r="B5869" i="106"/>
  <c r="D5869" i="106" s="1"/>
  <c r="G7" i="4"/>
  <c r="B7054" i="106"/>
  <c r="D7054" i="106" s="1"/>
  <c r="J7" i="4"/>
  <c r="B4434" i="106"/>
  <c r="D4434" i="106" s="1"/>
  <c r="E7" i="4"/>
  <c r="I77" i="4"/>
  <c r="B3319" i="106" s="1"/>
  <c r="D3319" i="106" s="1"/>
  <c r="B3318" i="106"/>
  <c r="D3318" i="106" s="1"/>
  <c r="D48" i="36"/>
  <c r="B190" i="106"/>
  <c r="D190" i="106" s="1"/>
  <c r="B7799" i="106"/>
  <c r="D7799" i="106" s="1"/>
  <c r="E40" i="108"/>
  <c r="G40" i="108"/>
  <c r="B2031" i="106"/>
  <c r="D2031" i="106" s="1"/>
  <c r="L16" i="11"/>
  <c r="B2061" i="106" s="1"/>
  <c r="D2061" i="106" s="1"/>
  <c r="J26" i="12"/>
  <c r="B7742" i="106" s="1"/>
  <c r="D7742" i="106" s="1"/>
  <c r="B7732" i="106"/>
  <c r="D7732" i="106" s="1"/>
  <c r="K343" i="29" l="1"/>
  <c r="B7225" i="106" s="1"/>
  <c r="D7225" i="106" s="1"/>
  <c r="B5719" i="106"/>
  <c r="D5719" i="106" s="1"/>
  <c r="F7" i="4"/>
  <c r="B2594" i="106" s="1"/>
  <c r="D2594" i="106" s="1"/>
  <c r="H8" i="4"/>
  <c r="B2658" i="106" s="1"/>
  <c r="D2658" i="106" s="1"/>
  <c r="E41" i="108"/>
  <c r="E44" i="108" s="1"/>
  <c r="E45" i="108" s="1"/>
  <c r="F58" i="34"/>
  <c r="B1259" i="106"/>
  <c r="D1259" i="106" s="1"/>
  <c r="F57" i="34"/>
  <c r="D15" i="4"/>
  <c r="B2571" i="106" s="1"/>
  <c r="D2571" i="106" s="1"/>
  <c r="B1282" i="106"/>
  <c r="D1282" i="106" s="1"/>
  <c r="F54" i="34"/>
  <c r="B989" i="106"/>
  <c r="D989" i="106" s="1"/>
  <c r="K8" i="4"/>
  <c r="C7" i="4"/>
  <c r="B2554" i="106" s="1"/>
  <c r="D2554" i="106" s="1"/>
  <c r="B5326" i="106"/>
  <c r="D5326" i="106" s="1"/>
  <c r="A7257" i="106"/>
  <c r="D7256" i="106"/>
  <c r="F11" i="34"/>
  <c r="B1388" i="106"/>
  <c r="D1388" i="106" s="1"/>
  <c r="K114" i="29"/>
  <c r="B1143" i="106"/>
  <c r="D1143" i="106" s="1"/>
  <c r="C13" i="4"/>
  <c r="B2557" i="106" s="1"/>
  <c r="D2557" i="106" s="1"/>
  <c r="G41" i="108"/>
  <c r="G44" i="108" s="1"/>
  <c r="G45" i="108" s="1"/>
  <c r="K295" i="29"/>
  <c r="G13" i="4"/>
  <c r="B2608" i="106" s="1"/>
  <c r="D2608" i="106" s="1"/>
  <c r="B1510" i="106"/>
  <c r="D1510" i="106" s="1"/>
  <c r="K367" i="29"/>
  <c r="K13" i="4"/>
  <c r="B3672" i="106"/>
  <c r="D3672" i="106" s="1"/>
  <c r="K151" i="29"/>
  <c r="B1281" i="106"/>
  <c r="D1281" i="106" s="1"/>
  <c r="D13" i="4"/>
  <c r="B2607" i="106"/>
  <c r="D2607" i="106" s="1"/>
  <c r="F63" i="34"/>
  <c r="F15" i="4"/>
  <c r="B2598" i="106" s="1"/>
  <c r="D2598" i="106" s="1"/>
  <c r="B1382" i="106"/>
  <c r="D1382" i="106" s="1"/>
  <c r="B1287" i="106"/>
  <c r="D1287" i="106" s="1"/>
  <c r="D16" i="4"/>
  <c r="B2572" i="106" s="1"/>
  <c r="D2572" i="106" s="1"/>
  <c r="B2659" i="106"/>
  <c r="D2659" i="106" s="1"/>
  <c r="H17" i="4"/>
  <c r="F16" i="4"/>
  <c r="B2599" i="106" s="1"/>
  <c r="D2599" i="106" s="1"/>
  <c r="B1387" i="106"/>
  <c r="D1387" i="106" s="1"/>
  <c r="B2633" i="106"/>
  <c r="D2633" i="106" s="1"/>
  <c r="F59" i="34"/>
  <c r="B7051" i="106"/>
  <c r="D7051" i="106" s="1"/>
  <c r="B2596" i="106"/>
  <c r="D2596" i="106" s="1"/>
  <c r="B2556" i="106"/>
  <c r="D2556" i="106" s="1"/>
  <c r="B7042" i="106"/>
  <c r="D7042" i="106" s="1"/>
  <c r="J17" i="4"/>
  <c r="E16" i="4"/>
  <c r="B2634" i="106" s="1"/>
  <c r="D2634" i="106" s="1"/>
  <c r="B1331" i="106"/>
  <c r="D1331" i="106" s="1"/>
  <c r="K174" i="29"/>
  <c r="F17" i="11"/>
  <c r="F55" i="34"/>
  <c r="B7020" i="106"/>
  <c r="D7020" i="106" s="1"/>
  <c r="B2551" i="106"/>
  <c r="D2551" i="106" s="1"/>
  <c r="F268" i="5"/>
  <c r="B5653" i="106"/>
  <c r="D5653" i="106" s="1"/>
  <c r="F6" i="4"/>
  <c r="C6" i="4"/>
  <c r="B2553" i="106" s="1"/>
  <c r="D2553" i="106" s="1"/>
  <c r="B5223" i="106"/>
  <c r="D5223" i="106" s="1"/>
  <c r="C268" i="5"/>
  <c r="B3225" i="106"/>
  <c r="D3225" i="106" s="1"/>
  <c r="I8" i="4"/>
  <c r="B287" i="106"/>
  <c r="D287" i="106" s="1"/>
  <c r="N41" i="3"/>
  <c r="H32" i="118"/>
  <c r="K32" i="118" s="1"/>
  <c r="O31" i="118" s="1"/>
  <c r="O33" i="118" s="1"/>
  <c r="B4997" i="106"/>
  <c r="D4997" i="106" s="1"/>
  <c r="B5508" i="106"/>
  <c r="D5508" i="106" s="1"/>
  <c r="K152" i="29"/>
  <c r="B1289" i="106" s="1"/>
  <c r="D1289" i="106" s="1"/>
  <c r="D7" i="4"/>
  <c r="B5507" i="106"/>
  <c r="D5507" i="106" s="1"/>
  <c r="J8" i="4"/>
  <c r="B6222" i="106"/>
  <c r="D6222" i="106" s="1"/>
  <c r="B4443" i="106"/>
  <c r="D4443" i="106" s="1"/>
  <c r="E8" i="4"/>
  <c r="B2605" i="106"/>
  <c r="D2605" i="106" s="1"/>
  <c r="G8" i="4"/>
  <c r="H10" i="4" l="1"/>
  <c r="B4127" i="106" s="1"/>
  <c r="D4127" i="106" s="1"/>
  <c r="F76" i="34"/>
  <c r="F17" i="4"/>
  <c r="B2600" i="106" s="1"/>
  <c r="D2600" i="106" s="1"/>
  <c r="B3571" i="106"/>
  <c r="D3571" i="106" s="1"/>
  <c r="K10" i="4"/>
  <c r="B4130" i="106" s="1"/>
  <c r="D4130" i="106" s="1"/>
  <c r="C17" i="4"/>
  <c r="B9" i="146" s="1"/>
  <c r="A7258" i="106"/>
  <c r="D7257" i="106"/>
  <c r="F9" i="34"/>
  <c r="B1288" i="106"/>
  <c r="D1288" i="106" s="1"/>
  <c r="B1332" i="106"/>
  <c r="D1332" i="106" s="1"/>
  <c r="F10" i="34"/>
  <c r="K175" i="29"/>
  <c r="B1333" i="106" s="1"/>
  <c r="D1333" i="106" s="1"/>
  <c r="H19" i="4"/>
  <c r="B4141" i="106" s="1"/>
  <c r="D4141" i="106" s="1"/>
  <c r="B2661" i="106"/>
  <c r="D2661" i="106" s="1"/>
  <c r="F12" i="34"/>
  <c r="B1517" i="106"/>
  <c r="D1517" i="106" s="1"/>
  <c r="K296" i="29"/>
  <c r="B1518" i="106" s="1"/>
  <c r="D1518" i="106" s="1"/>
  <c r="H20" i="4"/>
  <c r="H78" i="4" s="1"/>
  <c r="B6227" i="106"/>
  <c r="D6227" i="106" s="1"/>
  <c r="J19" i="4"/>
  <c r="B6229" i="106" s="1"/>
  <c r="D6229" i="106" s="1"/>
  <c r="E17" i="4"/>
  <c r="E20" i="4" s="1"/>
  <c r="F8" i="34"/>
  <c r="B1152" i="106"/>
  <c r="D1152" i="106" s="1"/>
  <c r="B3678" i="106"/>
  <c r="D3678" i="106" s="1"/>
  <c r="K368" i="29"/>
  <c r="B3681" i="106" s="1"/>
  <c r="D3681" i="106" s="1"/>
  <c r="B2569" i="106"/>
  <c r="D2569" i="106" s="1"/>
  <c r="D17" i="4"/>
  <c r="H17" i="118" s="1"/>
  <c r="H25" i="118" s="1"/>
  <c r="K24" i="118" s="1"/>
  <c r="O23" i="118" s="1"/>
  <c r="O25" i="118" s="1"/>
  <c r="B3572" i="106"/>
  <c r="D3572" i="106" s="1"/>
  <c r="K17" i="4"/>
  <c r="B7624" i="106"/>
  <c r="I17" i="11"/>
  <c r="G17" i="4"/>
  <c r="G20" i="4" s="1"/>
  <c r="B5327" i="106"/>
  <c r="D5327" i="106" s="1"/>
  <c r="K115" i="29"/>
  <c r="B1153" i="106" s="1"/>
  <c r="D1153" i="106" s="1"/>
  <c r="B2593" i="106"/>
  <c r="D2593" i="106" s="1"/>
  <c r="F8" i="4"/>
  <c r="K211" i="29"/>
  <c r="B1389" i="106" s="1"/>
  <c r="D1389" i="106" s="1"/>
  <c r="B5720" i="106"/>
  <c r="D5720" i="106" s="1"/>
  <c r="I20" i="4"/>
  <c r="I10" i="4"/>
  <c r="B4128" i="106" s="1"/>
  <c r="D4128" i="106" s="1"/>
  <c r="E8" i="146"/>
  <c r="E10" i="146" s="1"/>
  <c r="B3226" i="106"/>
  <c r="D3226" i="106" s="1"/>
  <c r="C8" i="4"/>
  <c r="B288" i="106"/>
  <c r="D288" i="106" s="1"/>
  <c r="D55" i="36"/>
  <c r="E10" i="4"/>
  <c r="B4124" i="106" s="1"/>
  <c r="D4124" i="106" s="1"/>
  <c r="B2632" i="106"/>
  <c r="D2632" i="106" s="1"/>
  <c r="D8" i="4"/>
  <c r="B2567" i="106"/>
  <c r="D2567" i="106" s="1"/>
  <c r="D10" i="171"/>
  <c r="D19" i="171" s="1"/>
  <c r="D32" i="171" s="1"/>
  <c r="D49" i="171" s="1"/>
  <c r="B6223" i="106"/>
  <c r="D6223" i="106" s="1"/>
  <c r="J20" i="4"/>
  <c r="J10" i="4"/>
  <c r="B6225" i="106" s="1"/>
  <c r="D6225" i="106" s="1"/>
  <c r="B2606" i="106"/>
  <c r="D2606" i="106" s="1"/>
  <c r="G10" i="4"/>
  <c r="B4126" i="106" s="1"/>
  <c r="D4126" i="106" s="1"/>
  <c r="F19" i="4" l="1"/>
  <c r="B4139" i="106" s="1"/>
  <c r="D4139" i="106" s="1"/>
  <c r="D9" i="146"/>
  <c r="C19" i="4"/>
  <c r="B4136" i="106" s="1"/>
  <c r="D4136" i="106" s="1"/>
  <c r="B2561" i="106"/>
  <c r="D2561" i="106" s="1"/>
  <c r="A7259" i="106"/>
  <c r="D7258" i="106"/>
  <c r="B7625" i="106"/>
  <c r="I18" i="11"/>
  <c r="F16" i="37"/>
  <c r="B2573" i="106"/>
  <c r="D2573" i="106" s="1"/>
  <c r="D19" i="4"/>
  <c r="B4137" i="106" s="1"/>
  <c r="D4137" i="106" s="1"/>
  <c r="C9" i="146"/>
  <c r="F9" i="146" s="1"/>
  <c r="F14" i="34"/>
  <c r="F77" i="34" s="1"/>
  <c r="B2662" i="106"/>
  <c r="D2662" i="106" s="1"/>
  <c r="B2612" i="106"/>
  <c r="D2612" i="106" s="1"/>
  <c r="G19" i="4"/>
  <c r="B4140" i="106" s="1"/>
  <c r="D4140" i="106" s="1"/>
  <c r="K20" i="4"/>
  <c r="K19" i="4"/>
  <c r="B4144" i="106" s="1"/>
  <c r="D4144" i="106" s="1"/>
  <c r="B3575" i="106"/>
  <c r="D3575" i="106" s="1"/>
  <c r="B2635" i="106"/>
  <c r="D2635" i="106" s="1"/>
  <c r="E19" i="4"/>
  <c r="B4138" i="106" s="1"/>
  <c r="D4138" i="106" s="1"/>
  <c r="B3227" i="106"/>
  <c r="D3227" i="106" s="1"/>
  <c r="I78" i="4"/>
  <c r="C10" i="4"/>
  <c r="B4122" i="106" s="1"/>
  <c r="D4122" i="106" s="1"/>
  <c r="C20" i="4"/>
  <c r="B2555" i="106"/>
  <c r="D2555" i="106" s="1"/>
  <c r="B8" i="146"/>
  <c r="B10" i="146" s="1"/>
  <c r="F10" i="4"/>
  <c r="B4125" i="106" s="1"/>
  <c r="D4125" i="106" s="1"/>
  <c r="F20" i="4"/>
  <c r="B2595" i="106"/>
  <c r="D2595" i="106" s="1"/>
  <c r="D8" i="146"/>
  <c r="D10" i="146" s="1"/>
  <c r="J78" i="4"/>
  <c r="B6230" i="106"/>
  <c r="D6230" i="106" s="1"/>
  <c r="B2636" i="106"/>
  <c r="D2636" i="106" s="1"/>
  <c r="E78" i="4"/>
  <c r="G78" i="4"/>
  <c r="B2613" i="106"/>
  <c r="D2613" i="106" s="1"/>
  <c r="D20" i="4"/>
  <c r="D10" i="4"/>
  <c r="B4123" i="106" s="1"/>
  <c r="D4123" i="106" s="1"/>
  <c r="C8" i="146"/>
  <c r="B2568" i="106"/>
  <c r="D2568" i="106" s="1"/>
  <c r="H13" i="118"/>
  <c r="H18" i="118"/>
  <c r="K17" i="118" s="1"/>
  <c r="D16" i="37"/>
  <c r="H81" i="4"/>
  <c r="B3300" i="106"/>
  <c r="D3300" i="106" s="1"/>
  <c r="H16" i="37" l="1"/>
  <c r="A7260" i="106"/>
  <c r="D7259" i="106"/>
  <c r="F79" i="34"/>
  <c r="F175" i="34"/>
  <c r="B3576" i="106"/>
  <c r="D3576" i="106" s="1"/>
  <c r="K78" i="4"/>
  <c r="B7631" i="106"/>
  <c r="F176" i="34"/>
  <c r="F78" i="4"/>
  <c r="B2601" i="106"/>
  <c r="D2601" i="106" s="1"/>
  <c r="C78" i="4"/>
  <c r="B2562" i="106"/>
  <c r="D2562" i="106" s="1"/>
  <c r="B3320" i="106"/>
  <c r="D3320" i="106" s="1"/>
  <c r="I81" i="4"/>
  <c r="B1700" i="106"/>
  <c r="D1700" i="106" s="1"/>
  <c r="H82" i="4"/>
  <c r="D62" i="36"/>
  <c r="D78" i="4"/>
  <c r="B2574" i="106"/>
  <c r="D2574" i="106" s="1"/>
  <c r="B3262" i="106"/>
  <c r="D3262" i="106" s="1"/>
  <c r="G81" i="4"/>
  <c r="B3278" i="106"/>
  <c r="D3278" i="106" s="1"/>
  <c r="E81" i="4"/>
  <c r="O16" i="118"/>
  <c r="J20" i="118"/>
  <c r="K20" i="118"/>
  <c r="C10" i="146"/>
  <c r="F8" i="146"/>
  <c r="F10" i="146" s="1"/>
  <c r="J81" i="4"/>
  <c r="B6263" i="106"/>
  <c r="D6263" i="106" s="1"/>
  <c r="A7261" i="106" l="1"/>
  <c r="D7260" i="106"/>
  <c r="F177" i="34"/>
  <c r="F179" i="34" s="1"/>
  <c r="K81" i="4"/>
  <c r="B3588" i="106"/>
  <c r="D3588" i="106" s="1"/>
  <c r="I82" i="4"/>
  <c r="D63" i="36"/>
  <c r="E11" i="146"/>
  <c r="B3323" i="106"/>
  <c r="D3323" i="106" s="1"/>
  <c r="C81" i="4"/>
  <c r="B3233" i="106"/>
  <c r="D3233" i="106" s="1"/>
  <c r="B3256" i="106"/>
  <c r="D3256" i="106" s="1"/>
  <c r="F81" i="4"/>
  <c r="D81" i="4"/>
  <c r="B3239" i="106"/>
  <c r="D3239" i="106" s="1"/>
  <c r="J82" i="4"/>
  <c r="D64" i="36"/>
  <c r="B6266" i="106"/>
  <c r="D6266" i="106" s="1"/>
  <c r="B6272" i="106"/>
  <c r="D6272" i="106" s="1"/>
  <c r="H83" i="4"/>
  <c r="B6281" i="106" s="1"/>
  <c r="D6281" i="106" s="1"/>
  <c r="O17" i="118"/>
  <c r="O20" i="118" s="1"/>
  <c r="B1658" i="106"/>
  <c r="D1658" i="106" s="1"/>
  <c r="E82" i="4"/>
  <c r="D59" i="36"/>
  <c r="B1686" i="106"/>
  <c r="D1686" i="106" s="1"/>
  <c r="D61" i="36"/>
  <c r="G82" i="4"/>
  <c r="A7262" i="106" l="1"/>
  <c r="D7261" i="106"/>
  <c r="B3591" i="106"/>
  <c r="D3591" i="106" s="1"/>
  <c r="D65" i="36"/>
  <c r="K82" i="4"/>
  <c r="D60" i="36"/>
  <c r="B1672" i="106"/>
  <c r="D1672" i="106" s="1"/>
  <c r="D11" i="146"/>
  <c r="F82" i="4"/>
  <c r="B1630" i="106"/>
  <c r="D1630" i="106" s="1"/>
  <c r="D57" i="36"/>
  <c r="B11" i="146"/>
  <c r="C82" i="4"/>
  <c r="I83" i="4"/>
  <c r="B6282" i="106" s="1"/>
  <c r="D6282" i="106" s="1"/>
  <c r="B6273" i="106"/>
  <c r="D6273" i="106" s="1"/>
  <c r="E83" i="4"/>
  <c r="B6278" i="106" s="1"/>
  <c r="D6278" i="106" s="1"/>
  <c r="B6269" i="106"/>
  <c r="D6269" i="106" s="1"/>
  <c r="B6274" i="106"/>
  <c r="D6274" i="106" s="1"/>
  <c r="J83" i="4"/>
  <c r="B6283" i="106" s="1"/>
  <c r="D6283" i="106" s="1"/>
  <c r="G83" i="4"/>
  <c r="B6280" i="106" s="1"/>
  <c r="D6280" i="106" s="1"/>
  <c r="B6271" i="106"/>
  <c r="D6271" i="106" s="1"/>
  <c r="B1644" i="106"/>
  <c r="D1644" i="106" s="1"/>
  <c r="D82" i="4"/>
  <c r="C11" i="146"/>
  <c r="D58" i="36"/>
  <c r="H12" i="118"/>
  <c r="K12" i="118" s="1"/>
  <c r="O11" i="118" s="1"/>
  <c r="O13" i="118" s="1"/>
  <c r="O35" i="118" s="1"/>
  <c r="O37" i="118" s="1"/>
  <c r="J16" i="37"/>
  <c r="B4269" i="106" s="1"/>
  <c r="D4269" i="106" s="1"/>
  <c r="A7263" i="106" l="1"/>
  <c r="D7262" i="106"/>
  <c r="K83" i="4"/>
  <c r="B6284" i="106" s="1"/>
  <c r="D6284" i="106" s="1"/>
  <c r="B6275" i="106"/>
  <c r="D6275" i="106" s="1"/>
  <c r="B6267" i="106"/>
  <c r="D6267" i="106" s="1"/>
  <c r="C83" i="4"/>
  <c r="B6276" i="106" s="1"/>
  <c r="D6276" i="106" s="1"/>
  <c r="F83" i="4"/>
  <c r="B6279" i="106" s="1"/>
  <c r="D6279" i="106" s="1"/>
  <c r="B6270" i="106"/>
  <c r="D6270" i="106" s="1"/>
  <c r="F11" i="146"/>
  <c r="C12" i="146" s="1"/>
  <c r="D83" i="4"/>
  <c r="B6277" i="106" s="1"/>
  <c r="D6277" i="106" s="1"/>
  <c r="B6268" i="106"/>
  <c r="D6268" i="106" s="1"/>
  <c r="A7264" i="106" l="1"/>
  <c r="D7263" i="106"/>
  <c r="D29" i="36"/>
  <c r="J24" i="24" s="1"/>
  <c r="A7265" i="106" l="1"/>
  <c r="D7264" i="106"/>
  <c r="A7266" i="106" l="1"/>
  <c r="D7265" i="106"/>
  <c r="A7267" i="106" l="1"/>
  <c r="D7266" i="106"/>
  <c r="A7268" i="106" l="1"/>
  <c r="D7267" i="106"/>
  <c r="A7269" i="106" l="1"/>
  <c r="D7268" i="106"/>
  <c r="D7269" i="106" l="1"/>
  <c r="A7270" i="106"/>
  <c r="A7271" i="106" l="1"/>
  <c r="D7270" i="106"/>
  <c r="A7272" i="106" l="1"/>
  <c r="D7271" i="106"/>
  <c r="D7272" i="106" l="1"/>
  <c r="A7273" i="106"/>
  <c r="D7273" i="106" l="1"/>
  <c r="A7274" i="106"/>
  <c r="D7274" i="106" l="1"/>
  <c r="A7275" i="106"/>
  <c r="A7276" i="106" l="1"/>
  <c r="D7275" i="106"/>
  <c r="D7276" i="106" l="1"/>
  <c r="A7277" i="106"/>
  <c r="A7278" i="106" l="1"/>
  <c r="D7277" i="106"/>
  <c r="D7278" i="106" l="1"/>
  <c r="A7279" i="106"/>
  <c r="A7280" i="106" l="1"/>
  <c r="D7279" i="106"/>
  <c r="A7281" i="106" l="1"/>
  <c r="D7280" i="106"/>
  <c r="D7281" i="106" l="1"/>
  <c r="A7282" i="106"/>
  <c r="A7283" i="106" l="1"/>
  <c r="D7282" i="106"/>
  <c r="A7284" i="106" l="1"/>
  <c r="D7283" i="106"/>
  <c r="A7285" i="106" l="1"/>
  <c r="D7284" i="106"/>
  <c r="A7286" i="106" l="1"/>
  <c r="D7285" i="106"/>
  <c r="A7287" i="106" l="1"/>
  <c r="D7286" i="106"/>
  <c r="A7288" i="106" l="1"/>
  <c r="D7287" i="106"/>
  <c r="D7288" i="106" l="1"/>
  <c r="A7289" i="106"/>
  <c r="A7290" i="106" l="1"/>
  <c r="D7289" i="106"/>
  <c r="A7291" i="106" l="1"/>
  <c r="D7290" i="106"/>
  <c r="D7291" i="106" l="1"/>
  <c r="A7292"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D7305" i="106" l="1"/>
  <c r="A7306" i="106"/>
  <c r="A7307" i="106" l="1"/>
  <c r="D7306" i="106"/>
  <c r="A7308" i="106" l="1"/>
  <c r="D7307" i="106"/>
  <c r="A7309" i="106" l="1"/>
  <c r="D7308" i="106"/>
  <c r="A7310" i="106" l="1"/>
  <c r="D7309" i="106"/>
  <c r="D7310" i="106" l="1"/>
  <c r="A7311" i="106"/>
  <c r="A7312" i="106" l="1"/>
  <c r="D7311" i="106"/>
  <c r="A7313" i="106" l="1"/>
  <c r="D7312" i="106"/>
  <c r="A7314" i="106" l="1"/>
  <c r="D7313" i="106"/>
  <c r="D7314" i="106" l="1"/>
  <c r="A7315" i="106"/>
  <c r="A7316" i="106" l="1"/>
  <c r="D7315" i="106"/>
  <c r="A7317" i="106" l="1"/>
  <c r="D7316" i="106"/>
  <c r="A7318" i="106" l="1"/>
  <c r="D7317" i="106"/>
  <c r="A7319" i="106" l="1"/>
  <c r="D7318" i="106"/>
  <c r="A7320" i="106" l="1"/>
  <c r="D7319" i="106"/>
  <c r="A7321" i="106" l="1"/>
  <c r="D7320" i="106"/>
  <c r="D7321" i="106" l="1"/>
  <c r="A7322" i="106"/>
  <c r="A7323" i="106" l="1"/>
  <c r="D7322" i="106"/>
  <c r="D7323" i="106" l="1"/>
  <c r="A7324" i="106"/>
  <c r="D7324" i="106" l="1"/>
  <c r="A7325" i="106"/>
  <c r="D7325" i="106" l="1"/>
  <c r="A7326" i="106"/>
  <c r="D7326" i="106" l="1"/>
  <c r="A7327"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D7338" i="106" l="1"/>
  <c r="A7339" i="106"/>
  <c r="A7340" i="106" l="1"/>
  <c r="D7339" i="106"/>
  <c r="A7341" i="106" l="1"/>
  <c r="D7340" i="106"/>
  <c r="A7342" i="106" l="1"/>
  <c r="D7341" i="106"/>
  <c r="D7342" i="106" l="1"/>
  <c r="A7343" i="106"/>
  <c r="A7344" i="106" l="1"/>
  <c r="D7343" i="106"/>
  <c r="A7345" i="106" l="1"/>
  <c r="D7344" i="106"/>
  <c r="A7346" i="106" l="1"/>
  <c r="D7345" i="106"/>
  <c r="A7347" i="106" l="1"/>
  <c r="D7346" i="106"/>
  <c r="A7348" i="106" l="1"/>
  <c r="D7347" i="106"/>
  <c r="A7349" i="106" l="1"/>
  <c r="D7348" i="106"/>
  <c r="A7350" i="106" l="1"/>
  <c r="D7349" i="106"/>
  <c r="A7351" i="106" l="1"/>
  <c r="D7350" i="106"/>
  <c r="D7351" i="106" l="1"/>
  <c r="A7352" i="106"/>
  <c r="D7352" i="106" l="1"/>
  <c r="A7353"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D7362" i="106" l="1"/>
  <c r="A7363"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D7374" i="106" l="1"/>
  <c r="A7375" i="106"/>
  <c r="A7376" i="106" l="1"/>
  <c r="D7375" i="106"/>
  <c r="A7377" i="106" l="1"/>
  <c r="D7376" i="106"/>
  <c r="A7378" i="106" l="1"/>
  <c r="D7377" i="106"/>
  <c r="A7379" i="106" l="1"/>
  <c r="D7378" i="106"/>
  <c r="D7379" i="106" l="1"/>
  <c r="A7380" i="106"/>
  <c r="A7381" i="106" l="1"/>
  <c r="D7380" i="106"/>
  <c r="A7382" i="106" l="1"/>
  <c r="D7381" i="106"/>
  <c r="A7383" i="106" l="1"/>
  <c r="D7382" i="106"/>
  <c r="D7383" i="106" l="1"/>
  <c r="A7384"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D7393" i="106" l="1"/>
  <c r="A7394" i="106"/>
  <c r="A7395" i="106" l="1"/>
  <c r="D7394" i="106"/>
  <c r="A7396" i="106" l="1"/>
  <c r="D7395" i="106"/>
  <c r="D7396" i="106" l="1"/>
  <c r="A7397" i="106"/>
  <c r="A7398" i="106" l="1"/>
  <c r="D7397" i="106"/>
  <c r="A7399" i="106" l="1"/>
  <c r="D7398" i="106"/>
  <c r="D7399" i="106" l="1"/>
  <c r="A7400" i="106"/>
  <c r="A7401" i="106" l="1"/>
  <c r="D7400" i="106"/>
  <c r="A7402" i="106" l="1"/>
  <c r="D7401" i="106"/>
  <c r="A7403" i="106" l="1"/>
  <c r="D7402" i="106"/>
  <c r="D7403" i="106" l="1"/>
  <c r="A7404" i="106"/>
  <c r="D7404" i="106" l="1"/>
  <c r="A7405"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D7417" i="106" l="1"/>
  <c r="A7418"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D7428" i="106" l="1"/>
  <c r="A7429" i="106"/>
  <c r="D7429" i="106" l="1"/>
  <c r="A7430" i="106"/>
  <c r="A7431" i="106" l="1"/>
  <c r="D7430" i="106"/>
  <c r="A7432" i="106" l="1"/>
  <c r="D7431" i="106"/>
  <c r="D7432" i="106" l="1"/>
  <c r="A7433"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D7465" i="106" l="1"/>
  <c r="A7466"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D7486" i="106" l="1"/>
  <c r="A7487" i="106"/>
  <c r="A7488" i="106" l="1"/>
  <c r="D7487" i="106"/>
  <c r="A7489" i="106" l="1"/>
  <c r="D7488" i="106"/>
  <c r="A7490" i="106" l="1"/>
  <c r="D7489" i="106"/>
  <c r="A7491" i="106" l="1"/>
  <c r="D7490" i="106"/>
  <c r="A7492" i="106" l="1"/>
  <c r="D7491" i="106"/>
  <c r="A7493" i="106" l="1"/>
  <c r="D7492" i="106"/>
  <c r="A7494" i="106" l="1"/>
  <c r="D7493" i="106"/>
  <c r="D7494" i="106" l="1"/>
  <c r="A7495" i="106"/>
  <c r="A7496" i="106" l="1"/>
  <c r="D7495" i="106"/>
  <c r="D7496" i="106" l="1"/>
  <c r="A7497" i="106"/>
  <c r="A7498" i="106" l="1"/>
  <c r="D7497" i="106"/>
  <c r="D7498" i="106" l="1"/>
  <c r="A7499"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D7509" i="106" l="1"/>
  <c r="A7510" i="106"/>
  <c r="D7510" i="106" l="1"/>
  <c r="A7511" i="106"/>
  <c r="A7512" i="106" l="1"/>
  <c r="D7511" i="106"/>
  <c r="D7512" i="106" l="1"/>
  <c r="A7513" i="106"/>
  <c r="D7513" i="106" l="1"/>
  <c r="A7514" i="106"/>
  <c r="A7515" i="106" l="1"/>
  <c r="D7514" i="106"/>
  <c r="A7516" i="106" l="1"/>
  <c r="D7515" i="106"/>
  <c r="D7516" i="106" l="1"/>
  <c r="A7517" i="106"/>
  <c r="A7518" i="106" l="1"/>
  <c r="D7517" i="106"/>
  <c r="A7519" i="106" l="1"/>
  <c r="D7518" i="106"/>
  <c r="A7520" i="106" l="1"/>
  <c r="D7519" i="106"/>
  <c r="A7521" i="106" l="1"/>
  <c r="D7520" i="106"/>
  <c r="A7522" i="106" l="1"/>
  <c r="D7521" i="106"/>
  <c r="A7523" i="106" l="1"/>
  <c r="D7522" i="106"/>
  <c r="D7523" i="106" l="1"/>
  <c r="A7524"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D7546" i="106" l="1"/>
  <c r="A7547"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D7586" i="106" l="1"/>
  <c r="A7587" i="106"/>
  <c r="A7588" i="106" l="1"/>
  <c r="D7587" i="106"/>
  <c r="A7589" i="106" l="1"/>
  <c r="D7588" i="106"/>
  <c r="A7590" i="106" l="1"/>
  <c r="D7589" i="106"/>
  <c r="A7591" i="106" l="1"/>
  <c r="D7590" i="106"/>
  <c r="A7592" i="106" l="1"/>
  <c r="D7591" i="106"/>
  <c r="D7592" i="106" l="1"/>
  <c r="A7593" i="106"/>
  <c r="A7594" i="106" l="1"/>
  <c r="D7593" i="106"/>
  <c r="A7595" i="106" l="1"/>
  <c r="D7594" i="106"/>
  <c r="A7596" i="106" l="1"/>
  <c r="D7595" i="106"/>
  <c r="A7597" i="106" l="1"/>
  <c r="D7596" i="106"/>
  <c r="A7598" i="106" l="1"/>
  <c r="D7597" i="106"/>
  <c r="A7599" i="106" l="1"/>
  <c r="D7598" i="106"/>
  <c r="D7599" i="106" l="1"/>
  <c r="A7600" i="106"/>
  <c r="D7600" i="106" l="1"/>
  <c r="A7601" i="106"/>
  <c r="A7602" i="106" l="1"/>
  <c r="D7601" i="106"/>
  <c r="D7602" i="106" l="1"/>
  <c r="A7603" i="106"/>
  <c r="D7603" i="106" l="1"/>
  <c r="A7604" i="106"/>
  <c r="A7605" i="106" l="1"/>
  <c r="D7604" i="106"/>
  <c r="D7605" i="106" l="1"/>
  <c r="A7606" i="106"/>
  <c r="D7606" i="106" l="1"/>
  <c r="A7607" i="106"/>
  <c r="A7608" i="106" l="1"/>
  <c r="D7607" i="106"/>
  <c r="D7608" i="106" l="1"/>
  <c r="A7609" i="106"/>
  <c r="D7609" i="106" l="1"/>
  <c r="A7610" i="106"/>
  <c r="A7611" i="106" l="1"/>
  <c r="D7610" i="106"/>
  <c r="A7612" i="106" l="1"/>
  <c r="D7611" i="106"/>
  <c r="A7613" i="106" l="1"/>
  <c r="D7612" i="106"/>
  <c r="A7614" i="106" l="1"/>
  <c r="D7613" i="106"/>
  <c r="A7615" i="106" l="1"/>
  <c r="D7614" i="106"/>
  <c r="A7616" i="106" l="1"/>
  <c r="D7615" i="106"/>
  <c r="A7617" i="106" l="1"/>
  <c r="D7616" i="106"/>
  <c r="D7617" i="106" l="1"/>
  <c r="A7618" i="106"/>
  <c r="A7619" i="106" l="1"/>
  <c r="D7618" i="106"/>
  <c r="D7619" i="106" l="1"/>
  <c r="A7620" i="106"/>
  <c r="D7620" i="106" l="1"/>
  <c r="A7621" i="106"/>
  <c r="A7622" i="106" l="1"/>
  <c r="D7621" i="106"/>
  <c r="D7622" i="106" l="1"/>
  <c r="A7623" i="106"/>
  <c r="A7624" i="106" l="1"/>
  <c r="D7623" i="106"/>
  <c r="A7625" i="106" l="1"/>
  <c r="D7624" i="106"/>
  <c r="A7626" i="106" l="1"/>
  <c r="A7627" i="106" s="1"/>
  <c r="A7628" i="106" s="1"/>
  <c r="A7629" i="106" s="1"/>
  <c r="A7630" i="106" s="1"/>
  <c r="A7631" i="106" s="1"/>
  <c r="D7625" i="106"/>
  <c r="D7631" i="106" l="1"/>
  <c r="A7632" i="106"/>
  <c r="A7633" i="106" s="1"/>
  <c r="A7634" i="106" s="1"/>
  <c r="A7635" i="106" s="1"/>
  <c r="A7636" i="106" l="1"/>
  <c r="D7635" i="106"/>
  <c r="A7637" i="106" l="1"/>
  <c r="D7636" i="106"/>
  <c r="A7638" i="106" l="1"/>
  <c r="D7637" i="106"/>
  <c r="A7639" i="106" l="1"/>
  <c r="D7638" i="106"/>
  <c r="D7639" i="106" l="1"/>
  <c r="A7640" i="106"/>
  <c r="A7641" i="106" l="1"/>
  <c r="D7640" i="106"/>
  <c r="A7642" i="106" l="1"/>
  <c r="D7641" i="106"/>
  <c r="D7642" i="106" l="1"/>
  <c r="A7643" i="106"/>
  <c r="A7644" i="106" l="1"/>
  <c r="D7643" i="106"/>
  <c r="A7645" i="106" l="1"/>
  <c r="D7644" i="106"/>
  <c r="A7646" i="106" l="1"/>
  <c r="D7645" i="106"/>
  <c r="A7647" i="106" l="1"/>
  <c r="D7646" i="106"/>
  <c r="A7648" i="106" l="1"/>
  <c r="D7647" i="106"/>
  <c r="D7648" i="106" l="1"/>
  <c r="A7649"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<sst xmlns="http://schemas.openxmlformats.org/spreadsheetml/2006/main" count="5136" uniqueCount="2139">
  <si>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</si>
  <si>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</si>
  <si>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</si>
  <si>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</si>
  <si>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</si>
  <si>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</si>
  <si>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</si>
  <si>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</si>
  <si>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</si>
  <si>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</si>
  <si>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</si>
  <si>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</si>
  <si>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</si>
  <si>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</si>
  <si>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</si>
  <si>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</si>
  <si>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</si>
  <si>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</si>
  <si>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</si>
  <si>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</si>
  <si>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</si>
  <si>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</si>
  <si>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</si>
  <si>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</si>
  <si>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</si>
  <si>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</si>
  <si>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</si>
  <si>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</si>
  <si>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</si>
  <si>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</si>
  <si>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</si>
  <si>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</si>
  <si>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</si>
  <si>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</si>
  <si>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</si>
  <si>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</si>
  <si>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</si>
  <si>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</si>
  <si>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</si>
  <si>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</si>
  <si>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</si>
  <si>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</si>
  <si>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</si>
  <si>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</si>
  <si>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</si>
  <si>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</si>
  <si>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</si>
  <si>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</si>
  <si>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</si>
  <si>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</si>
  <si>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</si>
  <si>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</si>
  <si>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</si>
  <si>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</si>
  <si>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</si>
  <si>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</si>
  <si>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</si>
  <si>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</si>
  <si>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</si>
  <si>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</si>
  <si>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</si>
  <si>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</si>
  <si>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</si>
  <si>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</si>
  <si>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</si>
  <si>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</si>
  <si>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</si>
  <si>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</si>
  <si>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</si>
  <si>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</si>
  <si>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</si>
  <si>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</si>
  <si>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</si>
  <si>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</si>
  <si>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</si>
  <si>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</si>
  <si>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</si>
  <si>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</si>
  <si>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</si>
  <si>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</si>
  <si>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</si>
  <si>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</si>
  <si>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</si>
  <si>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</si>
  <si>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</si>
  <si>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</si>
  <si>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</si>
  <si>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</si>
  <si>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</si>
  <si>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</si>
  <si>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</si>
  <si>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</si>
  <si>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</si>
  <si>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</si>
  <si>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</si>
  <si>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</si>
  <si>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</si>
  <si>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</si>
  <si>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</si>
  <si>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</si>
  <si>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</si>
  <si>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</si>
  <si>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</si>
  <si>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</si>
  <si>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</si>
  <si>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</si>
  <si>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</si>
  <si>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</si>
  <si>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</si>
  <si>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</si>
  <si>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</si>
  <si>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</si>
  <si>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</si>
  <si>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</si>
  <si>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</si>
  <si>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</si>
  <si>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</si>
  <si>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</si>
  <si>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</si>
  <si>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</si>
  <si>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</si>
  <si>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</si>
  <si>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</si>
  <si>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</si>
  <si>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</si>
  <si>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</si>
  <si>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</si>
  <si>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</si>
  <si>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</si>
  <si>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</si>
  <si>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</si>
  <si>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</si>
  <si>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</si>
  <si>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</si>
  <si>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</si>
  <si>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</si>
  <si>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</si>
  <si>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</si>
  <si>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</si>
  <si>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</si>
  <si>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</si>
  <si>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</si>
  <si>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</si>
  <si>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</si>
  <si>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</si>
  <si>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</si>
  <si>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</si>
  <si>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</si>
  <si>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</si>
  <si>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</si>
  <si>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</si>
  <si>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</si>
  <si>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</si>
  <si>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</si>
  <si>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</si>
  <si>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</si>
  <si>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</si>
  <si>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</si>
  <si>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</si>
  <si>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</si>
  <si>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</si>
  <si>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</si>
  <si>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</si>
  <si>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</si>
  <si>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</si>
  <si>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</si>
  <si>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</si>
  <si>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</si>
  <si>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</si>
  <si>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</si>
  <si>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</si>
  <si>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</si>
  <si>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</si>
  <si>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</si>
  <si>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</si>
  <si>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</si>
  <si>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</si>
  <si>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</si>
  <si>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</si>
  <si>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</si>
  <si>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</si>
  <si>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</si>
  <si>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</si>
  <si>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</si>
  <si>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</si>
  <si>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</si>
  <si>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</si>
  <si>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</si>
  <si>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</si>
  <si>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</si>
  <si>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</si>
  <si>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</si>
  <si>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</si>
  <si>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</si>
  <si>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</si>
  <si>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</si>
  <si>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</si>
  <si>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</si>
  <si>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</si>
  <si>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</si>
  <si>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</si>
  <si>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</si>
  <si>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</si>
  <si>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</si>
  <si>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</si>
  <si>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</si>
  <si>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</si>
  <si>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</si>
  <si>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</si>
  <si>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</si>
  <si>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</si>
  <si>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</si>
  <si>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</si>
  <si>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</si>
  <si>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</si>
  <si>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</si>
  <si>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</si>
  <si>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</si>
  <si>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</si>
  <si>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</si>
  <si>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</si>
  <si>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</si>
  <si>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</si>
  <si>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</si>
  <si>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</si>
  <si>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</si>
  <si>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</si>
  <si>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</si>
  <si>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</si>
  <si>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</si>
  <si>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</si>
  <si>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</si>
  <si>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</si>
  <si>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</si>
  <si>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</si>
  <si>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</si>
  <si>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</si>
  <si>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</si>
  <si>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</si>
  <si>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</si>
  <si>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</si>
  <si>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</si>
  <si>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</si>
  <si>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</si>
  <si>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</si>
  <si>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</si>
  <si>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</si>
  <si>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</si>
  <si>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</si>
  <si>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</si>
  <si>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</si>
  <si>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</si>
  <si>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</si>
  <si>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</si>
  <si>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</si>
  <si>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</si>
  <si>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</si>
  <si>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</si>
  <si>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</si>
  <si>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</si>
  <si>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</si>
  <si>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</si>
  <si>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</si>
  <si>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</si>
  <si>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</si>
  <si>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</si>
  <si>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</si>
  <si>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</si>
  <si>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</si>
  <si>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</si>
  <si>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</si>
  <si>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</si>
  <si>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</si>
  <si>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</si>
  <si>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</si>
  <si>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</si>
  <si>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</si>
  <si>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</si>
  <si>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</si>
  <si>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</si>
  <si>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</si>
  <si>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</si>
  <si>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</si>
  <si>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</si>
  <si>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</si>
  <si>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</si>
  <si>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</si>
  <si>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</si>
  <si>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</si>
  <si>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</si>
  <si>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</si>
  <si>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</si>
  <si>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</si>
  <si>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</si>
  <si>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</si>
  <si>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</si>
  <si>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</si>
  <si>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</si>
  <si>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</si>
  <si>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</si>
  <si>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</si>
  <si>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</si>
  <si>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</si>
  <si>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</si>
  <si>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</si>
  <si>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</si>
  <si>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</si>
  <si>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</si>
  <si>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</si>
  <si>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</si>
  <si>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</si>
  <si>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</si>
  <si>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</si>
  <si>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</si>
  <si>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</si>
  <si>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</si>
  <si>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</si>
  <si>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</si>
  <si>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</si>
  <si>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</si>
  <si>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</si>
  <si>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</si>
  <si>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</si>
  <si>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</si>
  <si>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</si>
  <si>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</si>
  <si>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</si>
  <si>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</si>
  <si>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</si>
  <si>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</si>
  <si>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</si>
  <si>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</si>
  <si>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</si>
  <si>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</si>
  <si>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</si>
  <si>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</si>
  <si>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</si>
  <si>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</si>
  <si>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</si>
  <si>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</si>
  <si>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</si>
  <si>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</si>
  <si>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</si>
  <si>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</si>
  <si>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</si>
  <si>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</si>
  <si>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</si>
  <si>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</si>
  <si>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</si>
  <si>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</si>
  <si>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</si>
  <si>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</si>
  <si>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</si>
  <si>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</si>
  <si>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</si>
  <si>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</si>
  <si>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</si>
  <si>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</si>
  <si>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</si>
  <si>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</si>
  <si>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</si>
  <si>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</si>
  <si>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</si>
  <si>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</si>
  <si>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</si>
  <si>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</si>
  <si>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</si>
  <si>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</si>
  <si>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</si>
  <si>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</si>
  <si>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</si>
  <si>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</si>
  <si>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</si>
  <si>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</si>
  <si>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</si>
  <si>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</si>
  <si>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</si>
  <si>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</si>
  <si>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</si>
  <si>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</si>
  <si>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</si>
  <si>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</si>
  <si>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</si>
  <si>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</si>
  <si>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</si>
  <si>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</si>
  <si>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</si>
  <si>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</si>
  <si>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</si>
  <si>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</si>
  <si>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</si>
  <si>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</si>
  <si>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</si>
  <si>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</si>
  <si>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</si>
  <si>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</si>
  <si>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</si>
  <si>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</si>
  <si>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</si>
  <si>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</si>
  <si>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</si>
  <si>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</si>
  <si>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</si>
  <si>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</si>
  <si>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</si>
  <si>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</si>
  <si>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</si>
  <si>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</si>
  <si>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</si>
  <si>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</si>
  <si>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</si>
  <si>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</si>
  <si>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</si>
  <si>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</si>
  <si>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</si>
  <si>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</si>
  <si>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</si>
  <si>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</si>
  <si>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</si>
  <si>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</si>
  <si>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</si>
  <si>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</si>
  <si>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</si>
  <si>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</si>
  <si>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</si>
  <si>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</si>
  <si>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</si>
  <si>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</si>
  <si>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</si>
  <si>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</si>
  <si>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</si>
  <si>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</si>
  <si>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</si>
  <si>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</si>
  <si>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</si>
  <si>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</si>
  <si>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</si>
  <si>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</si>
  <si>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</si>
  <si>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</si>
  <si>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</si>
  <si>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</si>
  <si>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</si>
  <si>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</si>
  <si>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</si>
  <si>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</si>
  <si>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</si>
  <si>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</si>
  <si>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</si>
  <si>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</si>
  <si>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</si>
  <si>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</si>
  <si>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</si>
  <si>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</si>
  <si>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</si>
  <si>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</si>
  <si>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</si>
  <si>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</si>
  <si>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</si>
  <si>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</si>
  <si>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</si>
  <si>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</si>
  <si>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</si>
  <si>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</si>
  <si>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</si>
  <si>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</si>
  <si>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</si>
  <si>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</si>
  <si>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</si>
  <si>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</si>
  <si>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</si>
  <si>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</si>
  <si>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</si>
  <si>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</si>
  <si>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</si>
  <si>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</si>
  <si>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</si>
  <si>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</si>
  <si>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</si>
  <si>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</si>
  <si>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</si>
  <si>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</si>
  <si>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</si>
  <si>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</si>
  <si>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</si>
  <si>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</si>
  <si>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</si>
  <si>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</si>
  <si>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</si>
  <si>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</si>
  <si>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</si>
  <si>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</si>
  <si>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</si>
  <si>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</si>
  <si>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</si>
  <si>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</si>
  <si>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</si>
  <si>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</si>
  <si>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</si>
  <si>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</si>
  <si>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</si>
  <si>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</si>
  <si>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</si>
  <si>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</si>
  <si>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</si>
  <si>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</si>
  <si>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</si>
  <si>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</si>
  <si>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</si>
  <si>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</si>
  <si>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</si>
  <si>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</si>
  <si>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</si>
  <si>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</si>
  <si>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</si>
  <si>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</si>
  <si>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</si>
  <si>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</si>
  <si>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</si>
  <si>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</si>
  <si>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</si>
  <si>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</si>
  <si>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</si>
  <si>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</si>
  <si>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</si>
  <si>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</si>
  <si>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</si>
  <si>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</si>
  <si>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</si>
  <si>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</si>
  <si>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</si>
  <si>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</si>
  <si>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</si>
  <si>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</si>
  <si>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</si>
  <si>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</si>
  <si>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</si>
  <si>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</si>
  <si>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</si>
  <si>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</si>
  <si>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</si>
  <si>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</si>
  <si>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</si>
  <si>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</si>
  <si>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</si>
  <si>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</si>
  <si>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</si>
  <si>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</si>
  <si>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</si>
  <si>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</si>
  <si>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</si>
  <si>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</si>
  <si>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</si>
  <si>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</si>
  <si>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</si>
  <si>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</si>
  <si>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</si>
  <si>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</si>
  <si>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</si>
  <si>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</si>
  <si>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</si>
  <si>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</si>
  <si>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</si>
  <si>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</si>
  <si>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</si>
  <si>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</si>
  <si>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</si>
  <si>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</si>
  <si>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</si>
  <si>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</si>
  <si>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</si>
  <si>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</si>
  <si>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</si>
  <si>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</si>
  <si>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</si>
  <si>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</si>
  <si>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</si>
  <si>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</si>
  <si>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</si>
  <si>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</si>
  <si>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</si>
  <si>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</si>
  <si>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</si>
  <si>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</si>
  <si>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</si>
  <si>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</si>
  <si>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</si>
  <si>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</si>
  <si>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</si>
  <si>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</si>
  <si>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</si>
  <si>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</si>
  <si>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</si>
  <si>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</si>
  <si>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</si>
  <si>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</si>
  <si>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</si>
  <si>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</si>
  <si>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</si>
  <si>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</si>
  <si>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</si>
  <si>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</si>
  <si>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</si>
  <si>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</si>
  <si>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</si>
  <si>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</si>
  <si>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</si>
  <si>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</si>
  <si>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</si>
  <si>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</si>
  <si>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</si>
  <si>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</si>
  <si>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</si>
  <si>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</si>
  <si>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</si>
  <si>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</si>
  <si>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</si>
  <si>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</si>
  <si>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</si>
  <si>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</si>
  <si>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</si>
  <si>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</si>
  <si>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</si>
  <si>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</si>
  <si>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</si>
  <si>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</si>
  <si>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</si>
  <si>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</si>
  <si>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</si>
  <si>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</si>
  <si>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</si>
  <si>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</si>
  <si>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</si>
  <si>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</si>
  <si>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</si>
  <si>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</si>
  <si>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</si>
  <si>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</si>
  <si>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</si>
  <si>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</si>
  <si>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</si>
  <si>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</si>
  <si>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</si>
  <si>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</si>
  <si>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</si>
  <si>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</si>
  <si>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</si>
  <si>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</si>
  <si>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</si>
  <si>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</si>
  <si>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</si>
  <si>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</si>
  <si>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</si>
  <si>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</si>
  <si>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</si>
  <si>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</si>
  <si>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</si>
  <si>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</si>
  <si>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</si>
  <si>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</si>
  <si>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</si>
  <si>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</si>
  <si>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</si>
  <si>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</si>
  <si>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</si>
  <si>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</si>
  <si>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</si>
  <si>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</si>
  <si>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</si>
  <si>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</si>
  <si>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</si>
  <si>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</si>
  <si>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</si>
  <si>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</si>
  <si>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</si>
  <si>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</si>
  <si>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</si>
  <si>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</si>
  <si>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</si>
  <si>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</si>
  <si>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</si>
  <si>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</si>
  <si>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</si>
  <si>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</si>
  <si>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</si>
  <si>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</si>
  <si>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</si>
  <si>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</si>
  <si>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</si>
  <si>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</si>
  <si>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</si>
  <si>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</si>
  <si>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</si>
  <si>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</si>
  <si>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</si>
  <si>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</si>
  <si>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</si>
  <si>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</si>
  <si>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</si>
  <si>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</si>
  <si>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</si>
  <si>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</si>
  <si>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</si>
  <si>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</si>
  <si>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</si>
  <si>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</si>
  <si>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</si>
  <si>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</si>
  <si>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</si>
  <si>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</si>
  <si>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</si>
  <si>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</si>
  <si>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</si>
  <si>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</si>
  <si>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</si>
  <si>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</si>
  <si>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</si>
  <si>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</si>
  <si>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</si>
  <si>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</si>
  <si>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</si>
  <si>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</si>
  <si>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</si>
  <si>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</si>
  <si>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</si>
  <si>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</si>
  <si>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</si>
  <si>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</si>
  <si>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</si>
  <si>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</si>
  <si>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</si>
  <si>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</si>
  <si>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</si>
  <si>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</si>
  <si>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</si>
  <si>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</si>
  <si>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</si>
  <si>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</si>
  <si>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</si>
  <si>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</si>
  <si>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</si>
  <si>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</si>
  <si>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</si>
  <si>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</si>
  <si>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</si>
  <si>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</si>
  <si>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</si>
  <si>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</si>
  <si>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</si>
  <si>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</si>
  <si>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</si>
  <si>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</si>
  <si>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</si>
  <si>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</si>
  <si>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</si>
  <si>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</si>
  <si>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</si>
  <si>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</si>
  <si>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</si>
  <si>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</si>
  <si>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</si>
  <si>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</si>
  <si>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</si>
  <si>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</si>
  <si>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</si>
  <si>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</si>
  <si>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</si>
  <si>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</si>
  <si>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</si>
  <si>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</si>
  <si>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</si>
  <si>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</si>
  <si>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</si>
  <si>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</si>
  <si>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</si>
  <si>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</si>
  <si>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</si>
  <si>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</si>
  <si>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</si>
  <si>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</si>
  <si>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</si>
  <si>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</si>
  <si>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</si>
  <si>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</si>
  <si>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</si>
  <si>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</si>
  <si>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</si>
  <si>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</si>
  <si>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</si>
  <si>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</si>
  <si>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</si>
  <si>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</si>
  <si>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</si>
  <si>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</si>
  <si>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</si>
  <si>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</si>
  <si>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</si>
  <si>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</si>
  <si>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</si>
  <si>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</si>
  <si>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</si>
  <si>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</si>
  <si>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</si>
  <si>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</si>
  <si>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</si>
  <si>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</si>
  <si>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</si>
  <si>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</si>
  <si>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</si>
  <si>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</si>
  <si>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</si>
  <si>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</si>
  <si>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</si>
  <si>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</si>
  <si>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</si>
  <si>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</si>
  <si>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</si>
  <si>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</si>
  <si>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</si>
  <si>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</si>
  <si>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</si>
  <si>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</si>
  <si>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</si>
  <si>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</si>
  <si>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</si>
  <si>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</si>
  <si>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</si>
  <si>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</si>
  <si>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</si>
  <si>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</si>
  <si>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</si>
  <si>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</si>
  <si>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</si>
  <si>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</si>
  <si>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</si>
  <si>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</si>
  <si>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</si>
  <si>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</si>
  <si>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</si>
  <si>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</si>
  <si>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</si>
  <si>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</si>
  <si>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</si>
  <si>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</si>
  <si>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</si>
  <si>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</si>
  <si>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</si>
  <si>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</si>
  <si>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</si>
  <si>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</si>
  <si>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</si>
  <si>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</si>
  <si>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</si>
  <si>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</si>
  <si>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</si>
  <si>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</si>
  <si>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</si>
  <si>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</si>
  <si>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</si>
  <si>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</si>
  <si>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</si>
  <si>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</si>
  <si>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</si>
  <si>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</si>
  <si>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</si>
  <si>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</si>
  <si>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</si>
  <si>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</si>
  <si>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</si>
  <si>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</si>
  <si>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</si>
  <si>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</si>
  <si>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</si>
  <si>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</si>
  <si>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</si>
  <si>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</si>
  <si>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</si>
  <si>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</si>
  <si>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</si>
  <si>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</si>
  <si>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</si>
  <si>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</si>
  <si>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</si>
  <si>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</si>
  <si>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</si>
  <si>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</si>
  <si>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</si>
  <si>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</si>
  <si>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</si>
  <si>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</si>
  <si>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</si>
  <si>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</si>
  <si>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</si>
  <si>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</si>
  <si>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</si>
  <si>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</si>
  <si>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</si>
  <si>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</si>
  <si>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</si>
  <si>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</si>
  <si>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</si>
  <si>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</si>
  <si>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</si>
  <si>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</si>
  <si>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</si>
  <si>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</si>
  <si>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</si>
  <si>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</si>
  <si>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</si>
  <si>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</si>
  <si>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</si>
  <si>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</si>
  <si>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</si>
  <si>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</si>
  <si>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</si>
  <si>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</si>
  <si>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</si>
  <si>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</si>
  <si>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</si>
  <si>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</si>
  <si>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</si>
  <si>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</si>
  <si>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</si>
  <si>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</si>
  <si>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</si>
  <si>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</si>
  <si>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</si>
  <si>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</si>
  <si>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</si>
  <si>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</si>
  <si>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</si>
  <si>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</si>
  <si>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</si>
  <si>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</si>
  <si>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</si>
  <si>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</si>
  <si>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</si>
  <si>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</si>
  <si>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</si>
  <si>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</si>
  <si>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</si>
  <si>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</si>
  <si>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</si>
  <si>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</si>
  <si>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</si>
  <si>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</si>
  <si>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</si>
  <si>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</si>
  <si>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</si>
  <si>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</si>
  <si>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</si>
  <si>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</si>
  <si>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</si>
  <si>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</si>
  <si>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</si>
  <si>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</si>
  <si>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</si>
  <si>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</si>
  <si>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</si>
  <si>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</si>
  <si>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</si>
  <si>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</si>
  <si>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</si>
  <si>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</si>
  <si>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</si>
  <si>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</si>
  <si>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</si>
  <si>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</si>
  <si>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</si>
  <si>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</si>
  <si>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</si>
  <si>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</si>
  <si>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</si>
  <si>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</si>
  <si>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</si>
  <si>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</si>
  <si>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</si>
  <si>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</si>
  <si>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</si>
  <si>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</si>
  <si>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</si>
  <si>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</si>
  <si>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</si>
  <si>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</si>
  <si>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</si>
  <si>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</si>
  <si>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</si>
  <si>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</si>
  <si>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</si>
  <si>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</si>
  <si>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</si>
  <si>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</si>
  <si>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</si>
  <si>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</si>
  <si>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</si>
  <si>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</si>
  <si>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</si>
  <si>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</si>
  <si>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</si>
  <si>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</si>
  <si>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</si>
  <si>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</si>
  <si>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</si>
  <si>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</si>
  <si>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</si>
  <si>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</si>
  <si>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</si>
  <si>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</si>
  <si>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</si>
  <si>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</si>
  <si>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</si>
  <si>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</si>
  <si>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</si>
  <si>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</si>
  <si>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</si>
  <si>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</si>
  <si>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</si>
  <si>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</si>
  <si>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</si>
  <si>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</si>
  <si>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</si>
  <si>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</si>
  <si>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</si>
  <si>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</si>
  <si>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</si>
  <si>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</si>
  <si>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</si>
  <si>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</si>
  <si>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</si>
  <si>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</si>
  <si>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</si>
  <si>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</si>
  <si>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</si>
  <si>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</si>
  <si>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</si>
  <si>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</si>
  <si>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</si>
  <si>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</si>
  <si>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</si>
  <si>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</si>
  <si>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</si>
  <si>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</si>
  <si>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</si>
  <si>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</si>
  <si>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</si>
  <si>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</si>
  <si>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</si>
  <si>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</si>
  <si>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</si>
  <si>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</si>
  <si>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</si>
  <si>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</si>
  <si>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</si>
  <si>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</si>
  <si>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</si>
  <si>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</si>
  <si>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</si>
  <si>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</si>
  <si>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</si>
  <si>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</si>
  <si>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</si>
  <si>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</si>
  <si>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</si>
  <si>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</si>
  <si>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</si>
  <si>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</si>
  <si>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</si>
  <si>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</si>
  <si>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</si>
  <si>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</si>
  <si>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</si>
  <si>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</si>
  <si>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</si>
  <si>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</si>
  <si>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</si>
  <si>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</si>
  <si>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</si>
  <si>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</si>
  <si>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</si>
  <si>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</si>
  <si>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</si>
  <si>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</si>
  <si>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</si>
  <si>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</si>
  <si>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</si>
  <si>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</si>
  <si>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</si>
  <si>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</si>
  <si>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</si>
  <si>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</si>
  <si>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</si>
  <si>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</si>
  <si>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</si>
  <si>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</si>
  <si>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</si>
  <si>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</si>
  <si>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</si>
  <si>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</si>
  <si>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</si>
  <si>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</si>
  <si>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</si>
  <si>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</si>
  <si>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</si>
  <si>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</si>
  <si>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</si>
  <si>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</si>
  <si>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</si>
  <si>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</si>
  <si>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</si>
  <si>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</si>
  <si>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</si>
  <si>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</si>
  <si>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</si>
  <si>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</si>
  <si>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</si>
  <si>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</si>
  <si>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</si>
  <si>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</si>
  <si>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</si>
  <si>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</si>
  <si>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</si>
  <si>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</si>
  <si>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</si>
  <si>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</si>
  <si>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</si>
  <si>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</si>
  <si>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</si>
  <si>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</si>
  <si>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</si>
  <si>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</si>
  <si>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</si>
  <si>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</si>
  <si>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</si>
  <si>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</si>
  <si>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</si>
  <si>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</si>
  <si>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</si>
  <si>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</si>
  <si>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</si>
  <si>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</si>
  <si>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</si>
  <si>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</si>
  <si>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</si>
  <si>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</si>
  <si>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</si>
  <si>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</si>
  <si>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</si>
  <si>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</si>
  <si>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</si>
  <si>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</si>
  <si>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</si>
  <si>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</si>
  <si>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</si>
  <si>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</si>
  <si>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</si>
  <si>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</si>
  <si>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</si>
  <si>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</si>
  <si>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</si>
  <si>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</si>
  <si>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</si>
  <si>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</si>
  <si>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</si>
  <si>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</si>
  <si>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</si>
  <si>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</si>
  <si>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</si>
  <si>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</si>
  <si>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</si>
  <si>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</si>
  <si>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</si>
  <si>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</si>
  <si>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</si>
  <si>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</si>
  <si>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</si>
  <si>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</si>
  <si>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</si>
  <si>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</si>
  <si>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</si>
  <si>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</si>
  <si>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</si>
  <si>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</si>
  <si>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</si>
  <si>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</si>
  <si>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</si>
  <si>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</si>
  <si>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</si>
  <si>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</si>
  <si>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</si>
  <si>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</si>
  <si>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</si>
  <si>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</si>
  <si>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</si>
  <si>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</si>
  <si>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</si>
  <si>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</si>
  <si>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</si>
  <si>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</si>
  <si>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</si>
  <si>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</si>
  <si>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</si>
  <si>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</si>
  <si>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</si>
  <si>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</si>
  <si>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</si>
  <si>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</si>
  <si>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</si>
  <si>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</si>
  <si>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</si>
  <si>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</si>
  <si>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</si>
  <si>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</si>
  <si>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</si>
  <si>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</si>
  <si>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</si>
  <si>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</si>
  <si>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</si>
  <si>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</si>
  <si>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</si>
  <si>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</si>
  <si>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</si>
  <si>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</si>
  <si>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</si>
  <si>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</si>
  <si>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</si>
  <si>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</si>
  <si>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</si>
  <si>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</si>
  <si>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</si>
  <si>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</si>
  <si>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</si>
  <si>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</si>
  <si>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</si>
  <si>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</si>
  <si>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</si>
  <si>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</si>
  <si>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</si>
  <si>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</si>
  <si>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</si>
  <si>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</si>
  <si>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</si>
  <si>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</si>
  <si>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</si>
  <si>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</si>
  <si>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</si>
  <si>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</si>
  <si>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</si>
  <si>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</si>
  <si>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</si>
  <si>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</si>
  <si>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</si>
  <si>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</si>
  <si>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</si>
  <si>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</si>
  <si>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</si>
  <si>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</si>
  <si>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</si>
  <si>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</si>
  <si>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</si>
  <si>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</si>
  <si>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</si>
  <si>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</si>
  <si>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</si>
  <si>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</si>
  <si>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</si>
  <si>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</si>
  <si>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</si>
  <si>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</si>
  <si>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</si>
  <si>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</si>
  <si>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</si>
  <si>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</si>
  <si>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</si>
  <si>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</si>
  <si>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</si>
  <si>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</si>
  <si>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</si>
  <si>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</si>
  <si>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</si>
  <si>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</si>
  <si>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</si>
  <si>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</si>
  <si>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</si>
  <si>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</si>
  <si>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</si>
  <si>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</si>
  <si>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</si>
  <si>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</si>
  <si>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</si>
  <si>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</si>
  <si>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</si>
  <si>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</si>
  <si>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</si>
  <si>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</si>
  <si>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</si>
  <si>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</si>
  <si>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</si>
  <si>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</si>
  <si>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</si>
  <si>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</si>
  <si>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</si>
  <si>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</si>
  <si>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</si>
  <si>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</si>
  <si>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</si>
  <si>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</si>
  <si>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</si>
  <si>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</si>
  <si>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</si>
  <si>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</si>
  <si>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</si>
  <si>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</si>
  <si>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</si>
  <si>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</si>
  <si>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</si>
  <si>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</si>
  <si>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</si>
  <si>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</si>
  <si>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</si>
  <si>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</si>
  <si>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</si>
  <si>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</si>
  <si>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</si>
  <si>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</si>
  <si>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</si>
  <si>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</si>
  <si>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</si>
  <si>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</si>
  <si>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</si>
  <si>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</si>
  <si>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</si>
  <si>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</si>
  <si>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</si>
  <si>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</si>
  <si>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</si>
  <si>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</si>
  <si>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</si>
  <si>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</si>
  <si>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</si>
  <si>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</si>
  <si>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</si>
  <si>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</si>
  <si>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</si>
  <si>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</si>
  <si>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</si>
  <si>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</si>
  <si>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</si>
  <si>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</si>
  <si>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</si>
  <si>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</si>
  <si>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</si>
  <si>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</si>
  <si>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</si>
  <si>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</si>
  <si>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</si>
  <si>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</si>
  <si>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</si>
  <si>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</si>
  <si>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</si>
  <si>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</si>
  <si>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</si>
  <si>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</si>
  <si>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</si>
  <si>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</si>
  <si>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</si>
  <si>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</si>
  <si>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</si>
  <si>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</si>
  <si>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</si>
  <si>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</si>
  <si>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</si>
  <si>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</si>
  <si>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</si>
  <si>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</si>
  <si>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</si>
  <si>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</si>
  <si>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</si>
  <si>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</si>
  <si>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</si>
  <si>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</si>
  <si>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</si>
  <si>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</si>
  <si>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</si>
  <si>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</si>
  <si>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</si>
  <si>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</si>
  <si>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</si>
  <si>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</si>
  <si>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</si>
  <si>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</si>
  <si>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</si>
  <si>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</si>
  <si>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</si>
  <si>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</si>
  <si>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</si>
  <si>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</si>
  <si>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</si>
  <si>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</si>
  <si>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</si>
  <si>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</si>
  <si>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</si>
  <si>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</si>
  <si>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</si>
  <si>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</si>
  <si>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</si>
  <si>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</si>
  <si>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</si>
  <si>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</si>
  <si>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</si>
  <si>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</si>
  <si>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</si>
  <si>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</si>
  <si>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</si>
  <si>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</si>
  <si>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</si>
  <si>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</si>
  <si>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</si>
  <si>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</si>
  <si>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</si>
  <si>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</si>
  <si>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</si>
  <si>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</si>
  <si>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</si>
  <si>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</si>
  <si>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</si>
  <si>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</si>
  <si>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</si>
  <si>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</si>
  <si>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</si>
  <si>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</si>
  <si>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</si>
  <si>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</si>
  <si>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</si>
  <si>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</si>
  <si>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</si>
  <si>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</si>
  <si>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</si>
  <si>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</si>
  <si>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</si>
  <si>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</si>
  <si>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</si>
  <si>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</si>
  <si>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</si>
  <si>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</si>
  <si>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</si>
  <si>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</si>
  <si>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</si>
  <si>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</si>
  <si>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</si>
  <si>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</si>
  <si>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</si>
  <si>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</si>
  <si>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</si>
  <si>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</si>
  <si>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</si>
  <si>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</si>
  <si>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</si>
  <si>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</si>
  <si>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</si>
  <si>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</si>
  <si>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</si>
  <si>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</si>
  <si>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</si>
  <si>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</si>
  <si>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</si>
  <si>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</si>
  <si>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</si>
  <si>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</si>
  <si>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</si>
  <si>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</si>
  <si>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</si>
  <si>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</si>
  <si>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</si>
  <si>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</si>
  <si>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</si>
  <si>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</si>
  <si>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</si>
  <si>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</si>
  <si>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</si>
  <si>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</si>
  <si>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</si>
  <si>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</si>
  <si>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</si>
  <si>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</si>
  <si>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</si>
  <si>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</si>
  <si>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</si>
  <si>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</si>
  <si>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</si>
  <si>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</si>
  <si>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</si>
  <si>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</si>
  <si>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</si>
  <si>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</si>
  <si>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</si>
  <si>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</si>
  <si>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</si>
  <si>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</si>
  <si>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</si>
  <si>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</si>
  <si>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</si>
  <si>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</si>
  <si>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</si>
  <si>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</si>
  <si>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</si>
  <si>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</si>
  <si>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</si>
  <si>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</si>
  <si>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</si>
  <si>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</si>
  <si>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</si>
  <si>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</si>
  <si>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</si>
  <si>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</si>
  <si>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</si>
  <si>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</si>
  <si>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</si>
  <si>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</si>
  <si>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</si>
  <si>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</si>
  <si>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</si>
  <si>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</si>
  <si>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</si>
  <si>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</si>
  <si>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</si>
  <si>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</si>
  <si>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</si>
  <si>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</si>
  <si>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</si>
  <si>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</si>
  <si>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</si>
  <si>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</si>
  <si>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</si>
  <si>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</si>
  <si>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</si>
  <si>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</si>
  <si>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</si>
  <si>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</si>
  <si>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</si>
  <si>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</si>
  <si>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</si>
  <si>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</si>
  <si>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</si>
  <si>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</si>
  <si>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</si>
  <si>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</si>
  <si>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</si>
  <si>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</si>
  <si>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</si>
  <si>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</si>
  <si>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</si>
  <si>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</si>
  <si>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</si>
  <si>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</si>
  <si>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</si>
  <si>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</si>
  <si>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</si>
  <si>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</si>
  <si>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</si>
  <si>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</si>
  <si>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</si>
  <si>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</si>
  <si>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</si>
  <si>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</si>
  <si>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</si>
  <si>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</si>
  <si>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</si>
  <si>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</si>
  <si>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</si>
  <si>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</si>
  <si>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</si>
  <si>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</si>
  <si>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</si>
  <si>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</si>
  <si>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</si>
  <si>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</si>
  <si>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</si>
  <si>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</si>
  <si>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</si>
  <si>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</si>
  <si>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</si>
  <si>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</si>
  <si>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</si>
  <si>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</si>
  <si>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</si>
  <si>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</si>
  <si>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</si>
  <si>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</si>
  <si>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</si>
  <si>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</si>
  <si>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</si>
  <si>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</si>
  <si>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</si>
  <si>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</si>
  <si>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</si>
  <si>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</si>
  <si>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</si>
  <si>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</si>
  <si>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</si>
  <si>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</si>
  <si>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</si>
  <si>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</si>
  <si>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</si>
  <si>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</si>
  <si>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</si>
  <si>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</si>
  <si>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</si>
  <si>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</si>
  <si>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</si>
  <si>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</si>
  <si>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</si>
  <si>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</si>
  <si>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</si>
  <si>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</si>
  <si>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</si>
  <si>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</si>
  <si>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</si>
  <si>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</si>
  <si>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</si>
  <si>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</si>
  <si>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</si>
  <si>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</si>
  <si>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</si>
  <si>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</si>
  <si>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</si>
  <si>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</si>
  <si>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</si>
  <si>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</si>
  <si>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</si>
  <si>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</si>
  <si>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</si>
  <si>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</si>
  <si>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</si>
  <si>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</si>
  <si>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</si>
  <si>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</si>
  <si>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</si>
  <si>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</si>
  <si>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</si>
  <si>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</si>
  <si>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</si>
  <si>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</si>
  <si>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</si>
  <si>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</si>
  <si>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</si>
  <si>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</si>
  <si>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</si>
  <si>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</si>
  <si>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</si>
  <si>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</si>
  <si>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</si>
  <si>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</si>
  <si>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</si>
  <si>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</si>
  <si>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</si>
  <si>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</si>
  <si>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</si>
  <si>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</si>
  <si>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</si>
  <si>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</si>
  <si>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</si>
  <si>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</si>
  <si>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</si>
  <si>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</si>
  <si>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</si>
  <si>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</si>
  <si>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</si>
  <si>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</si>
  <si>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</si>
  <si>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</si>
  <si>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</si>
  <si>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</si>
  <si>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</si>
  <si>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</si>
  <si>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</si>
  <si>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</si>
  <si>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</si>
  <si>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</si>
  <si>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</si>
  <si>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</si>
  <si>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</si>
  <si>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</si>
  <si>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</si>
  <si>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</si>
  <si>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</si>
  <si>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</si>
  <si>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</si>
  <si>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</si>
  <si>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</si>
  <si>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</si>
  <si>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</si>
  <si>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</si>
  <si>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</si>
  <si>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</si>
  <si>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</si>
  <si>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</si>
  <si>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</si>
  <si>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</si>
  <si>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</si>
  <si>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</si>
  <si>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</si>
  <si>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</si>
  <si>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</si>
  <si>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</si>
  <si>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</si>
  <si>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</si>
  <si>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</si>
  <si>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</si>
  <si>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</si>
  <si>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</si>
  <si>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</si>
  <si>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</si>
  <si>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</si>
  <si>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</si>
  <si>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</si>
  <si>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</si>
  <si>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</si>
  <si>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</si>
  <si>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</si>
  <si>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</si>
  <si>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</si>
  <si>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</si>
  <si>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</si>
  <si>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</si>
  <si>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</si>
  <si>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</si>
  <si>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</si>
  <si>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</si>
  <si>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</si>
  <si>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</si>
  <si>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</si>
  <si>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</si>
  <si>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</si>
  <si>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</si>
  <si>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</si>
  <si>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</si>
  <si>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</si>
  <si>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</si>
  <si>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</si>
  <si>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</si>
  <si>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</si>
  <si>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</si>
  <si>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</si>
  <si>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</si>
  <si>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</si>
  <si>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</si>
  <si>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</si>
  <si>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</si>
  <si>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</si>
  <si>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</si>
  <si>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</si>
  <si>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</si>
  <si>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</si>
  <si>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</si>
  <si>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</si>
  <si>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</si>
  <si>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</si>
  <si>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</si>
  <si>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</si>
  <si>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</si>
  <si>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</si>
  <si>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</si>
  <si>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</si>
  <si>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</si>
  <si>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</si>
  <si>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</si>
  <si>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</si>
  <si>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</si>
  <si>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</si>
  <si>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</si>
  <si>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</si>
  <si>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</si>
  <si>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</si>
  <si>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</si>
  <si>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</si>
  <si>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</si>
  <si>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</si>
  <si>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</si>
  <si>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</si>
  <si>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</si>
  <si>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</si>
  <si>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</si>
  <si>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</si>
  <si>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</si>
  <si>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</si>
  <si>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</si>
  <si>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</si>
  <si>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</si>
  <si>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</si>
  <si>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</si>
  <si>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</si>
  <si>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</si>
  <si>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</si>
  <si>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</si>
  <si>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</si>
  <si>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</si>
  <si>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</si>
  <si>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</si>
  <si>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</si>
  <si>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</si>
  <si>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</si>
  <si>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</si>
  <si>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</si>
  <si>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</si>
  <si>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</si>
  <si>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</si>
  <si>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</si>
  <si>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</si>
  <si>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</si>
  <si>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</si>
  <si>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</si>
  <si>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</si>
  <si>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</si>
  <si>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</si>
  <si>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</si>
  <si>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</si>
  <si>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</si>
  <si>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</si>
  <si>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</si>
  <si>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</si>
  <si>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</si>
  <si>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</si>
  <si>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</si>
  <si>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</si>
  <si>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</si>
  <si>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</si>
  <si>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</si>
  <si>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</si>
  <si>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</si>
  <si>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</si>
  <si>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</si>
  <si>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</si>
  <si>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</si>
  <si>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</si>
  <si>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</si>
  <si>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</si>
  <si>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</si>
  <si>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</si>
  <si>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</si>
  <si>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</si>
  <si>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</si>
  <si>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</si>
  <si>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</si>
  <si>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</si>
  <si>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</si>
  <si>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</si>
  <si>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</si>
  <si>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</si>
  <si>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</si>
  <si>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</si>
  <si>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</si>
  <si>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</si>
  <si>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</si>
  <si>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</si>
  <si>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</si>
  <si>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</si>
  <si>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</si>
  <si>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</si>
  <si>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</si>
  <si>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</si>
  <si>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</si>
  <si>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</si>
  <si>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</si>
  <si>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</si>
  <si>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</si>
  <si>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</si>
  <si>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</si>
  <si>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</si>
  <si>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</si>
  <si>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</si>
  <si>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</si>
  <si>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</si>
  <si>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</si>
  <si>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</si>
  <si>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</si>
  <si>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</si>
  <si>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</si>
  <si>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</si>
  <si>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</si>
  <si>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</si>
  <si>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</si>
  <si>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</si>
  <si>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</si>
  <si>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</si>
  <si>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</si>
  <si>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</si>
  <si>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</si>
  <si>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</si>
  <si>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</si>
  <si>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</si>
  <si>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</si>
  <si>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</si>
  <si>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</si>
  <si>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</si>
  <si>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</si>
  <si>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</si>
  <si>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</si>
  <si>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</si>
  <si>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</si>
  <si>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</si>
  <si>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</si>
  <si>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</si>
  <si>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</si>
  <si>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</si>
  <si>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</si>
  <si>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</si>
  <si>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</si>
  <si>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</si>
  <si>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</si>
  <si>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</si>
  <si>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</si>
  <si>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</si>
  <si>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</si>
  <si>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</si>
  <si>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</si>
  <si>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</si>
  <si>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</si>
  <si>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</si>
  <si>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</si>
  <si>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</si>
  <si>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</si>
  <si>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</si>
  <si>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</si>
  <si>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</si>
  <si>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</si>
  <si>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</si>
  <si>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</si>
  <si>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</si>
  <si>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</si>
  <si>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</si>
  <si>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</si>
  <si>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</si>
  <si>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</si>
  <si>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</si>
  <si>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</si>
  <si>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</si>
  <si>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</si>
  <si>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</si>
  <si>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</si>
  <si>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</si>
  <si>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</si>
  <si>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</si>
  <si>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</si>
  <si>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</si>
  <si>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</si>
  <si>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</si>
  <si>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</si>
  <si>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</si>
  <si>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</si>
  <si>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</si>
  <si>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</si>
  <si>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</si>
  <si>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</si>
  <si>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</si>
  <si>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</si>
  <si>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</si>
  <si>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</si>
  <si>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</si>
  <si>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</si>
  <si>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</si>
  <si>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</si>
  <si>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</si>
  <si>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</si>
  <si>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</si>
  <si>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</si>
  <si>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</si>
  <si>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</si>
  <si>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</si>
  <si>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</si>
  <si>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</si>
  <si>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</si>
  <si>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</si>
  <si>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</si>
  <si>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</si>
  <si>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</si>
  <si>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</si>
  <si>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</si>
  <si>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</si>
  <si>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</si>
  <si>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</si>
  <si>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</si>
  <si>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</si>
  <si>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</si>
  <si>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</si>
  <si>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</si>
  <si>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</si>
  <si>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</si>
  <si>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</si>
  <si>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</si>
  <si>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</si>
  <si>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</si>
  <si>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</si>
  <si>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</si>
  <si>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</si>
  <si>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</si>
  <si>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</si>
  <si>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</si>
  <si>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</si>
  <si>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</si>
  <si>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</si>
  <si>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</si>
  <si>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</si>
  <si>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</si>
  <si>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</si>
  <si>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</si>
  <si>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</si>
  <si>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</si>
  <si>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</si>
  <si>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</si>
  <si>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</si>
  <si>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</si>
  <si>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</si>
  <si>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</si>
  <si>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</si>
  <si>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</si>
  <si>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</si>
  <si>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</si>
  <si>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</si>
  <si>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</si>
  <si>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</si>
  <si>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</si>
  <si>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</si>
  <si>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</si>
  <si>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</si>
  <si>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</si>
  <si>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</si>
  <si>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</si>
  <si>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</si>
  <si>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</si>
  <si>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</si>
  <si>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</si>
  <si>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</si>
  <si>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</si>
  <si>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</si>
  <si>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</si>
  <si>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</si>
  <si>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</si>
  <si>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</si>
  <si>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</si>
  <si>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</si>
  <si>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</si>
  <si>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</si>
  <si>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</si>
  <si>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</si>
  <si>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</si>
  <si>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</si>
  <si>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</si>
  <si>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</si>
  <si>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</si>
  <si>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</si>
  <si>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</si>
  <si>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</si>
  <si>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</si>
  <si>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</si>
  <si>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</si>
  <si>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</si>
  <si>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</si>
  <si>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</si>
  <si>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</si>
  <si>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</si>
  <si>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</si>
  <si>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</si>
  <si>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</si>
  <si>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</si>
  <si>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</si>
  <si>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Edwards, Richland, Wayne</t>
  </si>
  <si>
    <t>361 West Main Street</t>
  </si>
  <si>
    <t>Albion</t>
  </si>
  <si>
    <t>Kemper CPA Group LLP</t>
  </si>
  <si>
    <t>Krista McLaren</t>
  </si>
  <si>
    <t>703 W. Main St, PO Box 447</t>
  </si>
  <si>
    <t>Olney</t>
  </si>
  <si>
    <t>IL</t>
  </si>
  <si>
    <t>618-395-2105</t>
  </si>
  <si>
    <t>618-395-7079</t>
  </si>
  <si>
    <t>kmclaren@kempercpa.com</t>
  </si>
  <si>
    <t>David Cowger</t>
  </si>
  <si>
    <t>dcowger@eccusd.com</t>
  </si>
  <si>
    <t>618-445-2814</t>
  </si>
  <si>
    <t>618-445-2272</t>
  </si>
  <si>
    <t>Part C, Number 23: The Auditor's Report contains a qualified opinion because the financial statements do not include disclosures regarding postemployment health insurance benefits required by the financial reporting provisions of the ISBE.</t>
  </si>
  <si>
    <t>Page 10, Line 74; Educational - Other Food Services - Misc. Revenue $1,015</t>
  </si>
  <si>
    <t>Page 11, Line 107; Educational - Other Local Revenues - Other Revenue $1,188</t>
  </si>
  <si>
    <t>Page 12, Line 168; Educational - Other Restricted Revenue from States Souces - State Library Grant $750; Other State Revenue $850</t>
  </si>
  <si>
    <t>Page 15, Line 41; Educational - Other Support Services - Pupils - Object 400 - Supplies for graduation $2,397</t>
  </si>
  <si>
    <t>Page 11, Line 107; Operations &amp; Maintenance - Other Local Revenues - Other Revenue $1,065</t>
  </si>
  <si>
    <t>Page 18, Line 171; Debt Service - Debt Services Other - Object 600 - Bond Registrar Fees $371</t>
  </si>
  <si>
    <t>Page 11, Line 107; Capital Projects - Other Local Revenues - Other Revenue $700</t>
  </si>
  <si>
    <t>Series 2012A QZAB Bonds</t>
  </si>
  <si>
    <t>Series 2015 G.O. Bonds</t>
  </si>
  <si>
    <t>QZAB Bond</t>
  </si>
  <si>
    <t>Egyptian Trust</t>
  </si>
  <si>
    <t>Job Bank through ROE #20</t>
  </si>
  <si>
    <t>Wabash Ohio Valley Special Education (See below)</t>
  </si>
  <si>
    <t>Ohio Wabash Valley Regional Vocation Ssytem (See below)</t>
  </si>
  <si>
    <t>Line 26 - School districts in the Illinois counties of Edwards, Gallatin, Hamilton, Hardin, Pope, Saline, Wabash, Wayne, and White.</t>
  </si>
  <si>
    <t>Line 31 - School districts in the Illinois counties of Edwards, Gallatin, Hardin, Pope, Saline, Wabash, Wayne, and White.</t>
  </si>
  <si>
    <t>N/A</t>
  </si>
  <si>
    <t>District personnel do not possess the necessary accounting expertise to prevent, detect, or correct potential omissions in the footnotes to the financial statements prepared in accordance with the financial reporting provisions of the Illinois State Board of Education.</t>
  </si>
  <si>
    <t>In the absence of the necessary knowledge, training, and expertise, the District msut rely on the auditors to ensure the notes to the financial statements are properly presented in accordance with the financial reporting provisions of the Illinois State Board of Education.</t>
  </si>
  <si>
    <t>The District cannot prepare the notes to the financial statements presented in accordance with the financial reporting provisions of the Illinois State Board of Education.</t>
  </si>
  <si>
    <t>The District's personnel have not obtained the necessary knowledge, training, or expertise.</t>
  </si>
  <si>
    <t>The District should provide necessary training to personnel or contract with an independent contractor with the knowledge to properly prepare the notes to the financial statements in accordance with the financial reporting provisions of the Illinois State Board of Education.</t>
  </si>
  <si>
    <t>The District does not intend to correct the finding in the next fiscal year.</t>
  </si>
  <si>
    <t>The District does not currently employ an individual with the necessary knowledge and expertise to draft the footnotes to the financial statements prepared in accordance with the financial reporting provisions of the Illinois State Board of Education.</t>
  </si>
  <si>
    <t xml:space="preserve">The District does not currently employ an </t>
  </si>
  <si>
    <t>individual with the necessary knowledge and</t>
  </si>
  <si>
    <t xml:space="preserve">expertise to draft the footnotes to the </t>
  </si>
  <si>
    <t>financial statements.</t>
  </si>
  <si>
    <t>2018-001</t>
  </si>
  <si>
    <t>Repeated as 2019-001</t>
  </si>
  <si>
    <t>Operations &amp; Maintenance - Care &amp; Upkeep - Communications</t>
  </si>
  <si>
    <t>Tort Fund - Insurance Payment</t>
  </si>
  <si>
    <t>Operations &amp; Maintenance - Care &amp; Upkeep - Electricity</t>
  </si>
  <si>
    <t>Operations &amp; Maintenance - Care &amp; Upkeeo Equip - TAC Agreement</t>
  </si>
  <si>
    <t>Operations &amp; Maintenance - Care &amp; Upkeep - Repairs &amp; Maint.</t>
  </si>
  <si>
    <t>Transportation - Vehicle Oper. Service - Supplies</t>
  </si>
  <si>
    <t>10-2300-300</t>
  </si>
  <si>
    <t>20-2540-300</t>
  </si>
  <si>
    <t>80-2300-300</t>
  </si>
  <si>
    <t>20-2540-400</t>
  </si>
  <si>
    <t>20-2540-500</t>
  </si>
  <si>
    <t>40-2550-400</t>
  </si>
  <si>
    <t>Bushue Human Resources</t>
  </si>
  <si>
    <t>Clearwave</t>
  </si>
  <si>
    <t>Energy.ME</t>
  </si>
  <si>
    <t>Schneider Electric</t>
  </si>
  <si>
    <t>J.E. Shekell, Inc</t>
  </si>
  <si>
    <t>AT&amp;T</t>
  </si>
  <si>
    <t>Scholastic Risk Management Services Inc</t>
  </si>
  <si>
    <t>Accident Fund</t>
  </si>
  <si>
    <t>ADG</t>
  </si>
  <si>
    <t>Robbins-Schwartz Attorney</t>
  </si>
  <si>
    <t>90-2530-300</t>
  </si>
  <si>
    <t>Education - Board of Education - Purchased Services</t>
  </si>
  <si>
    <t>Tort Fund - Workers Compensation - Purchased Services</t>
  </si>
  <si>
    <t>Fire Prevention and Safety - Facilities Acquisition &amp; Construction Servies - Purchased Services</t>
  </si>
  <si>
    <t>Page 10, Line 107; Transportation - Other Local Revenue - Other Revenue - $4,633</t>
  </si>
  <si>
    <t>Edwards County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</si>
</sst>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9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66" fillId="0" borderId="0" xfId="0" applyFont="1" applyAlignment="1">
      <alignment horizontal="center"/>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5</xdr:row>
          <xdr:rowOff>0</xdr:rowOff>
        </xdr:from>
        <xdr:to>
          <xdr:col>1</xdr:col>
          <xdr:colOff>1962150</xdr:colOff>
          <xdr:row>9</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5</xdr:row>
          <xdr:rowOff>9525</xdr:rowOff>
        </xdr:from>
        <xdr:to>
          <xdr:col>1</xdr:col>
          <xdr:colOff>3028950</xdr:colOff>
          <xdr:row>9</xdr:row>
          <xdr:rowOff>47625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3324225</xdr:colOff>
          <xdr:row>5</xdr:row>
          <xdr:rowOff>0</xdr:rowOff>
        </xdr:from>
        <xdr:to>
          <xdr:col>2</xdr:col>
          <xdr:colOff>257175</xdr:colOff>
          <xdr:row>9</xdr:row>
          <xdr:rowOff>38100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B48"/>
  <sheetViews>
    <sheetView showGridLines="0" tabSelected="1" topLeftCell="A7"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7" t="s">
        <v>405</v>
      </c>
      <c r="J1" s="1988"/>
      <c r="K1" s="1988"/>
      <c r="L1" s="1988"/>
      <c r="M1" s="1988"/>
      <c r="N1" s="1988"/>
      <c r="O1" s="1988"/>
      <c r="P1" s="1988"/>
      <c r="Q1" s="1988"/>
      <c r="R1" s="1988"/>
      <c r="S1" s="1988"/>
    </row>
    <row r="2" spans="1:28" ht="12" customHeight="1" x14ac:dyDescent="0.2">
      <c r="A2" s="47" t="s">
        <v>1992</v>
      </c>
      <c r="D2" s="48"/>
      <c r="I2" s="1989" t="s">
        <v>979</v>
      </c>
      <c r="J2" s="1988"/>
      <c r="K2" s="1988"/>
      <c r="L2" s="1988"/>
      <c r="M2" s="1988"/>
      <c r="N2" s="1988"/>
      <c r="O2" s="1988"/>
      <c r="P2" s="1988"/>
      <c r="Q2" s="1988"/>
      <c r="R2" s="1988"/>
      <c r="S2" s="1988"/>
    </row>
    <row r="3" spans="1:28" ht="12" customHeight="1" x14ac:dyDescent="0.2">
      <c r="A3" s="155" t="s">
        <v>1944</v>
      </c>
      <c r="B3" s="156"/>
      <c r="C3" s="156"/>
      <c r="D3" s="157"/>
      <c r="I3" s="1989" t="s">
        <v>52</v>
      </c>
      <c r="J3" s="1988"/>
      <c r="K3" s="1988"/>
      <c r="L3" s="1988"/>
      <c r="M3" s="1988"/>
      <c r="N3" s="1988"/>
      <c r="O3" s="1988"/>
      <c r="P3" s="1988"/>
      <c r="Q3" s="1988"/>
      <c r="R3" s="1988"/>
      <c r="S3" s="1988"/>
    </row>
    <row r="4" spans="1:28" ht="12" customHeight="1" x14ac:dyDescent="0.2">
      <c r="A4" s="37"/>
      <c r="I4" s="1989" t="s">
        <v>524</v>
      </c>
      <c r="J4" s="1988"/>
      <c r="K4" s="1988"/>
      <c r="L4" s="1988"/>
      <c r="M4" s="1988"/>
      <c r="N4" s="1988"/>
      <c r="O4" s="1988"/>
      <c r="P4" s="1988"/>
      <c r="Q4" s="1988"/>
      <c r="R4" s="1988"/>
      <c r="S4" s="1988"/>
    </row>
    <row r="5" spans="1:28" ht="14.1" customHeight="1" x14ac:dyDescent="0.2">
      <c r="B5" s="104" t="s">
        <v>2064</v>
      </c>
      <c r="C5" s="26" t="s">
        <v>910</v>
      </c>
      <c r="D5" s="84"/>
      <c r="E5" s="84"/>
      <c r="H5" s="38"/>
      <c r="I5" s="1997" t="s">
        <v>680</v>
      </c>
      <c r="J5" s="1996"/>
      <c r="K5" s="1996"/>
      <c r="L5" s="1996"/>
      <c r="M5" s="1996"/>
      <c r="N5" s="1996"/>
      <c r="O5" s="1996"/>
      <c r="P5" s="1996"/>
      <c r="Q5" s="1996"/>
      <c r="R5" s="1996"/>
      <c r="S5" s="1996"/>
    </row>
    <row r="6" spans="1:28" ht="14.1" customHeight="1" x14ac:dyDescent="0.2">
      <c r="B6" s="104"/>
      <c r="C6" s="26" t="s">
        <v>911</v>
      </c>
      <c r="D6" s="84"/>
      <c r="E6" s="84"/>
      <c r="I6" s="1995" t="s">
        <v>883</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955</v>
      </c>
      <c r="B11" s="2019"/>
      <c r="C11" s="2019"/>
      <c r="D11" s="2019"/>
      <c r="E11" s="2019"/>
      <c r="F11" s="2019"/>
      <c r="G11" s="2019"/>
      <c r="H11" s="2020"/>
      <c r="I11" s="27"/>
      <c r="J11" s="74"/>
      <c r="K11" s="27"/>
      <c r="O11" s="148" t="s">
        <v>2064</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v>20024001026</v>
      </c>
      <c r="B13" s="2023"/>
      <c r="C13" s="2023"/>
      <c r="D13" s="2023"/>
      <c r="E13" s="2023"/>
      <c r="F13" s="2023"/>
      <c r="G13" s="2023"/>
      <c r="H13" s="2024"/>
      <c r="I13" s="31"/>
      <c r="J13" s="30"/>
      <c r="K13" s="28"/>
      <c r="L13" s="30"/>
      <c r="M13" s="30"/>
      <c r="N13" s="30"/>
      <c r="O13" s="30"/>
      <c r="P13" s="30"/>
      <c r="Q13" s="30"/>
      <c r="R13" s="30"/>
      <c r="S13" s="30"/>
      <c r="T13" s="2027" t="s">
        <v>2068</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2065</v>
      </c>
      <c r="B15" s="2025"/>
      <c r="C15" s="2025"/>
      <c r="D15" s="2025"/>
      <c r="E15" s="2025"/>
      <c r="F15" s="2025"/>
      <c r="G15" s="2025"/>
      <c r="H15" s="2026"/>
      <c r="T15" s="2031" t="s">
        <v>2069</v>
      </c>
      <c r="U15" s="1975"/>
      <c r="V15" s="1975"/>
      <c r="W15" s="1975"/>
      <c r="X15" s="1975"/>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2138</v>
      </c>
      <c r="B17" s="1982"/>
      <c r="C17" s="1982"/>
      <c r="D17" s="1982"/>
      <c r="E17" s="1982"/>
      <c r="F17" s="1982"/>
      <c r="G17" s="1982"/>
      <c r="H17" s="2007"/>
      <c r="T17" s="2038" t="s">
        <v>2070</v>
      </c>
      <c r="U17" s="2039"/>
      <c r="V17" s="2039"/>
      <c r="W17" s="2039"/>
      <c r="X17" s="2039"/>
      <c r="Y17" s="2039"/>
      <c r="Z17" s="2039"/>
      <c r="AA17" s="2040"/>
    </row>
    <row r="18" spans="1:27" ht="13.5" customHeight="1" x14ac:dyDescent="0.2">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1" t="s">
        <v>2066</v>
      </c>
      <c r="B19" s="1967"/>
      <c r="C19" s="1967"/>
      <c r="D19" s="1967"/>
      <c r="E19" s="1967"/>
      <c r="F19" s="1967"/>
      <c r="G19" s="1967"/>
      <c r="H19" s="1947"/>
      <c r="I19" s="30"/>
      <c r="J19" s="99"/>
      <c r="K19" s="40"/>
      <c r="L19" s="38"/>
      <c r="M19" s="112" t="s">
        <v>315</v>
      </c>
      <c r="P19" s="27"/>
      <c r="Q19" s="27"/>
      <c r="R19" s="27"/>
      <c r="S19" s="31"/>
      <c r="T19" s="2021" t="s">
        <v>2071</v>
      </c>
      <c r="U19" s="1946"/>
      <c r="V19" s="1946"/>
      <c r="W19" s="1947"/>
      <c r="X19" s="2036" t="s">
        <v>2072</v>
      </c>
      <c r="Y19" s="2037"/>
      <c r="Z19" s="2034">
        <v>62450</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2067</v>
      </c>
      <c r="B21" s="1946"/>
      <c r="C21" s="1946"/>
      <c r="D21" s="1946"/>
      <c r="E21" s="1946"/>
      <c r="F21" s="1946"/>
      <c r="G21" s="1946"/>
      <c r="H21" s="1947"/>
      <c r="I21" s="2001" t="s">
        <v>678</v>
      </c>
      <c r="J21" s="1996"/>
      <c r="K21" s="1996"/>
      <c r="L21" s="1996"/>
      <c r="M21" s="1996"/>
      <c r="N21" s="1996"/>
      <c r="O21" s="1996"/>
      <c r="P21" s="1996"/>
      <c r="Q21" s="1996"/>
      <c r="R21" s="1996"/>
      <c r="S21" s="2002"/>
      <c r="T21" s="2045" t="s">
        <v>2073</v>
      </c>
      <c r="U21" s="2046"/>
      <c r="V21" s="2046"/>
      <c r="W21" s="2046"/>
      <c r="X21" s="2051" t="s">
        <v>2074</v>
      </c>
      <c r="Y21" s="2052"/>
      <c r="Z21" s="2052"/>
      <c r="AA21" s="2053"/>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8"/>
      <c r="B23" s="1999"/>
      <c r="C23" s="1999"/>
      <c r="D23" s="1999"/>
      <c r="E23" s="1999"/>
      <c r="F23" s="1999"/>
      <c r="G23" s="1999"/>
      <c r="H23" s="2000"/>
      <c r="T23" s="1981">
        <v>65.032562999999996</v>
      </c>
      <c r="U23" s="2044"/>
      <c r="V23" s="2044"/>
      <c r="W23" s="2044"/>
      <c r="X23" s="2048">
        <v>44469</v>
      </c>
      <c r="Y23" s="2049"/>
      <c r="Z23" s="2049"/>
      <c r="AA23" s="2050"/>
    </row>
    <row r="24" spans="1:27" ht="14.1" customHeight="1" x14ac:dyDescent="0.2">
      <c r="A24" s="88" t="s">
        <v>677</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62806</v>
      </c>
      <c r="B25" s="1946"/>
      <c r="C25" s="1946"/>
      <c r="D25" s="1946"/>
      <c r="E25" s="1946"/>
      <c r="F25" s="1946"/>
      <c r="G25" s="1946"/>
      <c r="H25" s="1947"/>
      <c r="I25" s="113"/>
      <c r="J25" s="1970"/>
      <c r="K25" s="1970"/>
      <c r="L25" s="1970"/>
      <c r="M25" s="1970"/>
      <c r="N25" s="1970"/>
      <c r="O25" s="1970"/>
      <c r="P25" s="1970"/>
      <c r="Q25" s="1970"/>
      <c r="R25" s="1970"/>
      <c r="S25" s="1971"/>
      <c r="T25" s="2041" t="s">
        <v>2075</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2076</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t="s">
        <v>2077</v>
      </c>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2078</v>
      </c>
      <c r="B42" s="1965"/>
      <c r="C42" s="1966"/>
      <c r="D42" s="1964" t="s">
        <v>2079</v>
      </c>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1950</v>
      </c>
      <c r="C2" s="714" t="s">
        <v>1951</v>
      </c>
      <c r="D2" s="714" t="s">
        <v>1952</v>
      </c>
      <c r="E2" s="714" t="s">
        <v>1953</v>
      </c>
      <c r="F2" s="714" t="s">
        <v>1954</v>
      </c>
    </row>
    <row r="3" spans="1:6" ht="12" customHeight="1" x14ac:dyDescent="0.2">
      <c r="A3" s="2188"/>
      <c r="B3" s="1525"/>
      <c r="C3" s="1526"/>
      <c r="D3" s="1527" t="s">
        <v>256</v>
      </c>
      <c r="E3" s="1526"/>
      <c r="F3" s="1527" t="s">
        <v>257</v>
      </c>
    </row>
    <row r="4" spans="1:6" ht="13.7" customHeight="1" x14ac:dyDescent="0.2">
      <c r="A4" s="715" t="s">
        <v>1155</v>
      </c>
      <c r="B4" s="1749">
        <f>'Revenues 9-14'!C5</f>
        <v>1421314</v>
      </c>
      <c r="C4" s="1524"/>
      <c r="D4" s="1752">
        <f>B4-C4</f>
        <v>1421314</v>
      </c>
      <c r="E4" s="1524">
        <v>1459645</v>
      </c>
      <c r="F4" s="1752">
        <f>E4-C4</f>
        <v>1459645</v>
      </c>
    </row>
    <row r="5" spans="1:6" ht="13.7" customHeight="1" x14ac:dyDescent="0.2">
      <c r="A5" s="715" t="s">
        <v>870</v>
      </c>
      <c r="B5" s="1750">
        <f>'Revenues 9-14'!D5</f>
        <v>386226</v>
      </c>
      <c r="C5" s="585"/>
      <c r="D5" s="1753">
        <f t="shared" ref="D5:D18" si="0">B5-C5</f>
        <v>386226</v>
      </c>
      <c r="E5" s="585">
        <v>396643</v>
      </c>
      <c r="F5" s="1753">
        <f>E5-C5</f>
        <v>396643</v>
      </c>
    </row>
    <row r="6" spans="1:6" ht="13.7" customHeight="1" x14ac:dyDescent="0.2">
      <c r="A6" s="715" t="s">
        <v>411</v>
      </c>
      <c r="B6" s="1750">
        <f>'Revenues 9-14'!E5</f>
        <v>301624</v>
      </c>
      <c r="C6" s="585"/>
      <c r="D6" s="1753">
        <f t="shared" si="0"/>
        <v>301624</v>
      </c>
      <c r="E6" s="585">
        <v>299648</v>
      </c>
      <c r="F6" s="1753">
        <f t="shared" ref="F6:F18" si="1">E6-C6</f>
        <v>299648</v>
      </c>
    </row>
    <row r="7" spans="1:6" ht="13.7" customHeight="1" x14ac:dyDescent="0.2">
      <c r="A7" s="715" t="s">
        <v>155</v>
      </c>
      <c r="B7" s="1750">
        <f>'Revenues 9-14'!F5</f>
        <v>154490</v>
      </c>
      <c r="C7" s="585"/>
      <c r="D7" s="1753">
        <f t="shared" si="0"/>
        <v>154490</v>
      </c>
      <c r="E7" s="585">
        <v>158657</v>
      </c>
      <c r="F7" s="1753">
        <f t="shared" si="1"/>
        <v>158657</v>
      </c>
    </row>
    <row r="8" spans="1:6" ht="13.7" customHeight="1" x14ac:dyDescent="0.2">
      <c r="A8" s="715" t="s">
        <v>1179</v>
      </c>
      <c r="B8" s="1750">
        <f>'Revenues 9-14'!G5</f>
        <v>150615</v>
      </c>
      <c r="C8" s="585"/>
      <c r="D8" s="1753">
        <f t="shared" si="0"/>
        <v>150615</v>
      </c>
      <c r="E8" s="585">
        <v>99890</v>
      </c>
      <c r="F8" s="1753">
        <f t="shared" si="1"/>
        <v>99890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38623</v>
      </c>
      <c r="C10" s="585"/>
      <c r="D10" s="1753">
        <f t="shared" si="0"/>
        <v>38623</v>
      </c>
      <c r="E10" s="585">
        <v>39664</v>
      </c>
      <c r="F10" s="1753">
        <f t="shared" si="1"/>
        <v>39664</v>
      </c>
    </row>
    <row r="11" spans="1:6" x14ac:dyDescent="0.2">
      <c r="A11" s="715" t="s">
        <v>409</v>
      </c>
      <c r="B11" s="1750">
        <f>'Revenues 9-14'!J5</f>
        <v>210860</v>
      </c>
      <c r="C11" s="585"/>
      <c r="D11" s="1753">
        <f t="shared" si="0"/>
        <v>210860</v>
      </c>
      <c r="E11" s="585">
        <v>209760</v>
      </c>
      <c r="F11" s="1753">
        <f t="shared" si="1"/>
        <v>209760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38623</v>
      </c>
      <c r="C13" s="585"/>
      <c r="D13" s="1753">
        <f t="shared" si="0"/>
        <v>38623</v>
      </c>
      <c r="E13" s="585">
        <v>39664</v>
      </c>
      <c r="F13" s="1753">
        <f t="shared" si="1"/>
        <v>39664</v>
      </c>
    </row>
    <row r="14" spans="1:6" ht="13.7" customHeight="1" x14ac:dyDescent="0.2">
      <c r="A14" s="715" t="s">
        <v>410</v>
      </c>
      <c r="B14" s="1750">
        <f>SUM('Revenues 9-14'!C7:D7,'Revenues 9-14'!F7:H7)</f>
        <v>30898</v>
      </c>
      <c r="C14" s="585"/>
      <c r="D14" s="1753">
        <f t="shared" si="0"/>
        <v>30898</v>
      </c>
      <c r="E14" s="585">
        <v>31731</v>
      </c>
      <c r="F14" s="1753">
        <f t="shared" si="1"/>
        <v>31731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150615</v>
      </c>
      <c r="C16" s="585"/>
      <c r="D16" s="1753">
        <f t="shared" si="0"/>
        <v>150615</v>
      </c>
      <c r="E16" s="585">
        <v>199773</v>
      </c>
      <c r="F16" s="1753">
        <f t="shared" si="1"/>
        <v>199773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2883888</v>
      </c>
      <c r="C19" s="1751">
        <f>SUM(C4:C18)</f>
        <v>0</v>
      </c>
      <c r="D19" s="1751">
        <f>SUM(D4:D18)</f>
        <v>2883888</v>
      </c>
      <c r="E19" s="1751">
        <f>SUM(E4:E18)</f>
        <v>2935075</v>
      </c>
      <c r="F19" s="1751">
        <f>SUM(F4:F18)</f>
        <v>2935075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19" colorId="8" zoomScale="110" zoomScaleNormal="110" workbookViewId="0">
      <selection activeCell="G57" sqref="G5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1802</v>
      </c>
      <c r="B2" s="2215"/>
      <c r="C2" s="1884" t="s">
        <v>1955</v>
      </c>
      <c r="D2" s="723" t="s">
        <v>1956</v>
      </c>
      <c r="E2" s="723" t="s">
        <v>1957</v>
      </c>
      <c r="F2" s="1884" t="s">
        <v>1958</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5">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0" t="s">
        <v>631</v>
      </c>
      <c r="B15" s="2201"/>
      <c r="C15" s="1755">
        <f>SUM(C6:C14)</f>
        <v>0</v>
      </c>
      <c r="D15" s="1755">
        <f>SUM(D6:D14)</f>
        <v>0</v>
      </c>
      <c r="E15" s="1755">
        <f>SUM(E6:E14)</f>
        <v>0</v>
      </c>
      <c r="F15" s="1755">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5">
        <f>SUM(C17+D17)-E17</f>
        <v>0</v>
      </c>
    </row>
    <row r="18" spans="1:11" ht="12.75" customHeight="1" thickTop="1" thickBot="1" x14ac:dyDescent="0.25">
      <c r="A18" s="2195" t="s">
        <v>6</v>
      </c>
      <c r="B18" s="2196"/>
      <c r="C18" s="726"/>
      <c r="D18" s="585"/>
      <c r="E18" s="726"/>
      <c r="F18" s="1755">
        <f>SUM(C18+D18)-E18</f>
        <v>0</v>
      </c>
    </row>
    <row r="19" spans="1:11" ht="12.75" customHeight="1" thickTop="1" thickBot="1" x14ac:dyDescent="0.25">
      <c r="A19" s="2195" t="s">
        <v>388</v>
      </c>
      <c r="B19" s="2196"/>
      <c r="C19" s="726"/>
      <c r="D19" s="585"/>
      <c r="E19" s="726"/>
      <c r="F19" s="1755">
        <f>SUM(C19+D19)-E19</f>
        <v>0</v>
      </c>
    </row>
    <row r="20" spans="1:11" ht="12.75" customHeight="1" thickTop="1" thickBot="1" x14ac:dyDescent="0.25">
      <c r="A20" s="2195" t="s">
        <v>448</v>
      </c>
      <c r="B20" s="2196"/>
      <c r="C20" s="726"/>
      <c r="D20" s="585"/>
      <c r="E20" s="726"/>
      <c r="F20" s="1755">
        <f>SUM(C20+D20)-E20</f>
        <v>0</v>
      </c>
    </row>
    <row r="21" spans="1:11" ht="14.25" thickTop="1" thickBot="1" x14ac:dyDescent="0.25">
      <c r="A21" s="2200" t="s">
        <v>632</v>
      </c>
      <c r="B21" s="2201"/>
      <c r="C21" s="1755">
        <f>SUM(C17:C20)</f>
        <v>0</v>
      </c>
      <c r="D21" s="1755">
        <f>SUM(D17:D20)</f>
        <v>0</v>
      </c>
      <c r="E21" s="1755">
        <f>SUM(E17:E20)</f>
        <v>0</v>
      </c>
      <c r="F21" s="1755">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5">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5">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5">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2088</v>
      </c>
      <c r="B31" s="733">
        <v>40913</v>
      </c>
      <c r="C31" s="734">
        <v>708907</v>
      </c>
      <c r="D31" s="735">
        <v>7</v>
      </c>
      <c r="E31" s="734">
        <v>708907</v>
      </c>
      <c r="F31" s="734"/>
      <c r="G31" s="734"/>
      <c r="H31" s="734"/>
      <c r="I31" s="1756">
        <f>((E31+F31)-H31)+G31</f>
        <v>708907</v>
      </c>
      <c r="J31" s="734">
        <v>663758</v>
      </c>
      <c r="K31" s="736"/>
    </row>
    <row r="32" spans="1:11" ht="12" customHeight="1" x14ac:dyDescent="0.2">
      <c r="A32" s="732" t="s">
        <v>2089</v>
      </c>
      <c r="B32" s="733">
        <v>42053</v>
      </c>
      <c r="C32" s="734">
        <v>637330</v>
      </c>
      <c r="D32" s="735">
        <v>4</v>
      </c>
      <c r="E32" s="734">
        <v>284186</v>
      </c>
      <c r="F32" s="734"/>
      <c r="G32" s="734"/>
      <c r="H32" s="734">
        <v>121197</v>
      </c>
      <c r="I32" s="1756">
        <f>((E32+F32)-H32)+G32</f>
        <v>162989</v>
      </c>
      <c r="J32" s="734"/>
      <c r="K32" s="736"/>
    </row>
    <row r="33" spans="1:11" ht="12" customHeight="1" x14ac:dyDescent="0.2">
      <c r="A33" s="732" t="s">
        <v>2089</v>
      </c>
      <c r="B33" s="733">
        <v>42053</v>
      </c>
      <c r="C33" s="734">
        <v>887670</v>
      </c>
      <c r="D33" s="735">
        <v>1</v>
      </c>
      <c r="E33" s="734">
        <v>395814</v>
      </c>
      <c r="F33" s="734"/>
      <c r="G33" s="734"/>
      <c r="H33" s="734">
        <v>168803</v>
      </c>
      <c r="I33" s="1756">
        <f t="shared" ref="I33:I48" si="1">((E33+F33)-H33)+G33</f>
        <v>227011</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2233907</v>
      </c>
      <c r="D49" s="745"/>
      <c r="E49" s="1756">
        <f t="shared" ref="E49:J49" si="2">SUM(E31:E48)</f>
        <v>1388907</v>
      </c>
      <c r="F49" s="1756">
        <f t="shared" si="2"/>
        <v>0</v>
      </c>
      <c r="G49" s="1756">
        <f t="shared" si="2"/>
        <v>0</v>
      </c>
      <c r="H49" s="1756">
        <f t="shared" si="2"/>
        <v>290000</v>
      </c>
      <c r="I49" s="1756">
        <f t="shared" si="2"/>
        <v>1098907</v>
      </c>
      <c r="J49" s="1756">
        <f t="shared" si="2"/>
        <v>663758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t="s">
        <v>2090</v>
      </c>
      <c r="G52" s="2192"/>
      <c r="H52" s="736"/>
      <c r="I52" s="736"/>
      <c r="J52" s="746"/>
    </row>
    <row r="53" spans="1:11" ht="11.25" customHeight="1" x14ac:dyDescent="0.2">
      <c r="A53" s="750" t="s">
        <v>913</v>
      </c>
      <c r="B53" s="751" t="s">
        <v>951</v>
      </c>
      <c r="C53" s="746"/>
      <c r="D53" s="737"/>
      <c r="E53" s="749" t="s">
        <v>497</v>
      </c>
      <c r="F53" s="2193"/>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F11" sqref="F1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30"/>
      <c r="I1" s="760"/>
      <c r="J1" s="433"/>
    </row>
    <row r="2" spans="1:11" ht="26.25" x14ac:dyDescent="0.2">
      <c r="A2" s="2237" t="s">
        <v>1677</v>
      </c>
      <c r="B2" s="2238"/>
      <c r="C2" s="2238"/>
      <c r="D2" s="2238"/>
      <c r="E2" s="2239"/>
      <c r="F2" s="761" t="s">
        <v>904</v>
      </c>
      <c r="G2" s="762" t="s">
        <v>1674</v>
      </c>
      <c r="H2" s="762" t="s">
        <v>410</v>
      </c>
      <c r="I2" s="762" t="s">
        <v>1158</v>
      </c>
      <c r="J2" s="762" t="s">
        <v>1812</v>
      </c>
      <c r="K2" s="762" t="s">
        <v>138</v>
      </c>
    </row>
    <row r="3" spans="1:11" x14ac:dyDescent="0.2">
      <c r="A3" s="2240" t="s">
        <v>1963</v>
      </c>
      <c r="B3" s="2241"/>
      <c r="C3" s="2241"/>
      <c r="D3" s="2241"/>
      <c r="E3" s="2242"/>
      <c r="F3" s="763"/>
      <c r="G3" s="764"/>
      <c r="H3" s="764"/>
      <c r="I3" s="764"/>
      <c r="J3" s="765">
        <v>42007</v>
      </c>
      <c r="K3" s="765"/>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v>30898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5500</v>
      </c>
    </row>
    <row r="8" spans="1:11" x14ac:dyDescent="0.2">
      <c r="A8" s="778" t="s">
        <v>345</v>
      </c>
      <c r="B8" s="779"/>
      <c r="C8" s="779"/>
      <c r="D8" s="779"/>
      <c r="E8" s="780"/>
      <c r="F8" s="770" t="s">
        <v>851</v>
      </c>
      <c r="G8" s="782"/>
      <c r="H8" s="782"/>
      <c r="I8" s="782"/>
      <c r="J8" s="765">
        <v>337267</v>
      </c>
      <c r="K8" s="769"/>
    </row>
    <row r="9" spans="1:11" x14ac:dyDescent="0.2">
      <c r="A9" s="778" t="s">
        <v>138</v>
      </c>
      <c r="B9" s="779"/>
      <c r="C9" s="779"/>
      <c r="D9" s="779"/>
      <c r="E9" s="780"/>
      <c r="F9" s="777" t="s">
        <v>853</v>
      </c>
      <c r="G9" s="782"/>
      <c r="H9" s="771"/>
      <c r="I9" s="771"/>
      <c r="J9" s="781"/>
      <c r="K9" s="765">
        <v>12985</v>
      </c>
    </row>
    <row r="10" spans="1:11" x14ac:dyDescent="0.2">
      <c r="A10" s="2221" t="s">
        <v>1813</v>
      </c>
      <c r="B10" s="2222"/>
      <c r="C10" s="2222"/>
      <c r="D10" s="2222"/>
      <c r="E10" s="2224"/>
      <c r="F10" s="783" t="s">
        <v>862</v>
      </c>
      <c r="G10" s="782"/>
      <c r="H10" s="784"/>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7"/>
      <c r="G12" s="1758">
        <f>SUM(G5:G11)</f>
        <v>0</v>
      </c>
      <c r="H12" s="1758">
        <f>SUM(H5:H11)</f>
        <v>30898</v>
      </c>
      <c r="I12" s="1758">
        <f>SUM(I5:I11)</f>
        <v>0</v>
      </c>
      <c r="J12" s="1758">
        <f>SUM(J5:J11)</f>
        <v>337267</v>
      </c>
      <c r="K12" s="1758">
        <f>SUM(K5:K11)</f>
        <v>18485</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v>30898</v>
      </c>
      <c r="I14" s="771"/>
      <c r="J14" s="773"/>
      <c r="K14" s="765">
        <v>18485</v>
      </c>
    </row>
    <row r="15" spans="1:11" x14ac:dyDescent="0.2">
      <c r="A15" s="2222" t="s">
        <v>4</v>
      </c>
      <c r="B15" s="2222"/>
      <c r="C15" s="2222"/>
      <c r="D15" s="2222"/>
      <c r="E15" s="2223"/>
      <c r="F15" s="789" t="s">
        <v>855</v>
      </c>
      <c r="G15" s="771"/>
      <c r="H15" s="764"/>
      <c r="I15" s="764"/>
      <c r="J15" s="765">
        <v>93138</v>
      </c>
      <c r="K15" s="765"/>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30" t="s">
        <v>1809</v>
      </c>
      <c r="B19" s="2230"/>
      <c r="C19" s="2230"/>
      <c r="D19" s="2230"/>
      <c r="E19" s="2231"/>
      <c r="F19" s="789" t="s">
        <v>933</v>
      </c>
      <c r="G19" s="782"/>
      <c r="H19" s="782"/>
      <c r="I19" s="782"/>
      <c r="J19" s="765">
        <v>100000</v>
      </c>
      <c r="K19" s="795"/>
    </row>
    <row r="20" spans="1:11" x14ac:dyDescent="0.2">
      <c r="A20" s="2232" t="s">
        <v>1814</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9"/>
      <c r="G21" s="792"/>
      <c r="H21" s="796"/>
      <c r="I21" s="796"/>
      <c r="J21" s="1760">
        <f>SUM(J18:J20)</f>
        <v>100000</v>
      </c>
      <c r="K21" s="793"/>
    </row>
    <row r="22" spans="1:11" ht="13.5" thickTop="1" x14ac:dyDescent="0.2">
      <c r="A22" s="2222" t="s">
        <v>1815</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61"/>
      <c r="G23" s="1758">
        <f>SUM(G14:G16,G21,G22)</f>
        <v>0</v>
      </c>
      <c r="H23" s="1758">
        <f>SUM(H14:H16,H21,H22)</f>
        <v>30898</v>
      </c>
      <c r="I23" s="1758">
        <f>SUM(I14:I16,I21,I22)</f>
        <v>0</v>
      </c>
      <c r="J23" s="1758">
        <f>SUM(J14:J16,J21,J22)</f>
        <v>193138</v>
      </c>
      <c r="K23" s="1758">
        <f>SUM(K14:K16,K21,K22)</f>
        <v>18485</v>
      </c>
    </row>
    <row r="24" spans="1:11" ht="14.25" thickTop="1" thickBot="1" x14ac:dyDescent="0.25">
      <c r="A24" s="2252" t="s">
        <v>1964</v>
      </c>
      <c r="B24" s="2251"/>
      <c r="C24" s="2251"/>
      <c r="D24" s="2251"/>
      <c r="E24" s="2251"/>
      <c r="F24" s="1762"/>
      <c r="G24" s="1763">
        <f>SUM(G3,G12)-G23</f>
        <v>0</v>
      </c>
      <c r="H24" s="1763">
        <f>SUM(H3,H12)-H23</f>
        <v>0</v>
      </c>
      <c r="I24" s="1763">
        <f>SUM(I3,I12)-I23</f>
        <v>0</v>
      </c>
      <c r="J24" s="1763">
        <f>SUM(J3,J12)-J23</f>
        <v>186136</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186136</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R28" sqref="R2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1908</v>
      </c>
      <c r="B1" s="2258"/>
      <c r="C1" s="2259"/>
      <c r="D1" s="826"/>
      <c r="E1" s="827"/>
      <c r="F1" s="827"/>
      <c r="G1" s="828"/>
      <c r="H1" s="829"/>
      <c r="I1" s="830"/>
      <c r="J1" s="2255"/>
      <c r="K1" s="2256"/>
      <c r="L1" s="2256"/>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122582</v>
      </c>
      <c r="D5" s="841"/>
      <c r="E5" s="841"/>
      <c r="F5" s="1760">
        <f>(C5+D5)-E5</f>
        <v>122582</v>
      </c>
      <c r="G5" s="837"/>
      <c r="H5" s="842"/>
      <c r="I5" s="842"/>
      <c r="J5" s="842"/>
      <c r="K5" s="793"/>
      <c r="L5" s="1769">
        <f>F5-K5</f>
        <v>122582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9495991</v>
      </c>
      <c r="D8" s="844"/>
      <c r="E8" s="844"/>
      <c r="F8" s="1760">
        <f>(C8+D8)-E8</f>
        <v>9495991</v>
      </c>
      <c r="G8" s="843">
        <v>50</v>
      </c>
      <c r="H8" s="765">
        <v>5151142</v>
      </c>
      <c r="I8" s="765">
        <v>189887</v>
      </c>
      <c r="J8" s="765"/>
      <c r="K8" s="1769">
        <f>(H8+I8)-J8</f>
        <v>5341029</v>
      </c>
      <c r="L8" s="1769">
        <f>F8-K8</f>
        <v>4154962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913431</v>
      </c>
      <c r="D10" s="846">
        <v>86725</v>
      </c>
      <c r="E10" s="846"/>
      <c r="F10" s="1764">
        <f>(C10+D10)-E10</f>
        <v>1000156</v>
      </c>
      <c r="G10" s="843">
        <v>20</v>
      </c>
      <c r="H10" s="847">
        <v>115409</v>
      </c>
      <c r="I10" s="847">
        <v>18770</v>
      </c>
      <c r="J10" s="847"/>
      <c r="K10" s="1769">
        <f>(H10+I10)-J10</f>
        <v>134179</v>
      </c>
      <c r="L10" s="1769">
        <f>F10-K10</f>
        <v>865977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699565</v>
      </c>
      <c r="D12" s="844">
        <v>53598</v>
      </c>
      <c r="E12" s="844">
        <v>213318</v>
      </c>
      <c r="F12" s="1760">
        <f>(C12+D12)-E12</f>
        <v>539845</v>
      </c>
      <c r="G12" s="843">
        <v>10</v>
      </c>
      <c r="H12" s="765">
        <v>484190</v>
      </c>
      <c r="I12" s="765">
        <v>74936</v>
      </c>
      <c r="J12" s="765">
        <v>213317</v>
      </c>
      <c r="K12" s="1769">
        <f>(H12+I12)-J12</f>
        <v>345809</v>
      </c>
      <c r="L12" s="1769">
        <f>F12-K12</f>
        <v>194036</v>
      </c>
    </row>
    <row r="13" spans="1:14" ht="14.25" thickTop="1" thickBot="1" x14ac:dyDescent="0.25">
      <c r="A13" s="848" t="s">
        <v>1122</v>
      </c>
      <c r="B13" s="840">
        <v>252</v>
      </c>
      <c r="C13" s="844">
        <v>1758207</v>
      </c>
      <c r="D13" s="844">
        <v>8455</v>
      </c>
      <c r="E13" s="844"/>
      <c r="F13" s="1760">
        <f>(C13+D13)-E13</f>
        <v>1766662</v>
      </c>
      <c r="G13" s="843">
        <v>5</v>
      </c>
      <c r="H13" s="765">
        <v>1537939</v>
      </c>
      <c r="I13" s="765">
        <v>78986</v>
      </c>
      <c r="J13" s="765"/>
      <c r="K13" s="1769">
        <f>(H13+I13)-J13</f>
        <v>1616925</v>
      </c>
      <c r="L13" s="1769">
        <f>F13-K13</f>
        <v>149737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12989776</v>
      </c>
      <c r="D16" s="1760">
        <f>SUM(D3,D5:D6,D8:D10,D12:D15)</f>
        <v>148778</v>
      </c>
      <c r="E16" s="1760">
        <f>SUM(E3,E5:E6,E8:E10,E12:E15)</f>
        <v>213318</v>
      </c>
      <c r="F16" s="1760">
        <f>SUM(F3,F5:F6,F8:F10,F12:F15)</f>
        <v>12925236</v>
      </c>
      <c r="G16" s="843"/>
      <c r="H16" s="1760">
        <f>SUM(H3,H6,H8:H10,H12:H14,)</f>
        <v>7288680</v>
      </c>
      <c r="I16" s="1760">
        <f>SUM(I3,I6,I8:I10,I12:I14,)</f>
        <v>362579</v>
      </c>
      <c r="J16" s="1760">
        <f>SUM(J3,J6,J8:J10,J12:J14,)</f>
        <v>213317</v>
      </c>
      <c r="K16" s="1760">
        <f>(H16+I16)-J16</f>
        <v>7437942</v>
      </c>
      <c r="L16" s="1760">
        <f>F16-K16</f>
        <v>5487294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362579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120" activePane="bottomLeft" state="frozen"/>
      <selection activeCell="A47" sqref="A47"/>
      <selection pane="bottomLeft" activeCell="J76" sqref="J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1974</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6681968</v>
      </c>
      <c r="G8" s="865"/>
    </row>
    <row r="9" spans="1:7" x14ac:dyDescent="0.2">
      <c r="A9" s="869" t="s">
        <v>460</v>
      </c>
      <c r="B9" s="870" t="s">
        <v>1876</v>
      </c>
      <c r="C9" s="871"/>
      <c r="D9" s="869" t="s">
        <v>501</v>
      </c>
      <c r="E9" s="868"/>
      <c r="F9" s="1909">
        <f>'Expenditures 15-22'!K151</f>
        <v>621566</v>
      </c>
      <c r="G9" s="872"/>
    </row>
    <row r="10" spans="1:7" x14ac:dyDescent="0.2">
      <c r="A10" s="869" t="s">
        <v>499</v>
      </c>
      <c r="B10" s="870" t="s">
        <v>1877</v>
      </c>
      <c r="C10" s="871"/>
      <c r="D10" s="869" t="s">
        <v>501</v>
      </c>
      <c r="E10" s="868"/>
      <c r="F10" s="1909">
        <f>'Expenditures 15-22'!K174</f>
        <v>302526</v>
      </c>
      <c r="G10" s="872"/>
    </row>
    <row r="11" spans="1:7" x14ac:dyDescent="0.2">
      <c r="A11" s="869" t="s">
        <v>461</v>
      </c>
      <c r="B11" s="870" t="s">
        <v>1878</v>
      </c>
      <c r="C11" s="871"/>
      <c r="D11" s="869" t="s">
        <v>501</v>
      </c>
      <c r="E11" s="868"/>
      <c r="F11" s="1909">
        <f>'Expenditures 15-22'!K210</f>
        <v>494013</v>
      </c>
      <c r="G11" s="872"/>
    </row>
    <row r="12" spans="1:7" x14ac:dyDescent="0.2">
      <c r="A12" s="869" t="s">
        <v>462</v>
      </c>
      <c r="B12" s="870" t="s">
        <v>1879</v>
      </c>
      <c r="C12" s="871"/>
      <c r="D12" s="869" t="s">
        <v>501</v>
      </c>
      <c r="E12" s="868"/>
      <c r="F12" s="1909">
        <f>'Expenditures 15-22'!K295</f>
        <v>272428</v>
      </c>
      <c r="G12" s="872"/>
    </row>
    <row r="13" spans="1:7" x14ac:dyDescent="0.2">
      <c r="A13" s="869" t="s">
        <v>106</v>
      </c>
      <c r="B13" s="870" t="s">
        <v>1880</v>
      </c>
      <c r="C13" s="871"/>
      <c r="D13" s="869" t="s">
        <v>501</v>
      </c>
      <c r="E13" s="868"/>
      <c r="F13" s="1909">
        <f>'Expenditures 15-22'!K342</f>
        <v>108078</v>
      </c>
      <c r="G13" s="873"/>
    </row>
    <row r="14" spans="1:7" ht="12" customHeight="1" thickBot="1" x14ac:dyDescent="0.25">
      <c r="A14" s="1770"/>
      <c r="B14" s="1771"/>
      <c r="C14" s="1772"/>
      <c r="D14" s="1773" t="s">
        <v>501</v>
      </c>
      <c r="E14" s="1774" t="s">
        <v>958</v>
      </c>
      <c r="F14" s="1775">
        <f>SUM(F8:F13)</f>
        <v>8480579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15179</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78500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222286</v>
      </c>
      <c r="G53" s="865"/>
    </row>
    <row r="54" spans="1:7" x14ac:dyDescent="0.2">
      <c r="A54" s="869" t="s">
        <v>459</v>
      </c>
      <c r="B54" s="869" t="s">
        <v>1476</v>
      </c>
      <c r="C54" s="889" t="s">
        <v>982</v>
      </c>
      <c r="D54" s="885" t="s">
        <v>1095</v>
      </c>
      <c r="E54" s="868"/>
      <c r="F54" s="1913">
        <f>'Expenditures 15-22'!G114</f>
        <v>36403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9362</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290000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8455</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620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3147</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663952</v>
      </c>
      <c r="G76" s="865"/>
    </row>
    <row r="77" spans="1:8" s="893" customFormat="1" ht="12" customHeight="1" thickTop="1" thickBot="1" x14ac:dyDescent="0.25">
      <c r="A77" s="1779"/>
      <c r="B77" s="1776"/>
      <c r="C77" s="1772"/>
      <c r="D77" s="1777" t="s">
        <v>1899</v>
      </c>
      <c r="E77" s="1774"/>
      <c r="F77" s="1780">
        <f>(F14-F76)</f>
        <v>7816627</v>
      </c>
      <c r="G77" s="869"/>
    </row>
    <row r="78" spans="1:8" s="893" customFormat="1" ht="12" customHeight="1" thickTop="1" x14ac:dyDescent="0.2">
      <c r="A78" s="1781"/>
      <c r="B78" s="1776"/>
      <c r="C78" s="1772"/>
      <c r="D78" s="1777" t="s">
        <v>2061</v>
      </c>
      <c r="E78" s="1774"/>
      <c r="F78" s="898">
        <v>826.1</v>
      </c>
      <c r="G78" s="899"/>
      <c r="H78" s="869"/>
    </row>
    <row r="79" spans="1:8" s="893" customFormat="1" ht="12" customHeight="1" thickBot="1" x14ac:dyDescent="0.25">
      <c r="A79" s="1782"/>
      <c r="B79" s="1776"/>
      <c r="C79" s="1772"/>
      <c r="D79" s="1777" t="s">
        <v>1900</v>
      </c>
      <c r="E79" s="1774" t="s">
        <v>958</v>
      </c>
      <c r="F79" s="1783">
        <f>IF(F78&gt;0,F77/F78," Complete Line 78")</f>
        <v>9462.0832828955336</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10724</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160790</v>
      </c>
      <c r="G94" s="912"/>
    </row>
    <row r="95" spans="1:7" x14ac:dyDescent="0.2">
      <c r="A95" s="908" t="s">
        <v>140</v>
      </c>
      <c r="B95" s="908" t="s">
        <v>175</v>
      </c>
      <c r="C95" s="910">
        <v>1700</v>
      </c>
      <c r="D95" s="918" t="str">
        <f>'Revenues 9-14'!A82</f>
        <v>Total District/School Activity Income</v>
      </c>
      <c r="E95" s="906"/>
      <c r="F95" s="1789">
        <f>SUM('Revenues 9-14'!C82,'Revenues 9-14'!D82)</f>
        <v>57918</v>
      </c>
      <c r="G95" s="912"/>
    </row>
    <row r="96" spans="1:7" x14ac:dyDescent="0.2">
      <c r="A96" s="908" t="s">
        <v>459</v>
      </c>
      <c r="B96" s="908" t="s">
        <v>176</v>
      </c>
      <c r="C96" s="910">
        <f>'Revenues 9-14'!B84</f>
        <v>1811</v>
      </c>
      <c r="D96" s="911" t="str">
        <f>'Revenues 9-14'!A84</f>
        <v>Rentals - Regular Textbooks</v>
      </c>
      <c r="E96" s="906"/>
      <c r="F96" s="1789">
        <f>'Revenues 9-14'!C84</f>
        <v>40920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3543</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372</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38684</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55448</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3165</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12985</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373628</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43527</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1600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194337</v>
      </c>
      <c r="G125" s="930"/>
    </row>
    <row r="126" spans="1:7" x14ac:dyDescent="0.2">
      <c r="A126" s="927" t="s">
        <v>668</v>
      </c>
      <c r="B126" s="927" t="s">
        <v>2023</v>
      </c>
      <c r="C126" s="932">
        <v>4300</v>
      </c>
      <c r="D126" s="933" t="str">
        <f>'Revenues 9-14'!A204</f>
        <v>Total Title I</v>
      </c>
      <c r="E126" s="906"/>
      <c r="F126" s="1789">
        <f>SUM('Revenues 9-14'!C204,'Revenues 9-14'!D204,'Revenues 9-14'!F204,'Revenues 9-14'!G204)</f>
        <v>182339</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8519</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4886</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34862</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16058</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66482</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295020</v>
      </c>
      <c r="G171" s="927"/>
    </row>
    <row r="172" spans="1:7" x14ac:dyDescent="0.2">
      <c r="A172" s="1918" t="s">
        <v>664</v>
      </c>
      <c r="B172" s="1919" t="s">
        <v>1919</v>
      </c>
      <c r="C172" s="1920">
        <v>3300</v>
      </c>
      <c r="D172" s="1921" t="s">
        <v>1922</v>
      </c>
      <c r="E172" s="906"/>
      <c r="F172" s="1906">
        <v>164</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1605971</v>
      </c>
    </row>
    <row r="175" spans="1:7" ht="12" customHeight="1" x14ac:dyDescent="0.2">
      <c r="A175" s="1770"/>
      <c r="B175" s="1784"/>
      <c r="C175" s="1785"/>
      <c r="D175" s="1786" t="s">
        <v>2056</v>
      </c>
      <c r="E175" s="1787"/>
      <c r="F175" s="1789">
        <f>'PCTC-OEPP 27-28'!F77-F174</f>
        <v>6210656</v>
      </c>
    </row>
    <row r="176" spans="1:7" ht="12" customHeight="1" x14ac:dyDescent="0.2">
      <c r="A176" s="1770"/>
      <c r="B176" s="1784"/>
      <c r="C176" s="1785"/>
      <c r="D176" s="1786" t="s">
        <v>1817</v>
      </c>
      <c r="E176" s="1787"/>
      <c r="F176" s="1789">
        <f>'Cap Outlay Deprec 26'!I18</f>
        <v>362579</v>
      </c>
    </row>
    <row r="177" spans="1:7" ht="12" customHeight="1" x14ac:dyDescent="0.2">
      <c r="A177" s="1770"/>
      <c r="B177" s="1784"/>
      <c r="C177" s="1785"/>
      <c r="D177" s="1786" t="s">
        <v>2057</v>
      </c>
      <c r="E177" s="1787"/>
      <c r="F177" s="1789">
        <f>F175+F176</f>
        <v>6573235</v>
      </c>
    </row>
    <row r="178" spans="1:7" ht="12" customHeight="1" x14ac:dyDescent="0.2">
      <c r="A178" s="1770"/>
      <c r="B178" s="1790"/>
      <c r="C178" s="1785"/>
      <c r="D178" s="1786" t="str">
        <f>D78</f>
        <v>9 Month ADA from District Average Daily Attendance/Prior General State Aid Inquiry 2018-2019</v>
      </c>
      <c r="E178" s="1787"/>
      <c r="F178" s="1791">
        <f>'PCTC-OEPP 27-28'!F78</f>
        <v>826.1</v>
      </c>
      <c r="G178" s="930"/>
    </row>
    <row r="179" spans="1:7" ht="12" customHeight="1" thickBot="1" x14ac:dyDescent="0.25">
      <c r="A179" s="1770"/>
      <c r="B179" s="1790"/>
      <c r="C179" s="1785"/>
      <c r="D179" s="1786" t="s">
        <v>2058</v>
      </c>
      <c r="E179" s="1787" t="s">
        <v>1545</v>
      </c>
      <c r="F179" s="1792">
        <f>F177/F178</f>
        <v>7956.9483113424521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view="pageBreakPreview" topLeftCell="A5" zoomScaleNormal="100" zoomScaleSheetLayoutView="100" workbookViewId="0">
      <selection activeCell="D35" sqref="D3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1931</v>
      </c>
      <c r="B7" s="2281"/>
      <c r="C7" s="2281"/>
      <c r="D7" s="2281"/>
      <c r="E7" s="2281"/>
      <c r="F7" s="2281"/>
      <c r="G7" s="2282"/>
    </row>
    <row r="8" spans="1:7" ht="15.75" customHeight="1" x14ac:dyDescent="0.25">
      <c r="A8" s="2283" t="s">
        <v>1906</v>
      </c>
      <c r="B8" s="2284"/>
      <c r="C8" s="2284"/>
      <c r="D8" s="2284"/>
      <c r="E8" s="2284"/>
      <c r="F8" s="2284"/>
      <c r="G8" s="2285"/>
    </row>
    <row r="9" spans="1:7" ht="35.25" customHeight="1" x14ac:dyDescent="0.25">
      <c r="A9" s="2280" t="s">
        <v>1934</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1933</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1975</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2" t="s">
        <v>2134</v>
      </c>
      <c r="B17" s="1939" t="s">
        <v>2117</v>
      </c>
      <c r="C17" s="1940" t="s">
        <v>2123</v>
      </c>
      <c r="D17" s="1844">
        <v>14120</v>
      </c>
      <c r="E17" s="1540">
        <f t="shared" ref="E17:E141" si="0">IF(D17&lt;=25000,D17,IF(D17&gt;25000,25000,0))</f>
        <v>14120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14120</v>
      </c>
      <c r="G17" s="1793">
        <f>IF(F17=0,0,D17-F17)</f>
        <v>0</v>
      </c>
      <c r="H17" s="1647"/>
    </row>
    <row r="18" spans="1:8" ht="30" x14ac:dyDescent="0.25">
      <c r="A18" s="1938" t="s">
        <v>2111</v>
      </c>
      <c r="B18" s="1939" t="s">
        <v>2118</v>
      </c>
      <c r="C18" s="1940" t="s">
        <v>2124</v>
      </c>
      <c r="D18" s="1844">
        <v>16375</v>
      </c>
      <c r="E18" s="1540">
        <f t="shared" ref="E18:E140" si="2">IF(D18&lt;=25000,D18,IF(D18&gt;25000,25000,0))</f>
        <v>16375</v>
      </c>
      <c r="F18" s="1932">
        <f t="shared" si="1"/>
        <v>16375</v>
      </c>
      <c r="G18" s="1793">
        <f t="shared" ref="G18:G140" si="3">IF(F18=0,0,D18-F18)</f>
        <v>0</v>
      </c>
    </row>
    <row r="19" spans="1:8" x14ac:dyDescent="0.25">
      <c r="A19" s="1938" t="s">
        <v>2112</v>
      </c>
      <c r="B19" s="1939" t="s">
        <v>2119</v>
      </c>
      <c r="C19" s="1940" t="s">
        <v>2129</v>
      </c>
      <c r="D19" s="1844">
        <v>62407</v>
      </c>
      <c r="E19" s="1540">
        <f t="shared" si="2"/>
        <v>25000</v>
      </c>
      <c r="F19" s="1932">
        <f t="shared" si="1"/>
        <v>25000</v>
      </c>
      <c r="G19" s="1793">
        <f t="shared" si="3"/>
        <v>37407</v>
      </c>
    </row>
    <row r="20" spans="1:8" x14ac:dyDescent="0.25">
      <c r="A20" s="1938" t="s">
        <v>2113</v>
      </c>
      <c r="B20" s="1939" t="s">
        <v>2120</v>
      </c>
      <c r="C20" s="1940" t="s">
        <v>2125</v>
      </c>
      <c r="D20" s="1844">
        <v>108752</v>
      </c>
      <c r="E20" s="1540">
        <f t="shared" si="2"/>
        <v>25000</v>
      </c>
      <c r="F20" s="1932">
        <f t="shared" si="1"/>
        <v>25000</v>
      </c>
      <c r="G20" s="1793">
        <f t="shared" si="3"/>
        <v>83752</v>
      </c>
    </row>
    <row r="21" spans="1:8" ht="30" x14ac:dyDescent="0.25">
      <c r="A21" s="1938" t="s">
        <v>2114</v>
      </c>
      <c r="B21" s="1939" t="s">
        <v>2121</v>
      </c>
      <c r="C21" s="1940" t="s">
        <v>2126</v>
      </c>
      <c r="D21" s="1844">
        <v>6643</v>
      </c>
      <c r="E21" s="1540">
        <f t="shared" si="2"/>
        <v>6643</v>
      </c>
      <c r="F21" s="1932">
        <f t="shared" si="1"/>
        <v>0</v>
      </c>
      <c r="G21" s="1793">
        <f t="shared" si="3"/>
        <v>0</v>
      </c>
    </row>
    <row r="22" spans="1:8" ht="30" x14ac:dyDescent="0.25">
      <c r="A22" s="1938" t="s">
        <v>2115</v>
      </c>
      <c r="B22" s="1939" t="s">
        <v>2118</v>
      </c>
      <c r="C22" s="1940" t="s">
        <v>2127</v>
      </c>
      <c r="D22" s="1844">
        <v>3595</v>
      </c>
      <c r="E22" s="1540">
        <f t="shared" si="2"/>
        <v>3595</v>
      </c>
      <c r="F22" s="1932">
        <f t="shared" si="1"/>
        <v>3595</v>
      </c>
      <c r="G22" s="1793">
        <f t="shared" si="3"/>
        <v>0</v>
      </c>
    </row>
    <row r="23" spans="1:8" x14ac:dyDescent="0.25">
      <c r="A23" s="1938" t="s">
        <v>2116</v>
      </c>
      <c r="B23" s="1939" t="s">
        <v>2122</v>
      </c>
      <c r="C23" s="1940" t="s">
        <v>2128</v>
      </c>
      <c r="D23" s="1844">
        <v>3811</v>
      </c>
      <c r="E23" s="1540">
        <f t="shared" si="2"/>
        <v>3811</v>
      </c>
      <c r="F23" s="1932">
        <f t="shared" si="1"/>
        <v>3811</v>
      </c>
      <c r="G23" s="1793">
        <f t="shared" si="3"/>
        <v>0</v>
      </c>
    </row>
    <row r="24" spans="1:8" ht="30" x14ac:dyDescent="0.25">
      <c r="A24" s="1942" t="s">
        <v>2135</v>
      </c>
      <c r="B24" s="1944" t="s">
        <v>2119</v>
      </c>
      <c r="C24" s="1941" t="s">
        <v>2130</v>
      </c>
      <c r="D24" s="1844">
        <v>36169</v>
      </c>
      <c r="E24" s="1540">
        <f t="shared" si="2"/>
        <v>25000</v>
      </c>
      <c r="F24" s="1932">
        <f t="shared" si="1"/>
        <v>25000</v>
      </c>
      <c r="G24" s="1793">
        <f t="shared" si="3"/>
        <v>11169</v>
      </c>
    </row>
    <row r="25" spans="1:8" ht="30" x14ac:dyDescent="0.25">
      <c r="A25" s="1942" t="s">
        <v>2136</v>
      </c>
      <c r="B25" s="1943" t="s">
        <v>2133</v>
      </c>
      <c r="C25" s="1941" t="s">
        <v>2131</v>
      </c>
      <c r="D25" s="1844">
        <v>10775</v>
      </c>
      <c r="E25" s="1540">
        <f t="shared" si="2"/>
        <v>10775</v>
      </c>
      <c r="F25" s="1932">
        <f t="shared" si="1"/>
        <v>0</v>
      </c>
      <c r="G25" s="1793">
        <f t="shared" si="3"/>
        <v>0</v>
      </c>
    </row>
    <row r="26" spans="1:8" x14ac:dyDescent="0.25">
      <c r="A26" s="1942" t="s">
        <v>2134</v>
      </c>
      <c r="B26" s="1944" t="s">
        <v>2117</v>
      </c>
      <c r="C26" s="1941" t="s">
        <v>2132</v>
      </c>
      <c r="D26" s="1844">
        <v>8983</v>
      </c>
      <c r="E26" s="1540">
        <f t="shared" si="2"/>
        <v>8983</v>
      </c>
      <c r="F26" s="1932">
        <f t="shared" si="1"/>
        <v>8983</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271630</v>
      </c>
      <c r="E141" s="1541">
        <f t="shared" si="0"/>
        <v>25000</v>
      </c>
      <c r="F141" s="1933">
        <f>SUM(F17:F140)</f>
        <v>121884</v>
      </c>
      <c r="G141" s="1795">
        <f>SUM(G17:G140)</f>
        <v>132328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I46"/>
  <sheetViews>
    <sheetView showGridLines="0" defaultGridColor="0" colorId="8" zoomScale="110" zoomScaleNormal="110" workbookViewId="0">
      <selection activeCell="M50" sqref="M5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194337</v>
      </c>
      <c r="F10" s="974"/>
      <c r="G10" s="975"/>
      <c r="H10" s="162"/>
      <c r="I10" s="162"/>
    </row>
    <row r="11" spans="1:9" s="668" customFormat="1" ht="22.5" customHeight="1" x14ac:dyDescent="0.2">
      <c r="A11" s="2291" t="s">
        <v>1976</v>
      </c>
      <c r="B11" s="2292"/>
      <c r="C11" s="2292"/>
      <c r="D11" s="2293"/>
      <c r="E11" s="977">
        <v>32948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5122144</v>
      </c>
      <c r="F19" s="1799"/>
      <c r="G19" s="1801">
        <f>'Expenditures 15-22'!K33-SUM('Expenditures 15-22'!G33,'Expenditures 15-22'!I33)+'Expenditures 15-22'!D229</f>
        <v>5122144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340941</v>
      </c>
      <c r="F21" s="1802"/>
      <c r="G21" s="1805">
        <f>'Expenditures 15-22'!K42-SUM('Expenditures 15-22'!G42,'Expenditures 15-22'!I42)+'Expenditures 15-22'!K120-SUM('Expenditures 15-22'!G120,'Expenditures 15-22'!I120)+'Expenditures 15-22'!K180-SUM('Expenditures 15-22'!G180,'Expenditures 15-22'!I180)+'Expenditures 15-22'!D238</f>
        <v>340941</v>
      </c>
      <c r="H21" s="987"/>
      <c r="I21" s="162"/>
    </row>
    <row r="22" spans="1:9" s="668" customFormat="1" ht="12" customHeight="1" x14ac:dyDescent="0.2">
      <c r="A22" s="994" t="s">
        <v>564</v>
      </c>
      <c r="B22" s="995"/>
      <c r="C22" s="993">
        <v>2200</v>
      </c>
      <c r="D22" s="1802"/>
      <c r="E22" s="1804">
        <f>'Expenditures 15-22'!K47-SUM('Expenditures 15-22'!G47,'Expenditures 15-22'!I47)+'Expenditures 15-22'!D243</f>
        <v>105244</v>
      </c>
      <c r="F22" s="1802"/>
      <c r="G22" s="1805">
        <f>'Expenditures 15-22'!K47-SUM('Expenditures 15-22'!G47,'Expenditures 15-22'!I47)+'Expenditures 15-22'!D243</f>
        <v>105244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307700</v>
      </c>
      <c r="F23" s="1802"/>
      <c r="G23" s="1804">
        <f>'Expenditures 15-22'!K53-SUM('Expenditures 15-22'!G53,'Expenditures 15-22'!I53)+'Expenditures 15-22'!D257+'Expenditures 15-22'!K330-SUM('Expenditures 15-22'!G330,'Expenditures 15-22'!I330)</f>
        <v>307700</v>
      </c>
      <c r="H23" s="987"/>
      <c r="I23" s="162"/>
    </row>
    <row r="24" spans="1:9" s="668" customFormat="1" ht="12" customHeight="1" x14ac:dyDescent="0.2">
      <c r="A24" s="994" t="s">
        <v>566</v>
      </c>
      <c r="B24" s="995"/>
      <c r="C24" s="993">
        <v>2400</v>
      </c>
      <c r="D24" s="1802"/>
      <c r="E24" s="1804">
        <f>'Expenditures 15-22'!K57-SUM('Expenditures 15-22'!G57,'Expenditures 15-22'!I57)+'Expenditures 15-22'!D261</f>
        <v>404665</v>
      </c>
      <c r="F24" s="1802"/>
      <c r="G24" s="1805">
        <f>'Expenditures 15-22'!K57-SUM('Expenditures 15-22'!G57,'Expenditures 15-22'!I57)+'Expenditures 15-22'!D261</f>
        <v>404665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52837</v>
      </c>
      <c r="E27" s="1804">
        <f>E8</f>
        <v>0</v>
      </c>
      <c r="F27" s="1804">
        <f>'Expenditures 15-22'!K60-SUM('Expenditures 15-22'!G60,'Expenditures 15-22'!I60)+'Expenditures 15-22'!D264-E8</f>
        <v>52837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660367</v>
      </c>
      <c r="F28" s="1806">
        <f>'Expenditures 15-22'!K61-SUM('Expenditures 15-22'!G61,'Expenditures 15-22'!I61)+'Expenditures 15-22'!K124-SUM('Expenditures 15-22'!G124,'Expenditures 15-22'!I124)+'Expenditures 15-22'!D266-E9</f>
        <v>660367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525966</v>
      </c>
      <c r="F29" s="1802"/>
      <c r="G29" s="1805">
        <f>'Expenditures 15-22'!K62-SUM('Expenditures 15-22'!G62,'Expenditures 15-22'!I62)+'Expenditures 15-22'!K125-SUM('Expenditures 15-22'!G125,'Expenditures 15-22'!I125)+'Expenditures 15-22'!K182-SUM('Expenditures 15-22'!G182,'Expenditures 15-22'!I182)+'Expenditures 15-22'!D267</f>
        <v>525966</v>
      </c>
      <c r="H29" s="985"/>
    </row>
    <row r="30" spans="1:9" ht="12" customHeight="1" x14ac:dyDescent="0.2">
      <c r="A30" s="994" t="s">
        <v>100</v>
      </c>
      <c r="B30" s="997"/>
      <c r="C30" s="993">
        <v>2560</v>
      </c>
      <c r="D30" s="1802"/>
      <c r="E30" s="1804">
        <f>'Expenditures 15-22'!K63-SUM('Expenditures 15-22'!G63,'Expenditures 15-22'!I63)+'Expenditures 15-22'!D268-E10</f>
        <v>187346</v>
      </c>
      <c r="F30" s="1802"/>
      <c r="G30" s="1804">
        <f>'Expenditures 15-22'!K63-SUM('Expenditures 15-22'!G63,'Expenditures 15-22'!I63)+'Expenditures 15-22'!D268-E10</f>
        <v>187346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-132328</v>
      </c>
      <c r="F40" s="1802"/>
      <c r="G40" s="1806">
        <f>-'Contracts Paid in CY 29'!G141</f>
        <v>-132328</v>
      </c>
    </row>
    <row r="41" spans="1:7" ht="12" customHeight="1" x14ac:dyDescent="0.2">
      <c r="A41" s="998" t="s">
        <v>156</v>
      </c>
      <c r="B41" s="999"/>
      <c r="C41" s="1000"/>
      <c r="D41" s="1806">
        <f>SUM(D19:D39)</f>
        <v>52837</v>
      </c>
      <c r="E41" s="1806">
        <f>SUM(E19:E40)</f>
        <v>7522045</v>
      </c>
      <c r="F41" s="1806">
        <f>SUM(F19:F39)</f>
        <v>713204</v>
      </c>
      <c r="G41" s="1806">
        <f>SUM(G19:G40)</f>
        <v>6861678</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52837</v>
      </c>
      <c r="F43" s="1807" t="s">
        <v>473</v>
      </c>
      <c r="G43" s="1808">
        <f>F41</f>
        <v>713204</v>
      </c>
    </row>
    <row r="44" spans="1:7" ht="12" customHeight="1" x14ac:dyDescent="0.2">
      <c r="A44" s="987"/>
      <c r="B44" s="162"/>
      <c r="C44" s="1001"/>
      <c r="D44" s="1807" t="s">
        <v>474</v>
      </c>
      <c r="E44" s="1808">
        <f>E41</f>
        <v>7522045</v>
      </c>
      <c r="F44" s="1807" t="s">
        <v>474</v>
      </c>
      <c r="G44" s="1808">
        <f>G41</f>
        <v>6861678</v>
      </c>
    </row>
    <row r="45" spans="1:7" ht="12" customHeight="1" x14ac:dyDescent="0.2">
      <c r="A45" s="987"/>
      <c r="B45" s="162"/>
      <c r="C45" s="162"/>
      <c r="D45" s="1809" t="s">
        <v>1006</v>
      </c>
      <c r="E45" s="1810">
        <f>(E43/E44)</f>
        <v>7.0242866135472471E-3</v>
      </c>
      <c r="F45" s="1809" t="s">
        <v>1006</v>
      </c>
      <c r="G45" s="1810">
        <f>(G43/G44)</f>
        <v>0.10394017323459363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11" activePane="bottomLeft" state="frozen"/>
      <selection activeCell="A47" sqref="A47"/>
      <selection pane="bottomLeft" activeCell="L50" sqref="L5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8" t="s">
        <v>1379</v>
      </c>
      <c r="B1" s="2308"/>
      <c r="C1" s="2308"/>
      <c r="D1" s="2308"/>
      <c r="E1" s="2308"/>
      <c r="F1" s="2308"/>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9" t="s">
        <v>1546</v>
      </c>
      <c r="B5" s="2310"/>
      <c r="C5" s="2311"/>
      <c r="D5" s="2311"/>
      <c r="E5" s="2311"/>
      <c r="F5" s="2311"/>
    </row>
    <row r="6" spans="1:10" ht="12" customHeight="1" x14ac:dyDescent="0.25">
      <c r="A6" s="1850"/>
      <c r="B6" s="1851"/>
      <c r="C6" s="2312" t="str">
        <f>COVER!A17</f>
        <v>Edwards County CUSD 1</v>
      </c>
      <c r="D6" s="2312"/>
      <c r="E6" s="2312"/>
      <c r="F6" s="1852"/>
    </row>
    <row r="7" spans="1:10" ht="11.25" customHeight="1" thickBot="1" x14ac:dyDescent="0.3">
      <c r="A7" s="1850"/>
      <c r="B7" s="1851"/>
      <c r="C7" s="2313">
        <f>COVER!A13</f>
        <v>20024001026</v>
      </c>
      <c r="D7" s="2313"/>
      <c r="E7" s="2313"/>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c r="F19" s="1867" t="s">
        <v>2091</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2064</v>
      </c>
      <c r="D23" s="1865" t="s">
        <v>2064</v>
      </c>
      <c r="E23" s="1868"/>
      <c r="F23" s="1867" t="s">
        <v>2092</v>
      </c>
      <c r="H23" s="1878">
        <f t="shared" si="0"/>
        <v>5</v>
      </c>
      <c r="I23" s="1878">
        <f t="shared" si="1"/>
        <v>5</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2093</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c r="F31" s="1867" t="s">
        <v>2094</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3"/>
      <c r="B39" s="1873"/>
      <c r="C39" s="1873"/>
      <c r="D39" s="1873"/>
      <c r="E39" s="1873"/>
      <c r="F39" s="1873"/>
    </row>
    <row r="40" spans="1:11" s="1870" customFormat="1" ht="12" customHeight="1" x14ac:dyDescent="0.25">
      <c r="A40" s="1874" t="s">
        <v>1391</v>
      </c>
      <c r="B40" s="1875"/>
      <c r="C40" s="2303"/>
      <c r="D40" s="2303"/>
      <c r="E40" s="2303"/>
      <c r="F40" s="2304"/>
      <c r="H40" s="1879"/>
      <c r="I40" s="1879"/>
      <c r="J40" s="1879"/>
      <c r="K40" s="1879"/>
    </row>
    <row r="41" spans="1:11" s="1870" customFormat="1" ht="12" customHeight="1" x14ac:dyDescent="0.25">
      <c r="A41" s="2305" t="s">
        <v>2095</v>
      </c>
      <c r="B41" s="2306"/>
      <c r="C41" s="2306"/>
      <c r="D41" s="2306"/>
      <c r="E41" s="2306"/>
      <c r="F41" s="2307"/>
      <c r="H41" s="1879"/>
      <c r="I41" s="1879"/>
      <c r="J41" s="1879"/>
      <c r="K41" s="1879"/>
    </row>
    <row r="42" spans="1:11" s="1870" customFormat="1" ht="12" customHeight="1" x14ac:dyDescent="0.25">
      <c r="A42" s="2305" t="s">
        <v>2096</v>
      </c>
      <c r="B42" s="2306"/>
      <c r="C42" s="2306"/>
      <c r="D42" s="2306"/>
      <c r="E42" s="2306"/>
      <c r="F42" s="2307"/>
      <c r="H42" s="1879"/>
      <c r="I42" s="1879"/>
      <c r="J42" s="1879"/>
      <c r="K42" s="1879"/>
    </row>
    <row r="43" spans="1:11" s="1870" customFormat="1" ht="15" x14ac:dyDescent="0.25">
      <c r="A43" s="2294"/>
      <c r="B43" s="2295"/>
      <c r="C43" s="2295"/>
      <c r="D43" s="2295"/>
      <c r="E43" s="2295"/>
      <c r="F43" s="2296"/>
      <c r="H43" s="1879"/>
      <c r="I43" s="1879"/>
      <c r="J43" s="1879"/>
      <c r="K43" s="1879"/>
    </row>
    <row r="44" spans="1:11" s="1870" customFormat="1" ht="12" hidden="1" customHeight="1" x14ac:dyDescent="0.25">
      <c r="A44" s="2294"/>
      <c r="B44" s="2295"/>
      <c r="C44" s="2295"/>
      <c r="D44" s="2295"/>
      <c r="E44" s="2295"/>
      <c r="F44" s="229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A7" colorId="8" zoomScale="110" zoomScaleNormal="110" workbookViewId="0">
      <selection activeCell="R39" sqref="R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Edwards County CUSD 1</v>
      </c>
      <c r="J6" s="2322"/>
      <c r="Q6" s="1664"/>
    </row>
    <row r="7" spans="1:17" x14ac:dyDescent="0.2">
      <c r="A7" s="2323" t="s">
        <v>869</v>
      </c>
      <c r="B7" s="2324"/>
      <c r="C7" s="2324"/>
      <c r="D7" s="2324"/>
      <c r="E7" s="2325"/>
      <c r="F7" s="1017"/>
      <c r="G7" s="1009"/>
      <c r="H7" s="1016" t="s">
        <v>372</v>
      </c>
      <c r="I7" s="2326">
        <f>COVER!A13</f>
        <v>20024001026</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154960</v>
      </c>
      <c r="F12" s="1039"/>
      <c r="G12" s="1811">
        <f t="shared" ref="G12:G18" si="0">SUM(E12:F12)</f>
        <v>154960</v>
      </c>
      <c r="H12" s="1040">
        <v>158598</v>
      </c>
      <c r="I12" s="1039"/>
      <c r="J12" s="1811">
        <f t="shared" ref="J12:J18" si="1">SUM(H12:I12)</f>
        <v>158598</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154960</v>
      </c>
      <c r="F19" s="1813">
        <f t="shared" si="2"/>
        <v>0</v>
      </c>
      <c r="G19" s="1813">
        <f t="shared" si="2"/>
        <v>154960</v>
      </c>
      <c r="H19" s="1813">
        <f t="shared" si="2"/>
        <v>158598</v>
      </c>
      <c r="I19" s="1813">
        <f t="shared" si="2"/>
        <v>0</v>
      </c>
      <c r="J19" s="1813">
        <f t="shared" si="2"/>
        <v>158598</v>
      </c>
    </row>
    <row r="20" spans="1:10" ht="13.5" thickTop="1" x14ac:dyDescent="0.2">
      <c r="A20" s="1035">
        <v>9</v>
      </c>
      <c r="B20" s="2333" t="s">
        <v>1980</v>
      </c>
      <c r="C20" s="2333"/>
      <c r="D20" s="2334"/>
      <c r="E20" s="1046"/>
      <c r="F20" s="1046"/>
      <c r="G20" s="1046"/>
      <c r="H20" s="1046"/>
      <c r="I20" s="1046"/>
      <c r="J20" s="1814">
        <f>IF(AND(G19&gt;0,J19&gt;0),(((J19-G19)/G19)),"Enter Budget Data")</f>
        <v>2.3477026329375324E-2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t="s">
        <v>2076</v>
      </c>
      <c r="D28" s="2337"/>
      <c r="E28" s="1054"/>
      <c r="F28" s="2337" t="s">
        <v>2078</v>
      </c>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1982</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2:B68"/>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B4" s="1937" t="s">
        <v>1155</v>
      </c>
    </row>
    <row r="5" spans="1:2" x14ac:dyDescent="0.2">
      <c r="A5" s="1068">
        <v>1</v>
      </c>
      <c r="B5" s="329" t="s">
        <v>2081</v>
      </c>
    </row>
    <row r="6" spans="1:2" x14ac:dyDescent="0.2">
      <c r="A6" s="1068">
        <v>2</v>
      </c>
      <c r="B6" s="329" t="s">
        <v>2082</v>
      </c>
    </row>
    <row r="7" spans="1:2" x14ac:dyDescent="0.2">
      <c r="A7" s="1068">
        <v>3</v>
      </c>
      <c r="B7" s="329" t="s">
        <v>2083</v>
      </c>
    </row>
    <row r="8" spans="1:2" x14ac:dyDescent="0.2">
      <c r="A8" s="1068">
        <v>4</v>
      </c>
      <c r="B8" s="329" t="s">
        <v>2084</v>
      </c>
    </row>
    <row r="9" spans="1:2" x14ac:dyDescent="0.2">
      <c r="A9" s="1069"/>
    </row>
    <row r="10" spans="1:2" x14ac:dyDescent="0.2">
      <c r="A10" s="1069"/>
      <c r="B10" s="1937" t="s">
        <v>870</v>
      </c>
    </row>
    <row r="11" spans="1:2" x14ac:dyDescent="0.2">
      <c r="A11" s="1069">
        <v>1</v>
      </c>
      <c r="B11" s="329" t="s">
        <v>2085</v>
      </c>
    </row>
    <row r="12" spans="1:2" x14ac:dyDescent="0.2">
      <c r="A12" s="1069"/>
    </row>
    <row r="13" spans="1:2" x14ac:dyDescent="0.2">
      <c r="A13" s="1069"/>
      <c r="B13" s="1937" t="s">
        <v>450</v>
      </c>
    </row>
    <row r="14" spans="1:2" x14ac:dyDescent="0.2">
      <c r="A14" s="1069">
        <v>1</v>
      </c>
      <c r="B14" s="329" t="s">
        <v>2086</v>
      </c>
    </row>
    <row r="15" spans="1:2" x14ac:dyDescent="0.2">
      <c r="A15" s="1069"/>
    </row>
    <row r="16" spans="1:2" x14ac:dyDescent="0.2">
      <c r="A16" s="1069"/>
      <c r="B16" s="1937" t="s">
        <v>155</v>
      </c>
    </row>
    <row r="17" spans="1:2" x14ac:dyDescent="0.2">
      <c r="A17" s="1069">
        <v>1</v>
      </c>
      <c r="B17" s="329" t="s">
        <v>2137</v>
      </c>
    </row>
    <row r="18" spans="1:2" x14ac:dyDescent="0.2">
      <c r="A18" s="1069"/>
    </row>
    <row r="19" spans="1:2" x14ac:dyDescent="0.2">
      <c r="A19" s="1069"/>
      <c r="B19" s="1937" t="s">
        <v>437</v>
      </c>
    </row>
    <row r="20" spans="1:2" x14ac:dyDescent="0.2">
      <c r="A20" s="1069">
        <v>1</v>
      </c>
      <c r="B20" s="329" t="s">
        <v>2087</v>
      </c>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c r="B67" s="258" t="str">
        <f>COVER!A17</f>
        <v>Edwards County CUSD 1</v>
      </c>
    </row>
    <row r="68" spans="1:2" x14ac:dyDescent="0.2">
      <c r="B68" s="1070">
        <f>COVER!A13</f>
        <v>20024001026</v>
      </c>
    </row>
  </sheetData>
  <phoneticPr fontId="16" type="noConversion"/>
  <pageMargins left="0.2" right="0.2" top="1.17" bottom="0.75" header="0.19" footer="0.16"/>
  <pageSetup scale="77"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1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view="pageBreakPreview" colorId="8" zoomScale="60" zoomScaleNormal="110" workbookViewId="0">
      <selection activeCell="H26" sqref="H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1047750</xdr:colOff>
                <xdr:row>5</xdr:row>
                <xdr:rowOff>0</xdr:rowOff>
              </from>
              <to>
                <xdr:col>1</xdr:col>
                <xdr:colOff>1962150</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2114550</xdr:colOff>
                <xdr:row>5</xdr:row>
                <xdr:rowOff>9525</xdr:rowOff>
              </from>
              <to>
                <xdr:col>1</xdr:col>
                <xdr:colOff>3028950</xdr:colOff>
                <xdr:row>9</xdr:row>
                <xdr:rowOff>47625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3324225</xdr:colOff>
                <xdr:row>5</xdr:row>
                <xdr:rowOff>0</xdr:rowOff>
              </from>
              <to>
                <xdr:col>2</xdr:col>
                <xdr:colOff>257175</xdr:colOff>
                <xdr:row>9</xdr:row>
                <xdr:rowOff>38100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pageSetUpPr fitToPage="1"/>
  </sheetPr>
  <dimension ref="A1:H48"/>
  <sheetViews>
    <sheetView showGridLines="0" showZeros="0" zoomScale="110" zoomScaleNormal="110" workbookViewId="0">
      <selection activeCell="K23" sqref="K2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1986</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1987</v>
      </c>
      <c r="B4" s="2361"/>
      <c r="C4" s="2361"/>
      <c r="D4" s="2361"/>
      <c r="E4" s="2361"/>
      <c r="F4" s="2362"/>
      <c r="G4" s="1074"/>
      <c r="H4" s="1074"/>
    </row>
    <row r="5" spans="1:8" ht="14.25" customHeight="1" x14ac:dyDescent="0.2">
      <c r="A5" s="2363" t="s">
        <v>1983</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6716406</v>
      </c>
      <c r="C8" s="1815">
        <f>'Acct Summary 7-8'!D8</f>
        <v>624822</v>
      </c>
      <c r="D8" s="1815">
        <f>'Acct Summary 7-8'!F8</f>
        <v>544150</v>
      </c>
      <c r="E8" s="1815">
        <f>'Acct Summary 7-8'!I8</f>
        <v>42782</v>
      </c>
      <c r="F8" s="1815">
        <f>SUM(B8:E8)</f>
        <v>7928160</v>
      </c>
    </row>
    <row r="9" spans="1:8" s="1079" customFormat="1" ht="14.25" customHeight="1" thickBot="1" x14ac:dyDescent="0.25">
      <c r="A9" s="1078" t="s">
        <v>1369</v>
      </c>
      <c r="B9" s="1816">
        <f>'Acct Summary 7-8'!C17</f>
        <v>6681968</v>
      </c>
      <c r="C9" s="1816">
        <f>'Acct Summary 7-8'!D17</f>
        <v>621566</v>
      </c>
      <c r="D9" s="1816">
        <f>'Acct Summary 7-8'!F17</f>
        <v>494013</v>
      </c>
      <c r="E9" s="1815"/>
      <c r="F9" s="1815">
        <f>SUM(B9:E9)</f>
        <v>7797547</v>
      </c>
    </row>
    <row r="10" spans="1:8" s="1079" customFormat="1" ht="14.25" thickTop="1" thickBot="1" x14ac:dyDescent="0.25">
      <c r="A10" s="1080" t="s">
        <v>1370</v>
      </c>
      <c r="B10" s="1817">
        <f>(B8-B9)</f>
        <v>34438</v>
      </c>
      <c r="C10" s="1817">
        <f>(C8-C9)</f>
        <v>3256</v>
      </c>
      <c r="D10" s="1817">
        <f>(D8-D9)</f>
        <v>50137</v>
      </c>
      <c r="E10" s="1816">
        <f>(E8-E9)</f>
        <v>42782</v>
      </c>
      <c r="F10" s="1818">
        <f>SUM(F8-F9)</f>
        <v>130613</v>
      </c>
    </row>
    <row r="11" spans="1:8" s="1079" customFormat="1" ht="14.25" thickTop="1" thickBot="1" x14ac:dyDescent="0.25">
      <c r="A11" s="1081" t="s">
        <v>1984</v>
      </c>
      <c r="B11" s="1819">
        <f>'Acct Summary 7-8'!C81</f>
        <v>1628841</v>
      </c>
      <c r="C11" s="1819">
        <f>'Acct Summary 7-8'!D81</f>
        <v>4712</v>
      </c>
      <c r="D11" s="1819">
        <f>'Acct Summary 7-8'!F81</f>
        <v>51973</v>
      </c>
      <c r="E11" s="1819">
        <f>'Acct Summary 7-8'!I81</f>
        <v>1022588</v>
      </c>
      <c r="F11" s="1820">
        <f>SUM(B11:E11)</f>
        <v>2708114</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J22" sqref="J2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20024001026</v>
      </c>
    </row>
    <row r="3" spans="1:2" x14ac:dyDescent="0.2">
      <c r="A3" t="s">
        <v>956</v>
      </c>
      <c r="B3" s="138" t="str">
        <f>COVER!A15</f>
        <v>Edwards, Richland, Wayne</v>
      </c>
    </row>
    <row r="4" spans="1:2" x14ac:dyDescent="0.2">
      <c r="A4" t="s">
        <v>1007</v>
      </c>
      <c r="B4" s="138" t="str">
        <f>COVER!A17</f>
        <v>Edwards County CUSD 1</v>
      </c>
    </row>
    <row r="5" spans="1:2" x14ac:dyDescent="0.2">
      <c r="A5" t="s">
        <v>704</v>
      </c>
      <c r="B5" s="138" t="str">
        <f>COVER!A38</f>
        <v>David Cowger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f>COVER!T23</f>
        <v>65.032562999999996</v>
      </c>
    </row>
    <row r="16" spans="1:2" x14ac:dyDescent="0.2">
      <c r="A16" t="s">
        <v>422</v>
      </c>
      <c r="B16" s="138" t="str">
        <f>COVER!T13</f>
        <v>Kemper CPA Group LLP</v>
      </c>
    </row>
    <row r="17" spans="1:2" x14ac:dyDescent="0.2">
      <c r="A17" t="s">
        <v>884</v>
      </c>
      <c r="B17" s="138" t="str">
        <f>COVER!T15</f>
        <v>Krista McLaren</v>
      </c>
    </row>
    <row r="18" spans="1:2" x14ac:dyDescent="0.2">
      <c r="A18" t="s">
        <v>1150</v>
      </c>
      <c r="B18" s="138" t="str">
        <f>COVER!T17</f>
        <v>703 W. Main St, PO Box 447</v>
      </c>
    </row>
    <row r="19" spans="1:2" x14ac:dyDescent="0.2">
      <c r="A19" t="s">
        <v>886</v>
      </c>
      <c r="B19" s="138" t="str">
        <f>COVER!T25</f>
        <v>kmclaren@kempercpa.com</v>
      </c>
    </row>
    <row r="20" spans="1:2" x14ac:dyDescent="0.2">
      <c r="A20" t="s">
        <v>887</v>
      </c>
      <c r="B20" s="138" t="str">
        <f>COVER!T19</f>
        <v>Olney</v>
      </c>
    </row>
    <row r="21" spans="1:2" x14ac:dyDescent="0.2">
      <c r="A21" t="s">
        <v>479</v>
      </c>
      <c r="B21" s="138" t="str">
        <f>COVER!X19</f>
        <v>IL</v>
      </c>
    </row>
    <row r="22" spans="1:2" x14ac:dyDescent="0.2">
      <c r="A22" t="s">
        <v>888</v>
      </c>
      <c r="B22" s="138">
        <f>COVER!Z19</f>
        <v>62450</v>
      </c>
    </row>
    <row r="23" spans="1:2" x14ac:dyDescent="0.2">
      <c r="A23" t="s">
        <v>1152</v>
      </c>
      <c r="B23" s="138" t="str">
        <f>COVER!T21</f>
        <v>618-395-2105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635146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1628841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1624990</v>
      </c>
      <c r="D92" s="2" t="str">
        <f t="shared" si="0"/>
        <v>Error?</v>
      </c>
    </row>
    <row r="93" spans="1:4" x14ac:dyDescent="0.2">
      <c r="A93" s="5">
        <v>32</v>
      </c>
      <c r="B93" s="138">
        <f>'Assets-Liab 5-6'!C41</f>
        <v>1628841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4712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4712</v>
      </c>
      <c r="D123" s="2" t="str">
        <f t="shared" si="0"/>
        <v>Error?</v>
      </c>
    </row>
    <row r="124" spans="1:4" x14ac:dyDescent="0.2">
      <c r="A124" s="5">
        <v>63</v>
      </c>
      <c r="B124" s="138">
        <f>'Assets-Liab 5-6'!D41</f>
        <v>4712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419281</v>
      </c>
      <c r="D129" s="2" t="str">
        <f t="shared" si="1"/>
        <v>Error?</v>
      </c>
    </row>
    <row r="130" spans="1:4" x14ac:dyDescent="0.2">
      <c r="A130" s="5">
        <v>69</v>
      </c>
      <c r="B130" s="138">
        <f>'Assets-Liab 5-6'!E12</f>
        <v>0</v>
      </c>
      <c r="D130" s="2" t="str">
        <f t="shared" si="1"/>
        <v>Error?</v>
      </c>
    </row>
    <row r="131" spans="1:4" x14ac:dyDescent="0.2">
      <c r="A131" s="5">
        <v>70</v>
      </c>
      <c r="B131" s="138">
        <f>'Assets-Liab 5-6'!E13</f>
        <v>435149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41347</v>
      </c>
      <c r="D140" s="2" t="str">
        <f t="shared" si="1"/>
        <v>Error?</v>
      </c>
    </row>
    <row r="141" spans="1:4" x14ac:dyDescent="0.2">
      <c r="A141" s="5">
        <v>80</v>
      </c>
      <c r="B141" s="138">
        <f>'Assets-Liab 5-6'!E41</f>
        <v>435149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51973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51973</v>
      </c>
      <c r="D170" s="2" t="str">
        <f t="shared" si="1"/>
        <v>Error?</v>
      </c>
    </row>
    <row r="171" spans="1:4" x14ac:dyDescent="0.2">
      <c r="A171" s="5">
        <v>110</v>
      </c>
      <c r="B171" s="138">
        <f>'Assets-Liab 5-6'!F41</f>
        <v>51973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149323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276592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124691</v>
      </c>
      <c r="D189" s="2" t="str">
        <f t="shared" si="1"/>
        <v>Error?</v>
      </c>
    </row>
    <row r="190" spans="1:4" x14ac:dyDescent="0.2">
      <c r="A190" s="5">
        <v>129</v>
      </c>
      <c r="B190" s="138">
        <f>'Assets-Liab 5-6'!G41</f>
        <v>276592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498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295541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295541</v>
      </c>
      <c r="D212" s="2" t="str">
        <f t="shared" si="2"/>
        <v>Error?</v>
      </c>
    </row>
    <row r="213" spans="1:4" x14ac:dyDescent="0.2">
      <c r="A213" s="12">
        <v>152</v>
      </c>
      <c r="B213" s="138">
        <f>'Assets-Liab 5-6'!H41</f>
        <v>295541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122582</v>
      </c>
      <c r="D273" s="2" t="str">
        <f t="shared" si="3"/>
        <v>Error?</v>
      </c>
    </row>
    <row r="274" spans="1:4" x14ac:dyDescent="0.2">
      <c r="A274" s="5">
        <v>213</v>
      </c>
      <c r="B274" s="138">
        <f>'Assets-Liab 5-6'!M17</f>
        <v>9495991</v>
      </c>
      <c r="D274" s="2" t="str">
        <f t="shared" si="3"/>
        <v>Error?</v>
      </c>
    </row>
    <row r="275" spans="1:4" x14ac:dyDescent="0.2">
      <c r="A275" s="5">
        <v>214</v>
      </c>
      <c r="B275" s="138">
        <f>'Assets-Liab 5-6'!M18</f>
        <v>1000156</v>
      </c>
      <c r="D275" s="2" t="str">
        <f t="shared" si="3"/>
        <v>Error?</v>
      </c>
    </row>
    <row r="276" spans="1:4" x14ac:dyDescent="0.2">
      <c r="A276" s="5">
        <v>215</v>
      </c>
      <c r="B276" s="138">
        <f>'Assets-Liab 5-6'!M19</f>
        <v>2306507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12925236</v>
      </c>
      <c r="C279" s="2" t="s">
        <v>573</v>
      </c>
      <c r="D279" s="2" t="str">
        <f t="shared" si="3"/>
        <v>Error?</v>
      </c>
    </row>
    <row r="280" spans="1:4" x14ac:dyDescent="0.2">
      <c r="A280" s="5">
        <v>219</v>
      </c>
      <c r="B280" s="138">
        <f>'Assets-Liab 5-6'!M40</f>
        <v>12925236</v>
      </c>
      <c r="D280" s="2" t="str">
        <f t="shared" si="3"/>
        <v>Error?</v>
      </c>
    </row>
    <row r="281" spans="1:4" x14ac:dyDescent="0.2">
      <c r="A281" s="5">
        <v>220</v>
      </c>
      <c r="B281" s="138">
        <f>'Assets-Liab 5-6'!M41</f>
        <v>12925236</v>
      </c>
      <c r="C281" s="2" t="s">
        <v>573</v>
      </c>
      <c r="D281" s="2" t="str">
        <f t="shared" si="3"/>
        <v>Error?</v>
      </c>
    </row>
    <row r="282" spans="1:4" x14ac:dyDescent="0.2">
      <c r="A282" s="5">
        <v>221</v>
      </c>
      <c r="B282" s="138">
        <f>'Assets-Liab 5-6'!N21</f>
        <v>435149</v>
      </c>
      <c r="D282" s="2" t="str">
        <f t="shared" si="3"/>
        <v>Error?</v>
      </c>
    </row>
    <row r="283" spans="1:4" x14ac:dyDescent="0.2">
      <c r="A283" s="5">
        <v>222</v>
      </c>
      <c r="B283" s="138">
        <f>'Assets-Liab 5-6'!N22</f>
        <v>663758</v>
      </c>
      <c r="D283" s="2" t="str">
        <f t="shared" si="3"/>
        <v>Error?</v>
      </c>
    </row>
    <row r="284" spans="1:4" x14ac:dyDescent="0.2">
      <c r="A284" s="5">
        <v>223</v>
      </c>
      <c r="B284" s="138">
        <f>'Assets-Liab 5-6'!N23</f>
        <v>1098907</v>
      </c>
      <c r="C284" s="2" t="s">
        <v>573</v>
      </c>
      <c r="D284" s="2" t="str">
        <f t="shared" si="3"/>
        <v>Error?</v>
      </c>
    </row>
    <row r="285" spans="1:4" x14ac:dyDescent="0.2">
      <c r="A285" s="5">
        <v>224</v>
      </c>
      <c r="B285" s="138">
        <f>'Assets-Liab 5-6'!N36</f>
        <v>1098907</v>
      </c>
      <c r="D285" s="2" t="str">
        <f t="shared" si="3"/>
        <v>Error?</v>
      </c>
    </row>
    <row r="286" spans="1:4" x14ac:dyDescent="0.2">
      <c r="A286" s="10">
        <v>225</v>
      </c>
      <c r="D286" s="2" t="str">
        <f t="shared" si="3"/>
        <v>OK</v>
      </c>
    </row>
    <row r="287" spans="1:4" x14ac:dyDescent="0.2">
      <c r="A287" s="5">
        <v>226</v>
      </c>
      <c r="B287" s="138">
        <f>'Assets-Liab 5-6'!N37</f>
        <v>1098907</v>
      </c>
      <c r="C287" s="2" t="s">
        <v>573</v>
      </c>
      <c r="D287" s="2" t="str">
        <f t="shared" si="3"/>
        <v>Error?</v>
      </c>
    </row>
    <row r="288" spans="1:4" x14ac:dyDescent="0.2">
      <c r="A288" s="5">
        <v>227</v>
      </c>
      <c r="B288" s="138">
        <f>'Assets-Liab 5-6'!N41</f>
        <v>1098907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2335366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210131</v>
      </c>
      <c r="D717" s="2" t="str">
        <f t="shared" si="10"/>
        <v>Error?</v>
      </c>
    </row>
    <row r="718" spans="1:4" x14ac:dyDescent="0.2">
      <c r="A718" s="5">
        <v>657</v>
      </c>
      <c r="B718" s="138">
        <f>'Expenditures 15-22'!C14</f>
        <v>244436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3784276</v>
      </c>
      <c r="C720" s="2" t="s">
        <v>573</v>
      </c>
      <c r="D720" s="2" t="str">
        <f t="shared" si="10"/>
        <v>Error?</v>
      </c>
    </row>
    <row r="721" spans="1:4" x14ac:dyDescent="0.2">
      <c r="A721" s="5">
        <v>660</v>
      </c>
      <c r="B721" s="138">
        <f>'Expenditures 15-22'!C36</f>
        <v>31484</v>
      </c>
      <c r="D721" s="2" t="str">
        <f t="shared" si="10"/>
        <v>Error?</v>
      </c>
    </row>
    <row r="722" spans="1:4" x14ac:dyDescent="0.2">
      <c r="A722" s="5">
        <v>661</v>
      </c>
      <c r="B722" s="138">
        <f>'Expenditures 15-22'!C37</f>
        <v>60183</v>
      </c>
      <c r="D722" s="2" t="str">
        <f t="shared" si="10"/>
        <v>Error?</v>
      </c>
    </row>
    <row r="723" spans="1:4" x14ac:dyDescent="0.2">
      <c r="A723" s="5">
        <v>662</v>
      </c>
      <c r="B723" s="138">
        <f>'Expenditures 15-22'!C38</f>
        <v>74845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98924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265436</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76074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76074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127468</v>
      </c>
      <c r="D733" s="2" t="str">
        <f t="shared" si="10"/>
        <v>Error?</v>
      </c>
    </row>
    <row r="734" spans="1:4" x14ac:dyDescent="0.2">
      <c r="A734" s="5">
        <v>673</v>
      </c>
      <c r="B734" s="138">
        <f>'Expenditures 15-22'!C53</f>
        <v>127468</v>
      </c>
      <c r="C734" s="2" t="s">
        <v>573</v>
      </c>
      <c r="D734" s="2" t="str">
        <f t="shared" si="10"/>
        <v>Error?</v>
      </c>
    </row>
    <row r="735" spans="1:4" x14ac:dyDescent="0.2">
      <c r="A735" s="5">
        <v>674</v>
      </c>
      <c r="B735" s="138">
        <f>'Expenditures 15-22'!C55</f>
        <v>287599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287599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28233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158561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186794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943371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4727647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500109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41762</v>
      </c>
      <c r="D775" s="2" t="str">
        <f t="shared" si="11"/>
        <v>Error?</v>
      </c>
    </row>
    <row r="776" spans="1:4" x14ac:dyDescent="0.2">
      <c r="A776" s="5">
        <v>715</v>
      </c>
      <c r="B776" s="138">
        <f>'Expenditures 15-22'!D14</f>
        <v>48371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813758</v>
      </c>
      <c r="C778" s="2" t="s">
        <v>573</v>
      </c>
      <c r="D778" s="2" t="str">
        <f t="shared" si="11"/>
        <v>Error?</v>
      </c>
    </row>
    <row r="779" spans="1:4" x14ac:dyDescent="0.2">
      <c r="A779" s="5">
        <v>718</v>
      </c>
      <c r="B779" s="138">
        <f>'Expenditures 15-22'!D36</f>
        <v>8137</v>
      </c>
      <c r="D779" s="2" t="str">
        <f t="shared" si="11"/>
        <v>Error?</v>
      </c>
    </row>
    <row r="780" spans="1:4" x14ac:dyDescent="0.2">
      <c r="A780" s="5">
        <v>719</v>
      </c>
      <c r="B780" s="138">
        <f>'Expenditures 15-22'!D37</f>
        <v>13188</v>
      </c>
      <c r="D780" s="2" t="str">
        <f t="shared" si="11"/>
        <v>Error?</v>
      </c>
    </row>
    <row r="781" spans="1:4" x14ac:dyDescent="0.2">
      <c r="A781" s="5">
        <v>720</v>
      </c>
      <c r="B781" s="138">
        <f>'Expenditures 15-22'!D38</f>
        <v>13187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23667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58179</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16367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16367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22075</v>
      </c>
      <c r="D791" s="2" t="str">
        <f t="shared" si="11"/>
        <v>Error?</v>
      </c>
    </row>
    <row r="792" spans="1:4" x14ac:dyDescent="0.2">
      <c r="A792" s="5">
        <v>731</v>
      </c>
      <c r="B792" s="138">
        <f>'Expenditures 15-22'!D53</f>
        <v>22075</v>
      </c>
      <c r="C792" s="2" t="s">
        <v>573</v>
      </c>
      <c r="D792" s="2" t="str">
        <f t="shared" si="11"/>
        <v>Error?</v>
      </c>
    </row>
    <row r="793" spans="1:4" x14ac:dyDescent="0.2">
      <c r="A793" s="5">
        <v>732</v>
      </c>
      <c r="B793" s="138">
        <f>'Expenditures 15-22'!D55</f>
        <v>55804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55804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4497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33969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38466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190891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1004649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7896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23232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45585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5233</v>
      </c>
      <c r="D838" s="2" t="str">
        <f t="shared" si="12"/>
        <v>Error?</v>
      </c>
    </row>
    <row r="839" spans="1:4" x14ac:dyDescent="0.2">
      <c r="A839" s="5">
        <v>778</v>
      </c>
      <c r="B839" s="138">
        <f>'Expenditures 15-22'!E38</f>
        <v>702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891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6826</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v>
      </c>
      <c r="C847" s="2" t="s">
        <v>573</v>
      </c>
      <c r="D847" s="2" t="str">
        <f t="shared" si="12"/>
        <v>Error?</v>
      </c>
    </row>
    <row r="848" spans="1:4" x14ac:dyDescent="0.2">
      <c r="A848" s="5">
        <v>787</v>
      </c>
      <c r="B848" s="138">
        <f>'Expenditures 15-22'!E49</f>
        <v>34391</v>
      </c>
      <c r="D848" s="2" t="str">
        <f t="shared" si="12"/>
        <v>Error?</v>
      </c>
    </row>
    <row r="849" spans="1:4" x14ac:dyDescent="0.2">
      <c r="A849" s="5">
        <v>788</v>
      </c>
      <c r="B849" s="138">
        <f>'Expenditures 15-22'!E50</f>
        <v>4200</v>
      </c>
      <c r="D849" s="2" t="str">
        <f t="shared" si="12"/>
        <v>Error?</v>
      </c>
    </row>
    <row r="850" spans="1:4" x14ac:dyDescent="0.2">
      <c r="A850" s="5">
        <v>789</v>
      </c>
      <c r="B850" s="138">
        <f>'Expenditures 15-22'!E53</f>
        <v>38591</v>
      </c>
      <c r="C850" s="2" t="s">
        <v>573</v>
      </c>
      <c r="D850" s="2" t="str">
        <f t="shared" si="12"/>
        <v>Error?</v>
      </c>
    </row>
    <row r="851" spans="1:4" x14ac:dyDescent="0.2">
      <c r="A851" s="5">
        <v>790</v>
      </c>
      <c r="B851" s="138">
        <f>'Expenditures 15-22'!E55</f>
        <v>36682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36682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15660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11194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26854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108976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376847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304424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11230</v>
      </c>
      <c r="D891" s="2" t="str">
        <f t="shared" si="12"/>
        <v>Error?</v>
      </c>
    </row>
    <row r="892" spans="1:4" x14ac:dyDescent="0.2">
      <c r="A892" s="5">
        <v>831</v>
      </c>
      <c r="B892" s="138">
        <f>'Expenditures 15-22'!F14</f>
        <v>4460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347555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59</v>
      </c>
      <c r="D896" s="2" t="str">
        <f t="shared" si="13"/>
        <v>Error?</v>
      </c>
    </row>
    <row r="897" spans="1:4" x14ac:dyDescent="0.2">
      <c r="A897" s="5">
        <v>836</v>
      </c>
      <c r="B897" s="138">
        <f>'Expenditures 15-22'!F38</f>
        <v>2122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799</v>
      </c>
      <c r="D899" s="2" t="str">
        <f t="shared" si="13"/>
        <v>Error?</v>
      </c>
    </row>
    <row r="900" spans="1:4" x14ac:dyDescent="0.2">
      <c r="A900" s="5">
        <v>839</v>
      </c>
      <c r="B900" s="138">
        <f>'Expenditures 15-22'!F41</f>
        <v>2397</v>
      </c>
      <c r="D900" s="2" t="str">
        <f t="shared" si="13"/>
        <v>Error?</v>
      </c>
    </row>
    <row r="901" spans="1:4" x14ac:dyDescent="0.2">
      <c r="A901" s="5">
        <v>840</v>
      </c>
      <c r="B901" s="138">
        <f>'Expenditures 15-22'!F42</f>
        <v>5377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9379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9379</v>
      </c>
      <c r="C905" s="2" t="s">
        <v>573</v>
      </c>
      <c r="D905" s="2" t="str">
        <f t="shared" si="13"/>
        <v>Error?</v>
      </c>
    </row>
    <row r="906" spans="1:4" x14ac:dyDescent="0.2">
      <c r="A906" s="5">
        <v>845</v>
      </c>
      <c r="B906" s="138">
        <f>'Expenditures 15-22'!F49</f>
        <v>3340</v>
      </c>
      <c r="D906" s="2" t="str">
        <f t="shared" si="13"/>
        <v>Error?</v>
      </c>
    </row>
    <row r="907" spans="1:4" x14ac:dyDescent="0.2">
      <c r="A907" s="5">
        <v>846</v>
      </c>
      <c r="B907" s="138">
        <f>'Expenditures 15-22'!F50</f>
        <v>182</v>
      </c>
      <c r="D907" s="2" t="str">
        <f t="shared" si="13"/>
        <v>Error?</v>
      </c>
    </row>
    <row r="908" spans="1:4" x14ac:dyDescent="0.2">
      <c r="A908" s="5">
        <v>847</v>
      </c>
      <c r="B908" s="138">
        <f>'Expenditures 15-22'!F53</f>
        <v>3522</v>
      </c>
      <c r="C908" s="2" t="s">
        <v>573</v>
      </c>
      <c r="D908" s="2" t="str">
        <f t="shared" si="13"/>
        <v>Error?</v>
      </c>
    </row>
    <row r="909" spans="1:4" x14ac:dyDescent="0.2">
      <c r="A909" s="5">
        <v>848</v>
      </c>
      <c r="B909" s="138">
        <f>'Expenditures 15-22'!F55</f>
        <v>2491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2491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152096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152096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172865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520420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31309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935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33569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1934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1934</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900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2834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36403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3015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9206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5035</v>
      </c>
      <c r="D1022" s="2" t="str">
        <f t="shared" si="14"/>
        <v>Error?</v>
      </c>
    </row>
    <row r="1023" spans="1:4" x14ac:dyDescent="0.2">
      <c r="A1023" s="5">
        <v>962</v>
      </c>
      <c r="B1023" s="138">
        <f>'Expenditures 15-22'!H50</f>
        <v>1035</v>
      </c>
      <c r="D1023" s="2" t="str">
        <f t="shared" ref="D1023:D1086" si="15">IF(ISBLANK(B1023),"OK",IF(A1023-B1023=0,"OK","Error?"))</f>
        <v>Error?</v>
      </c>
    </row>
    <row r="1024" spans="1:4" x14ac:dyDescent="0.2">
      <c r="A1024" s="5">
        <v>963</v>
      </c>
      <c r="B1024" s="138">
        <f>'Expenditures 15-22'!H53</f>
        <v>6070</v>
      </c>
      <c r="C1024" s="2" t="s">
        <v>573</v>
      </c>
      <c r="D1024" s="2" t="str">
        <f t="shared" si="15"/>
        <v>Error?</v>
      </c>
    </row>
    <row r="1025" spans="1:4" x14ac:dyDescent="0.2">
      <c r="A1025" s="5">
        <v>964</v>
      </c>
      <c r="B1025" s="138">
        <f>'Expenditures 15-22'!H55</f>
        <v>726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726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6796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16002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3179104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263123</v>
      </c>
      <c r="C1105" s="2" t="s">
        <v>573</v>
      </c>
      <c r="D1105" s="2" t="str">
        <f t="shared" si="16"/>
        <v>Error?</v>
      </c>
    </row>
    <row r="1106" spans="1:4" x14ac:dyDescent="0.2">
      <c r="A1106" s="5">
        <v>1045</v>
      </c>
      <c r="B1106" s="138">
        <f>'Expenditures 15-22'!K14</f>
        <v>324449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5033949</v>
      </c>
      <c r="C1108" s="2" t="s">
        <v>573</v>
      </c>
      <c r="D1108" s="2" t="str">
        <f t="shared" si="16"/>
        <v>Error?</v>
      </c>
    </row>
    <row r="1109" spans="1:4" x14ac:dyDescent="0.2">
      <c r="A1109" s="5">
        <v>1048</v>
      </c>
      <c r="B1109" s="138">
        <f>'Expenditures 15-22'!K36</f>
        <v>39621</v>
      </c>
      <c r="C1109" s="2" t="s">
        <v>573</v>
      </c>
      <c r="D1109" s="2" t="str">
        <f t="shared" si="16"/>
        <v>Error?</v>
      </c>
    </row>
    <row r="1110" spans="1:4" x14ac:dyDescent="0.2">
      <c r="A1110" s="5">
        <v>1049</v>
      </c>
      <c r="B1110" s="138">
        <f>'Expenditures 15-22'!K37</f>
        <v>78663</v>
      </c>
      <c r="C1110" s="2" t="s">
        <v>573</v>
      </c>
      <c r="D1110" s="2" t="str">
        <f t="shared" si="16"/>
        <v>Error?</v>
      </c>
    </row>
    <row r="1111" spans="1:4" x14ac:dyDescent="0.2">
      <c r="A1111" s="5">
        <v>1050</v>
      </c>
      <c r="B1111" s="138">
        <f>'Expenditures 15-22'!K38</f>
        <v>92790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124281</v>
      </c>
      <c r="C1113" s="2" t="s">
        <v>573</v>
      </c>
      <c r="D1113" s="2" t="str">
        <f t="shared" si="16"/>
        <v>Error?</v>
      </c>
    </row>
    <row r="1114" spans="1:4" x14ac:dyDescent="0.2">
      <c r="A1114" s="5">
        <v>1053</v>
      </c>
      <c r="B1114" s="138">
        <f>'Expenditures 15-22'!K41</f>
        <v>2397</v>
      </c>
      <c r="C1114" s="2" t="s">
        <v>573</v>
      </c>
      <c r="D1114" s="2" t="str">
        <f t="shared" si="16"/>
        <v>Error?</v>
      </c>
    </row>
    <row r="1115" spans="1:4" x14ac:dyDescent="0.2">
      <c r="A1115" s="5">
        <v>1054</v>
      </c>
      <c r="B1115" s="138">
        <f>'Expenditures 15-22'!K42</f>
        <v>337752</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101843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101843</v>
      </c>
      <c r="C1119" s="2" t="s">
        <v>573</v>
      </c>
      <c r="D1119" s="2" t="str">
        <f t="shared" si="16"/>
        <v>Error?</v>
      </c>
    </row>
    <row r="1120" spans="1:4" x14ac:dyDescent="0.2">
      <c r="A1120" s="5">
        <v>1059</v>
      </c>
      <c r="B1120" s="138">
        <f>'Expenditures 15-22'!K49</f>
        <v>42766</v>
      </c>
      <c r="C1120" s="2" t="s">
        <v>573</v>
      </c>
      <c r="D1120" s="2" t="str">
        <f t="shared" si="16"/>
        <v>Error?</v>
      </c>
    </row>
    <row r="1121" spans="1:4" x14ac:dyDescent="0.2">
      <c r="A1121" s="5">
        <v>1060</v>
      </c>
      <c r="B1121" s="138">
        <f>'Expenditures 15-22'!K50</f>
        <v>154960</v>
      </c>
      <c r="C1121" s="2" t="s">
        <v>573</v>
      </c>
      <c r="D1121" s="2" t="str">
        <f t="shared" si="16"/>
        <v>Error?</v>
      </c>
    </row>
    <row r="1122" spans="1:4" x14ac:dyDescent="0.2">
      <c r="A1122" s="5">
        <v>1061</v>
      </c>
      <c r="B1122" s="138">
        <f>'Expenditures 15-22'!K53</f>
        <v>197726</v>
      </c>
      <c r="C1122" s="2" t="s">
        <v>573</v>
      </c>
      <c r="D1122" s="2" t="str">
        <f t="shared" si="16"/>
        <v>Error?</v>
      </c>
    </row>
    <row r="1123" spans="1:4" x14ac:dyDescent="0.2">
      <c r="A1123" s="5">
        <v>1062</v>
      </c>
      <c r="B1123" s="138">
        <f>'Expenditures 15-22'!K55</f>
        <v>383302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383302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48390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356720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405110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1425733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222286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6681968</v>
      </c>
      <c r="C1152" s="2" t="s">
        <v>573</v>
      </c>
      <c r="D1152" s="2" t="str">
        <f t="shared" si="17"/>
        <v>Error?</v>
      </c>
    </row>
    <row r="1153" spans="1:4" x14ac:dyDescent="0.2">
      <c r="A1153" s="5">
        <v>1092</v>
      </c>
      <c r="B1153" s="138">
        <f>'Expenditures 15-22'!K115</f>
        <v>34438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290980</v>
      </c>
      <c r="D1221" s="2" t="str">
        <f t="shared" si="18"/>
        <v>Error?</v>
      </c>
    </row>
    <row r="1222" spans="1:4" x14ac:dyDescent="0.2">
      <c r="A1222" s="10">
        <v>1161</v>
      </c>
      <c r="D1222" s="2" t="str">
        <f t="shared" si="18"/>
        <v>OK</v>
      </c>
    </row>
    <row r="1223" spans="1:4" x14ac:dyDescent="0.2">
      <c r="A1223" s="5">
        <v>1162</v>
      </c>
      <c r="B1223" s="138">
        <f>'Expenditures 15-22'!C127</f>
        <v>290980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290980</v>
      </c>
      <c r="C1225" s="2" t="s">
        <v>573</v>
      </c>
      <c r="D1225" s="2" t="str">
        <f t="shared" si="18"/>
        <v>Error?</v>
      </c>
    </row>
    <row r="1226" spans="1:4" x14ac:dyDescent="0.2">
      <c r="A1226" s="5">
        <v>1165</v>
      </c>
      <c r="B1226" s="138">
        <f>'Expenditures 15-22'!C151</f>
        <v>290980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44731</v>
      </c>
      <c r="D1229" s="2" t="str">
        <f t="shared" si="18"/>
        <v>Error?</v>
      </c>
    </row>
    <row r="1230" spans="1:4" x14ac:dyDescent="0.2">
      <c r="A1230" s="10">
        <v>1169</v>
      </c>
      <c r="D1230" s="2" t="str">
        <f t="shared" si="18"/>
        <v>OK</v>
      </c>
    </row>
    <row r="1231" spans="1:4" x14ac:dyDescent="0.2">
      <c r="A1231" s="5">
        <v>1170</v>
      </c>
      <c r="B1231" s="138">
        <f>'Expenditures 15-22'!D127</f>
        <v>44731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44731</v>
      </c>
      <c r="C1233" s="2" t="s">
        <v>573</v>
      </c>
      <c r="D1233" s="2" t="str">
        <f t="shared" si="18"/>
        <v>Error?</v>
      </c>
    </row>
    <row r="1234" spans="1:4" x14ac:dyDescent="0.2">
      <c r="A1234" s="5">
        <v>1173</v>
      </c>
      <c r="B1234" s="138">
        <f>'Expenditures 15-22'!D151</f>
        <v>44731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137118</v>
      </c>
      <c r="D1237" s="2" t="str">
        <f t="shared" si="18"/>
        <v>Error?</v>
      </c>
    </row>
    <row r="1238" spans="1:4" x14ac:dyDescent="0.2">
      <c r="A1238" s="10">
        <v>1177</v>
      </c>
      <c r="D1238" s="2" t="str">
        <f t="shared" si="18"/>
        <v>OK</v>
      </c>
    </row>
    <row r="1239" spans="1:4" x14ac:dyDescent="0.2">
      <c r="A1239" s="5">
        <v>1178</v>
      </c>
      <c r="B1239" s="138">
        <f>'Expenditures 15-22'!E127</f>
        <v>137118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137118</v>
      </c>
      <c r="C1241" s="2" t="s">
        <v>573</v>
      </c>
      <c r="D1241" s="2" t="str">
        <f t="shared" si="18"/>
        <v>Error?</v>
      </c>
    </row>
    <row r="1242" spans="1:4" x14ac:dyDescent="0.2">
      <c r="A1242" s="5">
        <v>1181</v>
      </c>
      <c r="B1242" s="138">
        <f>'Expenditures 15-22'!E151</f>
        <v>137118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139375</v>
      </c>
      <c r="D1245" s="2" t="str">
        <f t="shared" si="18"/>
        <v>Error?</v>
      </c>
    </row>
    <row r="1246" spans="1:4" x14ac:dyDescent="0.2">
      <c r="A1246" s="10">
        <v>1185</v>
      </c>
      <c r="D1246" s="2" t="str">
        <f t="shared" si="18"/>
        <v>OK</v>
      </c>
    </row>
    <row r="1247" spans="1:4" x14ac:dyDescent="0.2">
      <c r="A1247" s="5">
        <v>1186</v>
      </c>
      <c r="B1247" s="138">
        <f>'Expenditures 15-22'!F127</f>
        <v>139375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139375</v>
      </c>
      <c r="C1249" s="2" t="s">
        <v>573</v>
      </c>
      <c r="D1249" s="2" t="str">
        <f t="shared" si="18"/>
        <v>Error?</v>
      </c>
    </row>
    <row r="1250" spans="1:4" x14ac:dyDescent="0.2">
      <c r="A1250" s="5">
        <v>1189</v>
      </c>
      <c r="B1250" s="138">
        <f>'Expenditures 15-22'!F151</f>
        <v>139375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9362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9362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9362</v>
      </c>
      <c r="C1258" s="2" t="s">
        <v>573</v>
      </c>
      <c r="D1258" s="2" t="str">
        <f t="shared" si="18"/>
        <v>Error?</v>
      </c>
    </row>
    <row r="1259" spans="1:4" x14ac:dyDescent="0.2">
      <c r="A1259" s="5">
        <v>1198</v>
      </c>
      <c r="B1259" s="138">
        <f>'Expenditures 15-22'!G151</f>
        <v>9362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621566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621566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621566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621566</v>
      </c>
      <c r="C1288" s="2" t="s">
        <v>573</v>
      </c>
      <c r="D1288" s="2" t="str">
        <f t="shared" si="19"/>
        <v>Error?</v>
      </c>
    </row>
    <row r="1289" spans="1:4" x14ac:dyDescent="0.2">
      <c r="A1289" s="5">
        <v>1228</v>
      </c>
      <c r="B1289" s="138">
        <f>'Expenditures 15-22'!K152</f>
        <v>3256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12155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290000</v>
      </c>
      <c r="D1315" s="2" t="str">
        <f t="shared" si="19"/>
        <v>Error?</v>
      </c>
    </row>
    <row r="1316" spans="1:4" x14ac:dyDescent="0.2">
      <c r="A1316" s="5">
        <v>1255</v>
      </c>
      <c r="B1316" s="138">
        <f>'Expenditures 15-22'!H171</f>
        <v>371</v>
      </c>
      <c r="D1316" s="2" t="str">
        <f t="shared" si="19"/>
        <v>Error?</v>
      </c>
    </row>
    <row r="1317" spans="1:4" x14ac:dyDescent="0.2">
      <c r="A1317" s="5">
        <v>1256</v>
      </c>
      <c r="B1317" s="138">
        <f>'Expenditures 15-22'!H172</f>
        <v>302526</v>
      </c>
      <c r="C1317" s="2" t="s">
        <v>573</v>
      </c>
      <c r="D1317" s="2" t="str">
        <f t="shared" si="19"/>
        <v>Error?</v>
      </c>
    </row>
    <row r="1318" spans="1:4" x14ac:dyDescent="0.2">
      <c r="A1318" s="5">
        <v>1257</v>
      </c>
      <c r="B1318" s="138">
        <f>'Expenditures 15-22'!H174</f>
        <v>302526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12155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290000</v>
      </c>
      <c r="C1329" s="2" t="s">
        <v>573</v>
      </c>
      <c r="D1329" s="2" t="str">
        <f t="shared" si="19"/>
        <v>Error?</v>
      </c>
    </row>
    <row r="1330" spans="1:4" x14ac:dyDescent="0.2">
      <c r="A1330" s="5">
        <v>1269</v>
      </c>
      <c r="B1330" s="138">
        <f>'Expenditures 15-22'!K171</f>
        <v>371</v>
      </c>
      <c r="C1330" s="2" t="s">
        <v>573</v>
      </c>
      <c r="D1330" s="2" t="str">
        <f t="shared" si="19"/>
        <v>Error?</v>
      </c>
    </row>
    <row r="1331" spans="1:4" x14ac:dyDescent="0.2">
      <c r="A1331" s="5">
        <v>1270</v>
      </c>
      <c r="B1331" s="138">
        <f>'Expenditures 15-22'!K172</f>
        <v>302526</v>
      </c>
      <c r="C1331" s="2" t="s">
        <v>573</v>
      </c>
      <c r="D1331" s="2" t="str">
        <f t="shared" si="19"/>
        <v>Error?</v>
      </c>
    </row>
    <row r="1332" spans="1:4" x14ac:dyDescent="0.2">
      <c r="A1332" s="5">
        <v>1271</v>
      </c>
      <c r="B1332" s="138">
        <f>'Expenditures 15-22'!K174</f>
        <v>302526</v>
      </c>
      <c r="C1332" s="2" t="s">
        <v>573</v>
      </c>
      <c r="D1332" s="2" t="str">
        <f t="shared" si="19"/>
        <v>Error?</v>
      </c>
    </row>
    <row r="1333" spans="1:4" x14ac:dyDescent="0.2">
      <c r="A1333" s="5">
        <v>1272</v>
      </c>
      <c r="B1333" s="138">
        <f>'Expenditures 15-22'!K175</f>
        <v>106473</v>
      </c>
      <c r="C1333" s="2" t="s">
        <v>573</v>
      </c>
      <c r="D1333" s="2" t="str">
        <f t="shared" si="19"/>
        <v>Error?</v>
      </c>
    </row>
    <row r="1334" spans="1:4" x14ac:dyDescent="0.2">
      <c r="A1334" s="10">
        <v>1273</v>
      </c>
      <c r="D1334" s="2" t="str">
        <f t="shared" si="19"/>
        <v>OK</v>
      </c>
    </row>
    <row r="1335" spans="1:4" x14ac:dyDescent="0.2">
      <c r="A1335" s="5">
        <v>1274</v>
      </c>
      <c r="B1335" s="138">
        <f>'Expenditures 15-22'!C182</f>
        <v>326722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326722</v>
      </c>
      <c r="C1339" s="2" t="s">
        <v>573</v>
      </c>
      <c r="D1339" s="2" t="str">
        <f t="shared" si="19"/>
        <v>Error?</v>
      </c>
    </row>
    <row r="1340" spans="1:4" x14ac:dyDescent="0.2">
      <c r="A1340" s="5">
        <v>1279</v>
      </c>
      <c r="B1340" s="138">
        <f>'Expenditures 15-22'!C210</f>
        <v>326722</v>
      </c>
      <c r="C1340" s="2" t="s">
        <v>573</v>
      </c>
      <c r="D1340" s="2" t="str">
        <f t="shared" si="19"/>
        <v>Error?</v>
      </c>
    </row>
    <row r="1341" spans="1:4" x14ac:dyDescent="0.2">
      <c r="A1341" s="5">
        <v>1280</v>
      </c>
      <c r="B1341" s="138">
        <f>'Expenditures 15-22'!D182</f>
        <v>26113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26113</v>
      </c>
      <c r="C1345" s="2" t="s">
        <v>573</v>
      </c>
      <c r="D1345" s="2" t="str">
        <f t="shared" si="20"/>
        <v>Error?</v>
      </c>
    </row>
    <row r="1346" spans="1:4" x14ac:dyDescent="0.2">
      <c r="A1346" s="5">
        <v>1285</v>
      </c>
      <c r="B1346" s="138">
        <f>'Expenditures 15-22'!D210</f>
        <v>26113</v>
      </c>
      <c r="C1346" s="2" t="s">
        <v>573</v>
      </c>
      <c r="D1346" s="2" t="str">
        <f t="shared" si="20"/>
        <v>Error?</v>
      </c>
    </row>
    <row r="1347" spans="1:4" x14ac:dyDescent="0.2">
      <c r="A1347" s="5">
        <v>1286</v>
      </c>
      <c r="B1347" s="138">
        <f>'Expenditures 15-22'!E182</f>
        <v>12449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12449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12449</v>
      </c>
      <c r="C1353" s="2" t="s">
        <v>573</v>
      </c>
      <c r="D1353" s="2" t="str">
        <f t="shared" si="20"/>
        <v>Error?</v>
      </c>
    </row>
    <row r="1354" spans="1:4" x14ac:dyDescent="0.2">
      <c r="A1354" s="5">
        <v>1293</v>
      </c>
      <c r="B1354" s="138">
        <f>'Expenditures 15-22'!F182</f>
        <v>120274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120274</v>
      </c>
      <c r="C1358" s="2" t="s">
        <v>573</v>
      </c>
      <c r="D1358" s="2" t="str">
        <f t="shared" si="20"/>
        <v>Error?</v>
      </c>
    </row>
    <row r="1359" spans="1:4" x14ac:dyDescent="0.2">
      <c r="A1359" s="5">
        <v>1298</v>
      </c>
      <c r="B1359" s="138">
        <f>'Expenditures 15-22'!F210</f>
        <v>120274</v>
      </c>
      <c r="C1359" s="2" t="s">
        <v>573</v>
      </c>
      <c r="D1359" s="2" t="str">
        <f t="shared" si="20"/>
        <v>Error?</v>
      </c>
    </row>
    <row r="1360" spans="1:4" x14ac:dyDescent="0.2">
      <c r="A1360" s="5">
        <v>1299</v>
      </c>
      <c r="B1360" s="138">
        <f>'Expenditures 15-22'!G182</f>
        <v>8455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8455</v>
      </c>
      <c r="C1364" s="2" t="s">
        <v>573</v>
      </c>
      <c r="D1364" s="2" t="str">
        <f t="shared" si="20"/>
        <v>Error?</v>
      </c>
    </row>
    <row r="1365" spans="1:4" x14ac:dyDescent="0.2">
      <c r="A1365" s="5">
        <v>1304</v>
      </c>
      <c r="B1365" s="138">
        <f>'Expenditures 15-22'!G210</f>
        <v>8455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494013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494013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494013</v>
      </c>
      <c r="C1388" s="2" t="s">
        <v>573</v>
      </c>
      <c r="D1388" s="2" t="str">
        <f t="shared" si="20"/>
        <v>Error?</v>
      </c>
    </row>
    <row r="1389" spans="1:4" x14ac:dyDescent="0.2">
      <c r="A1389" s="5">
        <v>1328</v>
      </c>
      <c r="B1389" s="138">
        <f>'Expenditures 15-22'!K211</f>
        <v>50137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2923</v>
      </c>
      <c r="D1407" s="2" t="str">
        <f t="shared" ref="D1407:D1470" si="21">IF(ISBLANK(B1407),"OK",IF(A1407-B1407=0,"OK","Error?"))</f>
        <v>Error?</v>
      </c>
    </row>
    <row r="1408" spans="1:4" x14ac:dyDescent="0.2">
      <c r="A1408" s="5">
        <v>1347</v>
      </c>
      <c r="B1408" s="138">
        <f>'Expenditures 15-22'!D223</f>
        <v>9305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121764</v>
      </c>
      <c r="C1410" s="2" t="s">
        <v>573</v>
      </c>
      <c r="D1410" s="2" t="str">
        <f t="shared" si="21"/>
        <v>Error?</v>
      </c>
    </row>
    <row r="1411" spans="1:4" x14ac:dyDescent="0.2">
      <c r="A1411" s="5">
        <v>1350</v>
      </c>
      <c r="B1411" s="138">
        <f>'Expenditures 15-22'!D232</f>
        <v>427</v>
      </c>
      <c r="D1411" s="2" t="str">
        <f t="shared" si="21"/>
        <v>Error?</v>
      </c>
    </row>
    <row r="1412" spans="1:4" x14ac:dyDescent="0.2">
      <c r="A1412" s="5">
        <v>1351</v>
      </c>
      <c r="B1412" s="138">
        <f>'Expenditures 15-22'!D233</f>
        <v>683</v>
      </c>
      <c r="D1412" s="2" t="str">
        <f t="shared" si="21"/>
        <v>Error?</v>
      </c>
    </row>
    <row r="1413" spans="1:4" x14ac:dyDescent="0.2">
      <c r="A1413" s="5">
        <v>1352</v>
      </c>
      <c r="B1413" s="138">
        <f>'Expenditures 15-22'!D234</f>
        <v>2628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1385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5123</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3401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3401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1896</v>
      </c>
      <c r="D1423" s="2" t="str">
        <f t="shared" si="21"/>
        <v>Error?</v>
      </c>
    </row>
    <row r="1424" spans="1:4" x14ac:dyDescent="0.2">
      <c r="A1424" s="5">
        <v>1363</v>
      </c>
      <c r="B1424" s="138">
        <f>'Expenditures 15-22'!D257</f>
        <v>1896</v>
      </c>
      <c r="C1424" s="2" t="s">
        <v>573</v>
      </c>
      <c r="D1424" s="2" t="str">
        <f t="shared" si="21"/>
        <v>Error?</v>
      </c>
    </row>
    <row r="1425" spans="1:4" x14ac:dyDescent="0.2">
      <c r="A1425" s="5">
        <v>1364</v>
      </c>
      <c r="B1425" s="138">
        <f>'Expenditures 15-22'!D259</f>
        <v>21363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21363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4447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48163</v>
      </c>
      <c r="D1431" s="2" t="str">
        <f t="shared" si="21"/>
        <v>Error?</v>
      </c>
    </row>
    <row r="1432" spans="1:4" x14ac:dyDescent="0.2">
      <c r="A1432" s="5">
        <v>1371</v>
      </c>
      <c r="B1432" s="138">
        <f>'Expenditures 15-22'!D267</f>
        <v>40408</v>
      </c>
      <c r="D1432" s="2" t="str">
        <f t="shared" si="21"/>
        <v>Error?</v>
      </c>
    </row>
    <row r="1433" spans="1:4" x14ac:dyDescent="0.2">
      <c r="A1433" s="5">
        <v>1372</v>
      </c>
      <c r="B1433" s="138">
        <f>'Expenditures 15-22'!D268</f>
        <v>25863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118881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150664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272428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2923</v>
      </c>
      <c r="C1471" s="2" t="s">
        <v>573</v>
      </c>
      <c r="D1471" s="2" t="str">
        <f t="shared" ref="D1471:D1534" si="22">IF(ISBLANK(B1471),"OK",IF(A1471-B1471=0,"OK","Error?"))</f>
        <v>Error?</v>
      </c>
    </row>
    <row r="1472" spans="1:4" x14ac:dyDescent="0.2">
      <c r="A1472" s="5">
        <v>1411</v>
      </c>
      <c r="B1472" s="138">
        <f>'Expenditures 15-22'!K223</f>
        <v>9305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121764</v>
      </c>
      <c r="C1474" s="2" t="s">
        <v>573</v>
      </c>
      <c r="D1474" s="2" t="str">
        <f t="shared" si="22"/>
        <v>Error?</v>
      </c>
    </row>
    <row r="1475" spans="1:4" x14ac:dyDescent="0.2">
      <c r="A1475" s="5">
        <v>1414</v>
      </c>
      <c r="B1475" s="138">
        <f>'Expenditures 15-22'!K232</f>
        <v>427</v>
      </c>
      <c r="C1475" s="2" t="s">
        <v>573</v>
      </c>
      <c r="D1475" s="2" t="str">
        <f t="shared" si="22"/>
        <v>Error?</v>
      </c>
    </row>
    <row r="1476" spans="1:4" x14ac:dyDescent="0.2">
      <c r="A1476" s="5">
        <v>1415</v>
      </c>
      <c r="B1476" s="138">
        <f>'Expenditures 15-22'!K233</f>
        <v>683</v>
      </c>
      <c r="C1476" s="2" t="s">
        <v>573</v>
      </c>
      <c r="D1476" s="2" t="str">
        <f t="shared" si="22"/>
        <v>Error?</v>
      </c>
    </row>
    <row r="1477" spans="1:4" x14ac:dyDescent="0.2">
      <c r="A1477" s="5">
        <v>1416</v>
      </c>
      <c r="B1477" s="138">
        <f>'Expenditures 15-22'!K234</f>
        <v>2628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1385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5123</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3401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3401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1896</v>
      </c>
      <c r="C1487" s="2" t="s">
        <v>573</v>
      </c>
      <c r="D1487" s="2" t="str">
        <f t="shared" si="22"/>
        <v>Error?</v>
      </c>
    </row>
    <row r="1488" spans="1:4" x14ac:dyDescent="0.2">
      <c r="A1488" s="5">
        <v>1427</v>
      </c>
      <c r="B1488" s="138">
        <f>'Expenditures 15-22'!K257</f>
        <v>1896</v>
      </c>
      <c r="C1488" s="2" t="s">
        <v>573</v>
      </c>
      <c r="D1488" s="2" t="str">
        <f t="shared" si="22"/>
        <v>Error?</v>
      </c>
    </row>
    <row r="1489" spans="1:4" x14ac:dyDescent="0.2">
      <c r="A1489" s="5">
        <v>1428</v>
      </c>
      <c r="B1489" s="138">
        <f>'Expenditures 15-22'!K259</f>
        <v>21363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21363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4447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48163</v>
      </c>
      <c r="C1495" s="2" t="s">
        <v>573</v>
      </c>
      <c r="D1495" s="2" t="str">
        <f t="shared" si="22"/>
        <v>Error?</v>
      </c>
    </row>
    <row r="1496" spans="1:4" x14ac:dyDescent="0.2">
      <c r="A1496" s="5">
        <v>1435</v>
      </c>
      <c r="B1496" s="138">
        <f>'Expenditures 15-22'!K267</f>
        <v>40408</v>
      </c>
      <c r="C1496" s="2" t="s">
        <v>573</v>
      </c>
      <c r="D1496" s="2" t="str">
        <f t="shared" si="22"/>
        <v>Error?</v>
      </c>
    </row>
    <row r="1497" spans="1:4" x14ac:dyDescent="0.2">
      <c r="A1497" s="5">
        <v>1436</v>
      </c>
      <c r="B1497" s="138">
        <f>'Expenditures 15-22'!K268</f>
        <v>25863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118881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150664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272428</v>
      </c>
      <c r="C1517" s="2" t="s">
        <v>573</v>
      </c>
      <c r="D1517" s="2" t="str">
        <f t="shared" si="22"/>
        <v>Error?</v>
      </c>
    </row>
    <row r="1518" spans="1:4" x14ac:dyDescent="0.2">
      <c r="A1518" s="5">
        <v>1457</v>
      </c>
      <c r="B1518" s="138">
        <f>'Expenditures 15-22'!K296</f>
        <v>38888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12581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12581</v>
      </c>
      <c r="C1535" s="2" t="s">
        <v>573</v>
      </c>
      <c r="D1535" s="2" t="str">
        <f t="shared" ref="D1535:D1598" si="23">IF(ISBLANK(B1535),"OK",IF(A1535-B1535=0,"OK","Error?"))</f>
        <v>Error?</v>
      </c>
    </row>
    <row r="1536" spans="1:4" x14ac:dyDescent="0.2">
      <c r="A1536" s="5">
        <v>1475</v>
      </c>
      <c r="B1536" s="138">
        <f>'Expenditures 15-22'!E312</f>
        <v>12581</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80557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80557</v>
      </c>
      <c r="C1547" s="2" t="s">
        <v>573</v>
      </c>
      <c r="D1547" s="2" t="str">
        <f t="shared" si="23"/>
        <v>Error?</v>
      </c>
    </row>
    <row r="1548" spans="1:4" x14ac:dyDescent="0.2">
      <c r="A1548" s="5">
        <v>1487</v>
      </c>
      <c r="B1548" s="138">
        <f>'Expenditures 15-22'!G312</f>
        <v>80557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93138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93138</v>
      </c>
      <c r="C1559" s="2" t="s">
        <v>573</v>
      </c>
      <c r="D1559" s="2" t="str">
        <f t="shared" si="23"/>
        <v>Error?</v>
      </c>
    </row>
    <row r="1560" spans="1:4" x14ac:dyDescent="0.2">
      <c r="A1560" s="5">
        <v>1499</v>
      </c>
      <c r="B1560" s="138">
        <f>'Expenditures 15-22'!K312</f>
        <v>93138</v>
      </c>
      <c r="C1560" s="2" t="s">
        <v>573</v>
      </c>
      <c r="D1560" s="2" t="str">
        <f t="shared" si="23"/>
        <v>Error?</v>
      </c>
    </row>
    <row r="1561" spans="1:4" x14ac:dyDescent="0.2">
      <c r="A1561" s="5">
        <v>1500</v>
      </c>
      <c r="B1561" s="138">
        <f>'Expenditures 15-22'!K313</f>
        <v>145089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1594403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1628841</v>
      </c>
      <c r="C1630" s="2" t="s">
        <v>573</v>
      </c>
      <c r="D1630" s="2" t="str">
        <f t="shared" si="24"/>
        <v>Error?</v>
      </c>
    </row>
    <row r="1631" spans="1:4" x14ac:dyDescent="0.2">
      <c r="A1631" s="5">
        <v>1570</v>
      </c>
      <c r="B1631" s="138">
        <f>'Acct Summary 7-8'!D79</f>
        <v>1456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4712</v>
      </c>
      <c r="C1644" s="2" t="s">
        <v>573</v>
      </c>
      <c r="D1644" s="2" t="str">
        <f t="shared" si="24"/>
        <v>Error?</v>
      </c>
    </row>
    <row r="1645" spans="1:4" x14ac:dyDescent="0.2">
      <c r="A1645" s="5">
        <v>1584</v>
      </c>
      <c r="B1645" s="138">
        <f>'Acct Summary 7-8'!E79</f>
        <v>328676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435149</v>
      </c>
      <c r="C1658" s="2" t="s">
        <v>573</v>
      </c>
      <c r="D1658" s="2" t="str">
        <f t="shared" si="24"/>
        <v>Error?</v>
      </c>
    </row>
    <row r="1659" spans="1:4" x14ac:dyDescent="0.2">
      <c r="A1659" s="5">
        <v>1598</v>
      </c>
      <c r="B1659" s="138">
        <f>'Acct Summary 7-8'!F79</f>
        <v>1836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51973</v>
      </c>
      <c r="C1672" s="2" t="s">
        <v>573</v>
      </c>
      <c r="D1672" s="2" t="str">
        <f t="shared" si="25"/>
        <v>Error?</v>
      </c>
    </row>
    <row r="1673" spans="1:4" x14ac:dyDescent="0.2">
      <c r="A1673" s="5">
        <v>1612</v>
      </c>
      <c r="B1673" s="138">
        <f>'Acct Summary 7-8'!G79</f>
        <v>237704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276592</v>
      </c>
      <c r="C1686" s="2" t="s">
        <v>573</v>
      </c>
      <c r="D1686" s="2" t="str">
        <f t="shared" si="25"/>
        <v>Error?</v>
      </c>
    </row>
    <row r="1687" spans="1:4" x14ac:dyDescent="0.2">
      <c r="A1687" s="5">
        <v>1626</v>
      </c>
      <c r="B1687" s="138">
        <f>'Acct Summary 7-8'!H79</f>
        <v>150452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295541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1421314</v>
      </c>
      <c r="C1744" s="2" t="s">
        <v>573</v>
      </c>
      <c r="D1744" s="2" t="str">
        <f t="shared" si="26"/>
        <v>Error?</v>
      </c>
    </row>
    <row r="1745" spans="1:5" x14ac:dyDescent="0.2">
      <c r="A1745" s="5">
        <v>1684</v>
      </c>
      <c r="B1745" s="138">
        <f>'Tax Sched 23'!B5</f>
        <v>386226</v>
      </c>
      <c r="C1745" s="2" t="s">
        <v>573</v>
      </c>
      <c r="D1745" s="2" t="str">
        <f t="shared" si="26"/>
        <v>Error?</v>
      </c>
    </row>
    <row r="1746" spans="1:5" x14ac:dyDescent="0.2">
      <c r="A1746" s="5">
        <v>1685</v>
      </c>
      <c r="B1746" s="138">
        <f>'Tax Sched 23'!B6</f>
        <v>301624</v>
      </c>
      <c r="C1746" s="2" t="s">
        <v>573</v>
      </c>
      <c r="D1746" s="2" t="str">
        <f t="shared" si="26"/>
        <v>Error?</v>
      </c>
    </row>
    <row r="1747" spans="1:5" x14ac:dyDescent="0.2">
      <c r="A1747" s="5">
        <v>1686</v>
      </c>
      <c r="B1747" s="138">
        <f>'Tax Sched 23'!B7</f>
        <v>154490</v>
      </c>
      <c r="C1747" s="2" t="s">
        <v>573</v>
      </c>
      <c r="D1747" s="2" t="str">
        <f t="shared" si="26"/>
        <v>Error?</v>
      </c>
    </row>
    <row r="1748" spans="1:5" x14ac:dyDescent="0.2">
      <c r="A1748" s="5">
        <v>1687</v>
      </c>
      <c r="B1748" s="138">
        <f>'Tax Sched 23'!B8</f>
        <v>150615</v>
      </c>
      <c r="C1748" s="2" t="s">
        <v>573</v>
      </c>
      <c r="D1748" s="2" t="str">
        <f t="shared" si="26"/>
        <v>Error?</v>
      </c>
    </row>
    <row r="1749" spans="1:5" x14ac:dyDescent="0.2">
      <c r="A1749" s="5">
        <v>1688</v>
      </c>
      <c r="B1749" s="138">
        <f>'Tax Sched 23'!B10</f>
        <v>38623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210860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30898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2883888</v>
      </c>
      <c r="C1759" s="2" t="s">
        <v>573</v>
      </c>
      <c r="D1759" s="2" t="str">
        <f t="shared" si="26"/>
        <v>Error?</v>
      </c>
    </row>
    <row r="1760" spans="1:5" x14ac:dyDescent="0.2">
      <c r="A1760" s="5">
        <v>1699</v>
      </c>
      <c r="B1760" s="138">
        <f>'Tax Sched 23'!D4</f>
        <v>1421314</v>
      </c>
      <c r="C1760" s="2" t="s">
        <v>573</v>
      </c>
      <c r="D1760" s="2" t="str">
        <f t="shared" si="26"/>
        <v>Error?</v>
      </c>
    </row>
    <row r="1761" spans="1:5" x14ac:dyDescent="0.2">
      <c r="A1761" s="5">
        <v>1700</v>
      </c>
      <c r="B1761" s="138">
        <f>'Tax Sched 23'!D5</f>
        <v>386226</v>
      </c>
      <c r="C1761" s="2" t="s">
        <v>573</v>
      </c>
      <c r="D1761" s="2" t="str">
        <f t="shared" si="26"/>
        <v>Error?</v>
      </c>
    </row>
    <row r="1762" spans="1:5" s="8" customFormat="1" x14ac:dyDescent="0.2">
      <c r="A1762" s="5">
        <v>1701</v>
      </c>
      <c r="B1762" s="138">
        <f>'Tax Sched 23'!D6</f>
        <v>301624</v>
      </c>
      <c r="C1762" s="2" t="s">
        <v>573</v>
      </c>
      <c r="D1762" s="2" t="str">
        <f t="shared" si="26"/>
        <v>Error?</v>
      </c>
      <c r="E1762" s="9"/>
    </row>
    <row r="1763" spans="1:5" x14ac:dyDescent="0.2">
      <c r="A1763" s="5">
        <v>1702</v>
      </c>
      <c r="B1763" s="138">
        <f>'Tax Sched 23'!D7</f>
        <v>154490</v>
      </c>
      <c r="C1763" s="2" t="s">
        <v>573</v>
      </c>
      <c r="D1763" s="2" t="str">
        <f t="shared" si="26"/>
        <v>Error?</v>
      </c>
    </row>
    <row r="1764" spans="1:5" x14ac:dyDescent="0.2">
      <c r="A1764" s="5">
        <v>1703</v>
      </c>
      <c r="B1764" s="138">
        <f>'Tax Sched 23'!D8</f>
        <v>150615</v>
      </c>
      <c r="C1764" s="2" t="s">
        <v>573</v>
      </c>
      <c r="D1764" s="2" t="str">
        <f t="shared" si="26"/>
        <v>Error?</v>
      </c>
    </row>
    <row r="1765" spans="1:5" x14ac:dyDescent="0.2">
      <c r="A1765" s="5">
        <v>1704</v>
      </c>
      <c r="B1765" s="138">
        <f>'Tax Sched 23'!D10</f>
        <v>38623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210860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30898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2883888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1459645</v>
      </c>
      <c r="C1792" s="2" t="s">
        <v>573</v>
      </c>
      <c r="D1792" s="2" t="str">
        <f t="shared" si="27"/>
        <v>Error?</v>
      </c>
    </row>
    <row r="1793" spans="1:4" x14ac:dyDescent="0.2">
      <c r="A1793" s="5">
        <v>1732</v>
      </c>
      <c r="B1793" s="138">
        <f>'Tax Sched 23'!F5</f>
        <v>396643</v>
      </c>
      <c r="C1793" s="2" t="s">
        <v>573</v>
      </c>
      <c r="D1793" s="2" t="str">
        <f t="shared" si="27"/>
        <v>Error?</v>
      </c>
    </row>
    <row r="1794" spans="1:4" x14ac:dyDescent="0.2">
      <c r="A1794" s="5">
        <v>1733</v>
      </c>
      <c r="B1794" s="138">
        <f>'Tax Sched 23'!F6</f>
        <v>299648</v>
      </c>
      <c r="C1794" s="2" t="s">
        <v>573</v>
      </c>
      <c r="D1794" s="2" t="str">
        <f t="shared" si="27"/>
        <v>Error?</v>
      </c>
    </row>
    <row r="1795" spans="1:4" x14ac:dyDescent="0.2">
      <c r="A1795" s="5">
        <v>1734</v>
      </c>
      <c r="B1795" s="138">
        <f>'Tax Sched 23'!F7</f>
        <v>158657</v>
      </c>
      <c r="C1795" s="2" t="s">
        <v>573</v>
      </c>
      <c r="D1795" s="2" t="str">
        <f t="shared" si="27"/>
        <v>Error?</v>
      </c>
    </row>
    <row r="1796" spans="1:4" x14ac:dyDescent="0.2">
      <c r="A1796" s="5">
        <v>1735</v>
      </c>
      <c r="B1796" s="138">
        <f>'Tax Sched 23'!F8</f>
        <v>99890</v>
      </c>
      <c r="C1796" s="2" t="s">
        <v>573</v>
      </c>
      <c r="D1796" s="2" t="str">
        <f t="shared" si="27"/>
        <v>Error?</v>
      </c>
    </row>
    <row r="1797" spans="1:4" x14ac:dyDescent="0.2">
      <c r="A1797" s="5">
        <v>1736</v>
      </c>
      <c r="B1797" s="138">
        <f>'Tax Sched 23'!F10</f>
        <v>39664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209760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31731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2935075</v>
      </c>
      <c r="C1807" s="2" t="s">
        <v>573</v>
      </c>
      <c r="D1807" s="2" t="str">
        <f t="shared" si="27"/>
        <v>Error?</v>
      </c>
    </row>
    <row r="1808" spans="1:4" x14ac:dyDescent="0.2">
      <c r="A1808" s="5">
        <v>1747</v>
      </c>
      <c r="B1808" s="138">
        <f>'Tax Sched 23'!E4</f>
        <v>1459645</v>
      </c>
      <c r="D1808" s="2" t="str">
        <f t="shared" si="27"/>
        <v>Error?</v>
      </c>
    </row>
    <row r="1809" spans="1:4" x14ac:dyDescent="0.2">
      <c r="A1809" s="5">
        <v>1748</v>
      </c>
      <c r="B1809" s="138">
        <f>'Tax Sched 23'!E5</f>
        <v>396643</v>
      </c>
      <c r="D1809" s="2" t="str">
        <f t="shared" si="27"/>
        <v>Error?</v>
      </c>
    </row>
    <row r="1810" spans="1:4" x14ac:dyDescent="0.2">
      <c r="A1810" s="5">
        <v>1749</v>
      </c>
      <c r="B1810" s="138">
        <f>'Tax Sched 23'!E6</f>
        <v>299648</v>
      </c>
      <c r="D1810" s="2" t="str">
        <f t="shared" si="27"/>
        <v>Error?</v>
      </c>
    </row>
    <row r="1811" spans="1:4" x14ac:dyDescent="0.2">
      <c r="A1811" s="5">
        <v>1750</v>
      </c>
      <c r="B1811" s="138">
        <f>'Tax Sched 23'!E7</f>
        <v>158657</v>
      </c>
      <c r="D1811" s="2" t="str">
        <f t="shared" si="27"/>
        <v>Error?</v>
      </c>
    </row>
    <row r="1812" spans="1:4" x14ac:dyDescent="0.2">
      <c r="A1812" s="5">
        <v>1751</v>
      </c>
      <c r="B1812" s="138">
        <f>'Tax Sched 23'!E8</f>
        <v>99890</v>
      </c>
      <c r="D1812" s="2" t="str">
        <f t="shared" si="27"/>
        <v>Error?</v>
      </c>
    </row>
    <row r="1813" spans="1:4" x14ac:dyDescent="0.2">
      <c r="A1813" s="5">
        <v>1752</v>
      </c>
      <c r="B1813" s="138">
        <f>'Tax Sched 23'!E10</f>
        <v>39664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209760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31731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2935075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1388907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30898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30898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30898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122582</v>
      </c>
      <c r="D2008" s="2" t="str">
        <f t="shared" si="30"/>
        <v>Error?</v>
      </c>
    </row>
    <row r="2009" spans="1:4" x14ac:dyDescent="0.2">
      <c r="A2009" s="5">
        <v>1948</v>
      </c>
      <c r="B2009" s="138">
        <f>'Cap Outlay Deprec 26'!C8</f>
        <v>9495991</v>
      </c>
      <c r="D2009" s="2" t="str">
        <f t="shared" si="30"/>
        <v>Error?</v>
      </c>
    </row>
    <row r="2010" spans="1:4" x14ac:dyDescent="0.2">
      <c r="A2010" s="5">
        <v>1949</v>
      </c>
      <c r="B2010" s="138">
        <f>'Cap Outlay Deprec 26'!C10</f>
        <v>913431</v>
      </c>
      <c r="D2010" s="2" t="str">
        <f t="shared" si="30"/>
        <v>Error?</v>
      </c>
    </row>
    <row r="2011" spans="1:4" x14ac:dyDescent="0.2">
      <c r="A2011" s="5">
        <v>1950</v>
      </c>
      <c r="B2011" s="138">
        <f>'Cap Outlay Deprec 26'!C12</f>
        <v>699565</v>
      </c>
      <c r="D2011" s="2" t="str">
        <f t="shared" si="30"/>
        <v>Error?</v>
      </c>
    </row>
    <row r="2012" spans="1:4" x14ac:dyDescent="0.2">
      <c r="A2012" s="5">
        <v>1951</v>
      </c>
      <c r="B2012" s="138">
        <f>'Cap Outlay Deprec 26'!C13</f>
        <v>1758207</v>
      </c>
      <c r="D2012" s="2" t="str">
        <f t="shared" si="30"/>
        <v>Error?</v>
      </c>
    </row>
    <row r="2013" spans="1:4" x14ac:dyDescent="0.2">
      <c r="A2013" s="5">
        <v>1952</v>
      </c>
      <c r="B2013" s="138">
        <f>'Cap Outlay Deprec 26'!C16</f>
        <v>12989776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86725</v>
      </c>
      <c r="D2016" s="2" t="str">
        <f t="shared" si="30"/>
        <v>Error?</v>
      </c>
    </row>
    <row r="2017" spans="1:4" x14ac:dyDescent="0.2">
      <c r="A2017" s="5">
        <v>1956</v>
      </c>
      <c r="B2017" s="138">
        <f>'Cap Outlay Deprec 26'!D12</f>
        <v>53598</v>
      </c>
      <c r="D2017" s="2" t="str">
        <f t="shared" si="30"/>
        <v>Error?</v>
      </c>
    </row>
    <row r="2018" spans="1:4" x14ac:dyDescent="0.2">
      <c r="A2018" s="5">
        <v>1957</v>
      </c>
      <c r="B2018" s="138">
        <f>'Cap Outlay Deprec 26'!D13</f>
        <v>8455</v>
      </c>
      <c r="D2018" s="2" t="str">
        <f t="shared" si="30"/>
        <v>Error?</v>
      </c>
    </row>
    <row r="2019" spans="1:4" x14ac:dyDescent="0.2">
      <c r="A2019" s="5">
        <v>1958</v>
      </c>
      <c r="B2019" s="138">
        <f>'Cap Outlay Deprec 26'!D16</f>
        <v>148778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213318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213318</v>
      </c>
      <c r="C2025" s="2" t="s">
        <v>573</v>
      </c>
      <c r="D2025" s="2" t="str">
        <f t="shared" si="30"/>
        <v>Error?</v>
      </c>
    </row>
    <row r="2026" spans="1:4" x14ac:dyDescent="0.2">
      <c r="A2026" s="5">
        <v>1965</v>
      </c>
      <c r="B2026" s="138">
        <f>'Cap Outlay Deprec 26'!F5</f>
        <v>122582</v>
      </c>
      <c r="C2026" s="2" t="s">
        <v>573</v>
      </c>
      <c r="D2026" s="2" t="str">
        <f t="shared" si="30"/>
        <v>Error?</v>
      </c>
    </row>
    <row r="2027" spans="1:4" x14ac:dyDescent="0.2">
      <c r="A2027" s="5">
        <v>1966</v>
      </c>
      <c r="B2027" s="138">
        <f>'Cap Outlay Deprec 26'!F8</f>
        <v>9495991</v>
      </c>
      <c r="C2027" s="2" t="s">
        <v>573</v>
      </c>
      <c r="D2027" s="2" t="str">
        <f t="shared" si="30"/>
        <v>Error?</v>
      </c>
    </row>
    <row r="2028" spans="1:4" x14ac:dyDescent="0.2">
      <c r="A2028" s="5">
        <v>1967</v>
      </c>
      <c r="B2028" s="138">
        <f>'Cap Outlay Deprec 26'!F10</f>
        <v>1000156</v>
      </c>
      <c r="C2028" s="2" t="s">
        <v>573</v>
      </c>
      <c r="D2028" s="2" t="str">
        <f t="shared" si="30"/>
        <v>Error?</v>
      </c>
    </row>
    <row r="2029" spans="1:4" x14ac:dyDescent="0.2">
      <c r="A2029" s="5">
        <v>1968</v>
      </c>
      <c r="B2029" s="138">
        <f>'Cap Outlay Deprec 26'!F12</f>
        <v>539845</v>
      </c>
      <c r="C2029" s="2" t="s">
        <v>573</v>
      </c>
      <c r="D2029" s="2" t="str">
        <f t="shared" si="30"/>
        <v>Error?</v>
      </c>
    </row>
    <row r="2030" spans="1:4" x14ac:dyDescent="0.2">
      <c r="A2030" s="5">
        <v>1969</v>
      </c>
      <c r="B2030" s="138">
        <f>'Cap Outlay Deprec 26'!F13</f>
        <v>1766662</v>
      </c>
      <c r="C2030" s="2" t="s">
        <v>573</v>
      </c>
      <c r="D2030" s="2" t="str">
        <f t="shared" si="30"/>
        <v>Error?</v>
      </c>
    </row>
    <row r="2031" spans="1:4" x14ac:dyDescent="0.2">
      <c r="A2031" s="5">
        <v>1970</v>
      </c>
      <c r="B2031" s="138">
        <f>'Cap Outlay Deprec 26'!F16</f>
        <v>12925236</v>
      </c>
      <c r="C2031" s="2" t="s">
        <v>573</v>
      </c>
      <c r="D2031" s="2" t="str">
        <f t="shared" si="30"/>
        <v>Error?</v>
      </c>
    </row>
    <row r="2032" spans="1:4" x14ac:dyDescent="0.2">
      <c r="A2032" s="10">
        <v>1971</v>
      </c>
      <c r="D2032" s="2" t="str">
        <f t="shared" si="30"/>
        <v>OK</v>
      </c>
    </row>
    <row r="2033" spans="1:4" x14ac:dyDescent="0.2">
      <c r="A2033" s="5">
        <v>1972</v>
      </c>
      <c r="B2033" s="138">
        <f>'Cap Outlay Deprec 26'!H8</f>
        <v>5151142</v>
      </c>
      <c r="D2033" s="2" t="str">
        <f t="shared" si="30"/>
        <v>Error?</v>
      </c>
    </row>
    <row r="2034" spans="1:4" x14ac:dyDescent="0.2">
      <c r="A2034" s="5">
        <v>1973</v>
      </c>
      <c r="B2034" s="138">
        <f>'Cap Outlay Deprec 26'!H10</f>
        <v>115409</v>
      </c>
      <c r="D2034" s="2" t="str">
        <f t="shared" si="30"/>
        <v>Error?</v>
      </c>
    </row>
    <row r="2035" spans="1:4" x14ac:dyDescent="0.2">
      <c r="A2035" s="5">
        <v>1974</v>
      </c>
      <c r="B2035" s="138">
        <f>'Cap Outlay Deprec 26'!H12</f>
        <v>484190</v>
      </c>
      <c r="D2035" s="2" t="str">
        <f t="shared" si="30"/>
        <v>Error?</v>
      </c>
    </row>
    <row r="2036" spans="1:4" x14ac:dyDescent="0.2">
      <c r="A2036" s="5">
        <v>1975</v>
      </c>
      <c r="B2036" s="138">
        <f>'Cap Outlay Deprec 26'!H13</f>
        <v>1537939</v>
      </c>
      <c r="D2036" s="2" t="str">
        <f t="shared" si="30"/>
        <v>Error?</v>
      </c>
    </row>
    <row r="2037" spans="1:4" x14ac:dyDescent="0.2">
      <c r="A2037" s="5">
        <v>1976</v>
      </c>
      <c r="B2037" s="138">
        <f>'Cap Outlay Deprec 26'!H16</f>
        <v>7288680</v>
      </c>
      <c r="C2037" s="2" t="s">
        <v>573</v>
      </c>
      <c r="D2037" s="2" t="str">
        <f t="shared" si="30"/>
        <v>Error?</v>
      </c>
    </row>
    <row r="2038" spans="1:4" x14ac:dyDescent="0.2">
      <c r="A2038" s="10">
        <v>1977</v>
      </c>
      <c r="D2038" s="2" t="str">
        <f t="shared" si="30"/>
        <v>OK</v>
      </c>
    </row>
    <row r="2039" spans="1:4" x14ac:dyDescent="0.2">
      <c r="A2039" s="5">
        <v>1978</v>
      </c>
      <c r="B2039" s="138">
        <f>'Cap Outlay Deprec 26'!I8</f>
        <v>189887</v>
      </c>
      <c r="D2039" s="2" t="str">
        <f t="shared" si="30"/>
        <v>Error?</v>
      </c>
    </row>
    <row r="2040" spans="1:4" x14ac:dyDescent="0.2">
      <c r="A2040" s="5">
        <v>1979</v>
      </c>
      <c r="B2040" s="138">
        <f>'Cap Outlay Deprec 26'!I10</f>
        <v>18770</v>
      </c>
      <c r="D2040" s="2" t="str">
        <f t="shared" si="30"/>
        <v>Error?</v>
      </c>
    </row>
    <row r="2041" spans="1:4" x14ac:dyDescent="0.2">
      <c r="A2041" s="5">
        <v>1980</v>
      </c>
      <c r="B2041" s="138">
        <f>'Cap Outlay Deprec 26'!I12</f>
        <v>74936</v>
      </c>
      <c r="D2041" s="2" t="str">
        <f t="shared" si="30"/>
        <v>Error?</v>
      </c>
    </row>
    <row r="2042" spans="1:4" x14ac:dyDescent="0.2">
      <c r="A2042" s="5">
        <v>1981</v>
      </c>
      <c r="B2042" s="138">
        <f>'Cap Outlay Deprec 26'!I13</f>
        <v>78986</v>
      </c>
      <c r="D2042" s="2" t="str">
        <f t="shared" si="30"/>
        <v>Error?</v>
      </c>
    </row>
    <row r="2043" spans="1:4" x14ac:dyDescent="0.2">
      <c r="A2043" s="5">
        <v>1982</v>
      </c>
      <c r="B2043" s="138">
        <f>'Cap Outlay Deprec 26'!I16</f>
        <v>362579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213317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213317</v>
      </c>
      <c r="C2049" s="2" t="s">
        <v>573</v>
      </c>
      <c r="D2049" s="2" t="str">
        <f t="shared" si="31"/>
        <v>Error?</v>
      </c>
    </row>
    <row r="2050" spans="1:4" x14ac:dyDescent="0.2">
      <c r="A2050" s="10">
        <v>1989</v>
      </c>
      <c r="D2050" s="2" t="str">
        <f t="shared" si="31"/>
        <v>OK</v>
      </c>
    </row>
    <row r="2051" spans="1:4" x14ac:dyDescent="0.2">
      <c r="A2051" s="5">
        <v>1990</v>
      </c>
      <c r="B2051" s="138">
        <f>'Cap Outlay Deprec 26'!K8</f>
        <v>5341029</v>
      </c>
      <c r="C2051" s="2" t="s">
        <v>573</v>
      </c>
      <c r="D2051" s="2" t="str">
        <f t="shared" si="31"/>
        <v>Error?</v>
      </c>
    </row>
    <row r="2052" spans="1:4" x14ac:dyDescent="0.2">
      <c r="A2052" s="5">
        <v>1991</v>
      </c>
      <c r="B2052" s="138">
        <f>'Cap Outlay Deprec 26'!K10</f>
        <v>134179</v>
      </c>
      <c r="C2052" s="2" t="s">
        <v>573</v>
      </c>
      <c r="D2052" s="2" t="str">
        <f t="shared" si="31"/>
        <v>Error?</v>
      </c>
    </row>
    <row r="2053" spans="1:4" x14ac:dyDescent="0.2">
      <c r="A2053" s="5">
        <v>1992</v>
      </c>
      <c r="B2053" s="138">
        <f>'Cap Outlay Deprec 26'!K12</f>
        <v>345809</v>
      </c>
      <c r="C2053" s="2" t="s">
        <v>573</v>
      </c>
      <c r="D2053" s="2" t="str">
        <f t="shared" si="31"/>
        <v>Error?</v>
      </c>
    </row>
    <row r="2054" spans="1:4" x14ac:dyDescent="0.2">
      <c r="A2054" s="5">
        <v>1993</v>
      </c>
      <c r="B2054" s="138">
        <f>'Cap Outlay Deprec 26'!K13</f>
        <v>1616925</v>
      </c>
      <c r="C2054" s="2" t="s">
        <v>573</v>
      </c>
      <c r="D2054" s="2" t="str">
        <f t="shared" si="31"/>
        <v>Error?</v>
      </c>
    </row>
    <row r="2055" spans="1:4" x14ac:dyDescent="0.2">
      <c r="A2055" s="5">
        <v>1994</v>
      </c>
      <c r="B2055" s="138">
        <f>'Cap Outlay Deprec 26'!K16</f>
        <v>7437942</v>
      </c>
      <c r="C2055" s="2" t="s">
        <v>573</v>
      </c>
      <c r="D2055" s="2" t="str">
        <f t="shared" si="31"/>
        <v>Error?</v>
      </c>
    </row>
    <row r="2056" spans="1:4" x14ac:dyDescent="0.2">
      <c r="A2056" s="5">
        <v>1995</v>
      </c>
      <c r="B2056" s="138">
        <f>'Cap Outlay Deprec 26'!L5</f>
        <v>122582</v>
      </c>
      <c r="C2056" s="2" t="s">
        <v>573</v>
      </c>
      <c r="D2056" s="2" t="str">
        <f t="shared" si="31"/>
        <v>Error?</v>
      </c>
    </row>
    <row r="2057" spans="1:4" x14ac:dyDescent="0.2">
      <c r="A2057" s="5">
        <v>1996</v>
      </c>
      <c r="B2057" s="138">
        <f>'Cap Outlay Deprec 26'!L8</f>
        <v>4154962</v>
      </c>
      <c r="C2057" s="2" t="s">
        <v>573</v>
      </c>
      <c r="D2057" s="2" t="str">
        <f t="shared" si="31"/>
        <v>Error?</v>
      </c>
    </row>
    <row r="2058" spans="1:4" x14ac:dyDescent="0.2">
      <c r="A2058" s="5">
        <v>1997</v>
      </c>
      <c r="B2058" s="138">
        <f>'Cap Outlay Deprec 26'!L10</f>
        <v>865977</v>
      </c>
      <c r="C2058" s="2" t="s">
        <v>573</v>
      </c>
      <c r="D2058" s="2" t="str">
        <f t="shared" si="31"/>
        <v>Error?</v>
      </c>
    </row>
    <row r="2059" spans="1:4" x14ac:dyDescent="0.2">
      <c r="A2059" s="5">
        <v>1998</v>
      </c>
      <c r="B2059" s="138">
        <f>'Cap Outlay Deprec 26'!L12</f>
        <v>194036</v>
      </c>
      <c r="C2059" s="2" t="s">
        <v>573</v>
      </c>
      <c r="D2059" s="2" t="str">
        <f t="shared" si="31"/>
        <v>Error?</v>
      </c>
    </row>
    <row r="2060" spans="1:4" x14ac:dyDescent="0.2">
      <c r="A2060" s="5">
        <v>1999</v>
      </c>
      <c r="B2060" s="138">
        <f>'Cap Outlay Deprec 26'!L13</f>
        <v>149737</v>
      </c>
      <c r="C2060" s="2" t="s">
        <v>573</v>
      </c>
      <c r="D2060" s="2" t="str">
        <f t="shared" si="31"/>
        <v>Error?</v>
      </c>
    </row>
    <row r="2061" spans="1:4" x14ac:dyDescent="0.2">
      <c r="A2061" s="5">
        <v>2000</v>
      </c>
      <c r="B2061" s="138">
        <f>'Cap Outlay Deprec 26'!L16</f>
        <v>5487294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222286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3851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151901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393802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1989415</v>
      </c>
      <c r="C2551" s="2" t="s">
        <v>573</v>
      </c>
      <c r="D2551" s="2" t="str">
        <f t="shared" si="38"/>
        <v>Error?</v>
      </c>
    </row>
    <row r="2552" spans="1:4" x14ac:dyDescent="0.2">
      <c r="A2552" s="10">
        <v>2491</v>
      </c>
      <c r="D2552" s="2" t="str">
        <f t="shared" si="38"/>
        <v>OK</v>
      </c>
    </row>
    <row r="2553" spans="1:4" x14ac:dyDescent="0.2">
      <c r="A2553" s="5">
        <v>2492</v>
      </c>
      <c r="B2553" s="138">
        <f>'Acct Summary 7-8'!C6</f>
        <v>4218349</v>
      </c>
      <c r="C2553" s="2" t="s">
        <v>573</v>
      </c>
      <c r="D2553" s="2" t="str">
        <f t="shared" si="38"/>
        <v>Error?</v>
      </c>
    </row>
    <row r="2554" spans="1:4" x14ac:dyDescent="0.2">
      <c r="A2554" s="5">
        <v>2493</v>
      </c>
      <c r="B2554" s="138">
        <f>'Acct Summary 7-8'!C7</f>
        <v>507483</v>
      </c>
      <c r="C2554" s="2" t="s">
        <v>573</v>
      </c>
      <c r="D2554" s="2" t="str">
        <f t="shared" si="38"/>
        <v>Error?</v>
      </c>
    </row>
    <row r="2555" spans="1:4" x14ac:dyDescent="0.2">
      <c r="A2555" s="5">
        <v>2494</v>
      </c>
      <c r="B2555" s="138">
        <f>'Acct Summary 7-8'!C8</f>
        <v>6716406</v>
      </c>
      <c r="C2555" s="2" t="s">
        <v>573</v>
      </c>
      <c r="D2555" s="2" t="str">
        <f t="shared" si="38"/>
        <v>Error?</v>
      </c>
    </row>
    <row r="2556" spans="1:4" x14ac:dyDescent="0.2">
      <c r="A2556" s="5">
        <v>2495</v>
      </c>
      <c r="B2556" s="138">
        <f>'Acct Summary 7-8'!C12</f>
        <v>5033949</v>
      </c>
      <c r="C2556" s="2" t="s">
        <v>573</v>
      </c>
      <c r="D2556" s="2" t="str">
        <f t="shared" si="38"/>
        <v>Error?</v>
      </c>
    </row>
    <row r="2557" spans="1:4" x14ac:dyDescent="0.2">
      <c r="A2557" s="5">
        <v>2496</v>
      </c>
      <c r="B2557" s="138">
        <f>'Acct Summary 7-8'!C13</f>
        <v>1425733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222286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6681968</v>
      </c>
      <c r="C2561" s="2" t="s">
        <v>573</v>
      </c>
      <c r="D2561" s="2" t="str">
        <f t="shared" si="39"/>
        <v>Error?</v>
      </c>
    </row>
    <row r="2562" spans="1:4" x14ac:dyDescent="0.2">
      <c r="A2562" s="5">
        <v>2501</v>
      </c>
      <c r="B2562" s="138">
        <f>'Acct Summary 7-8'!C20</f>
        <v>34438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519822</v>
      </c>
      <c r="C2564" s="2" t="s">
        <v>573</v>
      </c>
      <c r="D2564" s="2" t="str">
        <f t="shared" si="39"/>
        <v>Error?</v>
      </c>
    </row>
    <row r="2565" spans="1:4" x14ac:dyDescent="0.2">
      <c r="A2565" s="10">
        <v>2504</v>
      </c>
      <c r="D2565" s="2" t="str">
        <f t="shared" si="39"/>
        <v>OK</v>
      </c>
    </row>
    <row r="2566" spans="1:4" x14ac:dyDescent="0.2">
      <c r="A2566" s="5">
        <v>2505</v>
      </c>
      <c r="B2566" s="138">
        <f>'Acct Summary 7-8'!D6</f>
        <v>105000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624822</v>
      </c>
      <c r="C2568" s="2" t="s">
        <v>573</v>
      </c>
      <c r="D2568" s="2" t="str">
        <f t="shared" si="39"/>
        <v>Error?</v>
      </c>
    </row>
    <row r="2569" spans="1:4" x14ac:dyDescent="0.2">
      <c r="A2569" s="5">
        <v>2508</v>
      </c>
      <c r="B2569" s="138">
        <f>'Acct Summary 7-8'!D13</f>
        <v>621566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621566</v>
      </c>
      <c r="C2573" s="2" t="s">
        <v>573</v>
      </c>
      <c r="D2573" s="2" t="str">
        <f t="shared" si="39"/>
        <v>Error?</v>
      </c>
    </row>
    <row r="2574" spans="1:4" x14ac:dyDescent="0.2">
      <c r="A2574" s="5">
        <v>2513</v>
      </c>
      <c r="B2574" s="138">
        <f>'Acct Summary 7-8'!D20</f>
        <v>3256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170522</v>
      </c>
      <c r="C2591" s="2" t="s">
        <v>573</v>
      </c>
      <c r="D2591" s="2" t="str">
        <f t="shared" si="39"/>
        <v>Error?</v>
      </c>
    </row>
    <row r="2592" spans="1:4" x14ac:dyDescent="0.2">
      <c r="A2592" s="10">
        <v>2531</v>
      </c>
      <c r="D2592" s="2" t="str">
        <f t="shared" si="39"/>
        <v>OK</v>
      </c>
    </row>
    <row r="2593" spans="1:4" x14ac:dyDescent="0.2">
      <c r="A2593" s="5">
        <v>2532</v>
      </c>
      <c r="B2593" s="138">
        <f>'Acct Summary 7-8'!F6</f>
        <v>373628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544150</v>
      </c>
      <c r="C2595" s="2" t="s">
        <v>573</v>
      </c>
      <c r="D2595" s="2" t="str">
        <f t="shared" si="39"/>
        <v>Error?</v>
      </c>
    </row>
    <row r="2596" spans="1:4" x14ac:dyDescent="0.2">
      <c r="A2596" s="5">
        <v>2535</v>
      </c>
      <c r="B2596" s="138">
        <f>'Acct Summary 7-8'!F13</f>
        <v>494013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494013</v>
      </c>
      <c r="C2600" s="2" t="s">
        <v>573</v>
      </c>
      <c r="D2600" s="2" t="str">
        <f t="shared" si="39"/>
        <v>Error?</v>
      </c>
    </row>
    <row r="2601" spans="1:4" x14ac:dyDescent="0.2">
      <c r="A2601" s="5">
        <v>2540</v>
      </c>
      <c r="B2601" s="138">
        <f>'Acct Summary 7-8'!F20</f>
        <v>50137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310479</v>
      </c>
      <c r="C2603" s="2" t="s">
        <v>573</v>
      </c>
      <c r="D2603" s="2" t="str">
        <f t="shared" si="39"/>
        <v>Error?</v>
      </c>
    </row>
    <row r="2604" spans="1:4" x14ac:dyDescent="0.2">
      <c r="A2604" s="5">
        <v>2543</v>
      </c>
      <c r="B2604" s="138">
        <f>'Acct Summary 7-8'!G6</f>
        <v>837</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311316</v>
      </c>
      <c r="C2606" s="2" t="s">
        <v>573</v>
      </c>
      <c r="D2606" s="2" t="str">
        <f t="shared" si="39"/>
        <v>Error?</v>
      </c>
    </row>
    <row r="2607" spans="1:4" x14ac:dyDescent="0.2">
      <c r="A2607" s="5">
        <v>2546</v>
      </c>
      <c r="B2607" s="138">
        <f>'Acct Summary 7-8'!G12</f>
        <v>121764</v>
      </c>
      <c r="C2607" s="2" t="s">
        <v>573</v>
      </c>
      <c r="D2607" s="2" t="str">
        <f t="shared" si="39"/>
        <v>Error?</v>
      </c>
    </row>
    <row r="2608" spans="1:4" x14ac:dyDescent="0.2">
      <c r="A2608" s="5">
        <v>2547</v>
      </c>
      <c r="B2608" s="138">
        <f>'Acct Summary 7-8'!G13</f>
        <v>150664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272428</v>
      </c>
      <c r="C2612" s="2" t="s">
        <v>573</v>
      </c>
      <c r="D2612" s="2" t="str">
        <f t="shared" si="39"/>
        <v>Error?</v>
      </c>
    </row>
    <row r="2613" spans="1:4" x14ac:dyDescent="0.2">
      <c r="A2613" s="5">
        <v>2552</v>
      </c>
      <c r="B2613" s="138">
        <f>'Acct Summary 7-8'!G20</f>
        <v>38888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408999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408999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302526</v>
      </c>
      <c r="C2634" s="2" t="s">
        <v>573</v>
      </c>
      <c r="D2634" s="2" t="str">
        <f t="shared" si="40"/>
        <v>Error?</v>
      </c>
    </row>
    <row r="2635" spans="1:4" x14ac:dyDescent="0.2">
      <c r="A2635" s="5">
        <v>2574</v>
      </c>
      <c r="B2635" s="138">
        <f>'Acct Summary 7-8'!E17</f>
        <v>302526</v>
      </c>
      <c r="C2635" s="2" t="s">
        <v>573</v>
      </c>
      <c r="D2635" s="2" t="str">
        <f t="shared" si="40"/>
        <v>Error?</v>
      </c>
    </row>
    <row r="2636" spans="1:4" x14ac:dyDescent="0.2">
      <c r="A2636" s="5">
        <v>2575</v>
      </c>
      <c r="B2636" s="138">
        <f>'Acct Summary 7-8'!E20</f>
        <v>106473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238227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238227</v>
      </c>
      <c r="C2658" s="2" t="s">
        <v>573</v>
      </c>
      <c r="D2658" s="2" t="str">
        <f t="shared" si="40"/>
        <v>Error?</v>
      </c>
    </row>
    <row r="2659" spans="1:4" x14ac:dyDescent="0.2">
      <c r="A2659" s="5">
        <v>2598</v>
      </c>
      <c r="B2659" s="138">
        <f>'Acct Summary 7-8'!H13</f>
        <v>93138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93138</v>
      </c>
      <c r="C2661" s="2" t="s">
        <v>573</v>
      </c>
      <c r="D2661" s="2" t="str">
        <f t="shared" si="40"/>
        <v>Error?</v>
      </c>
    </row>
    <row r="2662" spans="1:4" x14ac:dyDescent="0.2">
      <c r="A2662" s="5">
        <v>2601</v>
      </c>
      <c r="B2662" s="138">
        <f>'Acct Summary 7-8'!H20</f>
        <v>145089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222286</v>
      </c>
      <c r="C2789" s="2" t="s">
        <v>573</v>
      </c>
      <c r="D2789" s="2" t="str">
        <f t="shared" si="42"/>
        <v>Error?</v>
      </c>
    </row>
    <row r="2790" spans="1:4" x14ac:dyDescent="0.2">
      <c r="A2790" s="5">
        <v>2729</v>
      </c>
      <c r="B2790" s="138">
        <f>'Expenditures 15-22'!E102</f>
        <v>222286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731960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1022588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228769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1022588</v>
      </c>
      <c r="D2912" s="2" t="str">
        <f t="shared" si="44"/>
        <v>Error?</v>
      </c>
    </row>
    <row r="2913" spans="1:4" x14ac:dyDescent="0.2">
      <c r="A2913" s="5">
        <v>2852</v>
      </c>
      <c r="B2913" s="138">
        <f>'Assets-Liab 5-6'!I41</f>
        <v>1022588</v>
      </c>
      <c r="C2913" s="2" t="s">
        <v>573</v>
      </c>
      <c r="D2913" s="2" t="str">
        <f t="shared" si="44"/>
        <v>Error?</v>
      </c>
    </row>
    <row r="2914" spans="1:4" x14ac:dyDescent="0.2">
      <c r="A2914" s="5">
        <v>2853</v>
      </c>
      <c r="B2914" s="138">
        <f>'Assets-Liab 5-6'!L33</f>
        <v>228769</v>
      </c>
      <c r="D2914" s="2" t="str">
        <f t="shared" si="44"/>
        <v>Error?</v>
      </c>
    </row>
    <row r="2915" spans="1:4" x14ac:dyDescent="0.2">
      <c r="A2915" s="10">
        <v>2854</v>
      </c>
      <c r="D2915" s="2" t="str">
        <f t="shared" si="44"/>
        <v>OK</v>
      </c>
    </row>
    <row r="2916" spans="1:4" x14ac:dyDescent="0.2">
      <c r="A2916" s="5">
        <v>2855</v>
      </c>
      <c r="B2916" s="138">
        <f>'Assets-Liab 5-6'!L34</f>
        <v>228769</v>
      </c>
      <c r="C2916" s="2" t="s">
        <v>573</v>
      </c>
      <c r="D2916" s="2" t="str">
        <f t="shared" si="44"/>
        <v>Error?</v>
      </c>
    </row>
    <row r="2917" spans="1:4" x14ac:dyDescent="0.2">
      <c r="A2917" s="5">
        <v>2856</v>
      </c>
      <c r="B2917" s="138">
        <f>'Assets-Liab 5-6'!L41</f>
        <v>228769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222286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222286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129526</v>
      </c>
      <c r="D3055" s="2" t="str">
        <f t="shared" si="46"/>
        <v>Error?</v>
      </c>
    </row>
    <row r="3056" spans="1:4" x14ac:dyDescent="0.2">
      <c r="A3056" s="5">
        <v>2995</v>
      </c>
      <c r="B3056" s="138">
        <f>'Expenditures 15-22'!D10</f>
        <v>31457</v>
      </c>
      <c r="D3056" s="2" t="str">
        <f t="shared" si="46"/>
        <v>Error?</v>
      </c>
    </row>
    <row r="3057" spans="1:4" x14ac:dyDescent="0.2">
      <c r="A3057" s="5">
        <v>2996</v>
      </c>
      <c r="B3057" s="138">
        <f>'Expenditures 15-22'!E10</f>
        <v>4026</v>
      </c>
      <c r="D3057" s="2" t="str">
        <f t="shared" si="46"/>
        <v>Error?</v>
      </c>
    </row>
    <row r="3058" spans="1:4" x14ac:dyDescent="0.2">
      <c r="A3058" s="5">
        <v>2997</v>
      </c>
      <c r="B3058" s="138">
        <f>'Expenditures 15-22'!F10</f>
        <v>11223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176232</v>
      </c>
      <c r="C3062" s="2" t="s">
        <v>573</v>
      </c>
      <c r="D3062" s="2" t="str">
        <f t="shared" si="46"/>
        <v>Error?</v>
      </c>
    </row>
    <row r="3063" spans="1:4" x14ac:dyDescent="0.2">
      <c r="A3063" s="10">
        <v>3002</v>
      </c>
      <c r="D3063" s="2" t="str">
        <f t="shared" si="46"/>
        <v>OK</v>
      </c>
    </row>
    <row r="3064" spans="1:4" x14ac:dyDescent="0.2">
      <c r="A3064" s="5">
        <v>3003</v>
      </c>
      <c r="B3064" s="138">
        <f>'Expenditures 15-22'!D219</f>
        <v>6105</v>
      </c>
      <c r="D3064" s="2" t="str">
        <f t="shared" si="46"/>
        <v>Error?</v>
      </c>
    </row>
    <row r="3065" spans="1:4" x14ac:dyDescent="0.2">
      <c r="A3065" s="5">
        <v>3004</v>
      </c>
      <c r="B3065" s="138">
        <f>'Expenditures 15-22'!K219</f>
        <v>6105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42782</v>
      </c>
      <c r="C3225" s="2" t="s">
        <v>573</v>
      </c>
      <c r="D3225" s="2" t="str">
        <f t="shared" si="49"/>
        <v>Error?</v>
      </c>
    </row>
    <row r="3226" spans="1:4" x14ac:dyDescent="0.2">
      <c r="A3226" s="5">
        <v>3165</v>
      </c>
      <c r="B3226" s="138">
        <f>'Acct Summary 7-8'!I8</f>
        <v>42782</v>
      </c>
      <c r="C3226" s="2" t="s">
        <v>573</v>
      </c>
      <c r="D3226" s="2" t="str">
        <f t="shared" si="49"/>
        <v>Error?</v>
      </c>
    </row>
    <row r="3227" spans="1:4" x14ac:dyDescent="0.2">
      <c r="A3227" s="5">
        <v>3166</v>
      </c>
      <c r="B3227" s="138">
        <f>'Acct Summary 7-8'!I20</f>
        <v>42782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34438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3256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50137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38888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106473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145089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42782</v>
      </c>
      <c r="C3320" s="2" t="s">
        <v>573</v>
      </c>
      <c r="D3320" s="2" t="str">
        <f t="shared" si="50"/>
        <v>Error?</v>
      </c>
    </row>
    <row r="3321" spans="1:4" x14ac:dyDescent="0.2">
      <c r="A3321" s="5">
        <v>3260</v>
      </c>
      <c r="B3321" s="138">
        <f>'Acct Summary 7-8'!I79</f>
        <v>979806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1022588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708628</v>
      </c>
      <c r="D3366" s="2" t="str">
        <f t="shared" si="51"/>
        <v>Error?</v>
      </c>
    </row>
    <row r="3367" spans="1:4" x14ac:dyDescent="0.2">
      <c r="A3367" s="5">
        <v>3306</v>
      </c>
      <c r="B3367" s="138">
        <f>'Expenditures 15-22'!C19</f>
        <v>33255</v>
      </c>
      <c r="D3367" s="2" t="str">
        <f t="shared" si="51"/>
        <v>Error?</v>
      </c>
    </row>
    <row r="3368" spans="1:4" x14ac:dyDescent="0.2">
      <c r="A3368" s="5">
        <v>3307</v>
      </c>
      <c r="B3368" s="138">
        <f>'Expenditures 15-22'!D8</f>
        <v>160821</v>
      </c>
      <c r="D3368" s="2" t="str">
        <f t="shared" si="51"/>
        <v>Error?</v>
      </c>
    </row>
    <row r="3369" spans="1:4" x14ac:dyDescent="0.2">
      <c r="A3369" s="5">
        <v>3308</v>
      </c>
      <c r="B3369" s="138">
        <f>'Expenditures 15-22'!D19</f>
        <v>4889</v>
      </c>
      <c r="D3369" s="2" t="str">
        <f t="shared" si="51"/>
        <v>Error?</v>
      </c>
    </row>
    <row r="3370" spans="1:4" x14ac:dyDescent="0.2">
      <c r="A3370" s="5">
        <v>3309</v>
      </c>
      <c r="B3370" s="138">
        <f>'Expenditures 15-22'!E8</f>
        <v>8715</v>
      </c>
      <c r="D3370" s="2" t="str">
        <f t="shared" si="51"/>
        <v>Error?</v>
      </c>
    </row>
    <row r="3371" spans="1:4" x14ac:dyDescent="0.2">
      <c r="A3371" s="5">
        <v>3310</v>
      </c>
      <c r="B3371" s="138">
        <f>'Expenditures 15-22'!E19</f>
        <v>1716</v>
      </c>
      <c r="D3371" s="2" t="str">
        <f t="shared" si="51"/>
        <v>Error?</v>
      </c>
    </row>
    <row r="3372" spans="1:4" x14ac:dyDescent="0.2">
      <c r="A3372" s="5">
        <v>3311</v>
      </c>
      <c r="B3372" s="138">
        <f>'Expenditures 15-22'!F8</f>
        <v>14131</v>
      </c>
      <c r="D3372" s="2" t="str">
        <f t="shared" si="51"/>
        <v>Error?</v>
      </c>
    </row>
    <row r="3373" spans="1:4" x14ac:dyDescent="0.2">
      <c r="A3373" s="5">
        <v>3312</v>
      </c>
      <c r="B3373" s="138">
        <f>'Expenditures 15-22'!F19</f>
        <v>821</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2058</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892295</v>
      </c>
      <c r="C3380" s="2" t="s">
        <v>573</v>
      </c>
      <c r="D3380" s="2" t="str">
        <f t="shared" si="51"/>
        <v>Error?</v>
      </c>
    </row>
    <row r="3381" spans="1:4" x14ac:dyDescent="0.2">
      <c r="A3381" s="5">
        <v>3320</v>
      </c>
      <c r="B3381" s="138">
        <f>'Expenditures 15-22'!K19</f>
        <v>42739</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49876</v>
      </c>
      <c r="D3387" s="2" t="str">
        <f t="shared" si="51"/>
        <v>Error?</v>
      </c>
    </row>
    <row r="3388" spans="1:4" x14ac:dyDescent="0.2">
      <c r="A3388" s="5">
        <v>3327</v>
      </c>
      <c r="B3388" s="138">
        <f>'Expenditures 15-22'!D217</f>
        <v>44267</v>
      </c>
      <c r="D3388" s="2" t="str">
        <f t="shared" si="51"/>
        <v>Error?</v>
      </c>
    </row>
    <row r="3389" spans="1:4" x14ac:dyDescent="0.2">
      <c r="A3389" s="5">
        <v>3328</v>
      </c>
      <c r="B3389" s="138">
        <f>'Expenditures 15-22'!D228</f>
        <v>4862</v>
      </c>
      <c r="D3389" s="2" t="str">
        <f t="shared" si="51"/>
        <v>Error?</v>
      </c>
    </row>
    <row r="3390" spans="1:4" x14ac:dyDescent="0.2">
      <c r="A3390" s="5">
        <v>3329</v>
      </c>
      <c r="B3390" s="138">
        <f>'Expenditures 15-22'!K215</f>
        <v>49876</v>
      </c>
      <c r="C3390" s="2" t="s">
        <v>573</v>
      </c>
      <c r="D3390" s="2" t="str">
        <f t="shared" si="51"/>
        <v>Error?</v>
      </c>
    </row>
    <row r="3391" spans="1:4" x14ac:dyDescent="0.2">
      <c r="A3391" s="5">
        <v>3330</v>
      </c>
      <c r="B3391" s="138">
        <f>'Expenditures 15-22'!K217</f>
        <v>44267</v>
      </c>
      <c r="C3391" s="2" t="s">
        <v>573</v>
      </c>
      <c r="D3391" s="2" t="str">
        <f t="shared" ref="D3391:D3454" si="52">IF(ISBLANK(B3391),"OK",IF(A3391-B3391=0,"OK","Error?"))</f>
        <v>Error?</v>
      </c>
    </row>
    <row r="3392" spans="1:4" x14ac:dyDescent="0.2">
      <c r="A3392" s="5">
        <v>3331</v>
      </c>
      <c r="B3392" s="138">
        <f>'Expenditures 15-22'!K228</f>
        <v>4862</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1159</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993695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4712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15868</v>
      </c>
      <c r="D3417" s="2" t="str">
        <f t="shared" si="52"/>
        <v>Error?</v>
      </c>
    </row>
    <row r="3418" spans="1:4" x14ac:dyDescent="0.2">
      <c r="A3418" s="10">
        <v>3357</v>
      </c>
      <c r="D3418" s="2" t="str">
        <f t="shared" si="52"/>
        <v>OK</v>
      </c>
    </row>
    <row r="3419" spans="1:4" x14ac:dyDescent="0.2">
      <c r="A3419" s="5">
        <v>3358</v>
      </c>
      <c r="B3419" s="138">
        <f>'Assets-Liab 5-6'!F4</f>
        <v>51973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127269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295043</v>
      </c>
      <c r="D3425" s="2" t="str">
        <f t="shared" si="52"/>
        <v>Error?</v>
      </c>
    </row>
    <row r="3426" spans="1:4" x14ac:dyDescent="0.2">
      <c r="A3426" s="10">
        <v>3365</v>
      </c>
      <c r="D3426" s="2" t="str">
        <f t="shared" si="52"/>
        <v>OK</v>
      </c>
    </row>
    <row r="3427" spans="1:4" x14ac:dyDescent="0.2">
      <c r="A3427" s="5">
        <v>3366</v>
      </c>
      <c r="B3427" s="138">
        <f>'Assets-Liab 5-6'!I4</f>
        <v>290628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228769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150615</v>
      </c>
      <c r="C3446" s="2" t="s">
        <v>573</v>
      </c>
      <c r="D3446" s="2" t="str">
        <f t="shared" si="52"/>
        <v>Error?</v>
      </c>
    </row>
    <row r="3447" spans="1:4" x14ac:dyDescent="0.2">
      <c r="A3447" s="5">
        <v>3386</v>
      </c>
      <c r="B3447" s="138">
        <f>'Tax Sched 23'!D16</f>
        <v>150615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199773</v>
      </c>
      <c r="C3449" s="2" t="s">
        <v>573</v>
      </c>
      <c r="D3449" s="2" t="str">
        <f t="shared" si="52"/>
        <v>Error?</v>
      </c>
    </row>
    <row r="3450" spans="1:4" x14ac:dyDescent="0.2">
      <c r="A3450" s="5">
        <v>3389</v>
      </c>
      <c r="B3450" s="138">
        <f>'Tax Sched 23'!E16</f>
        <v>199773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385221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385620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385620</v>
      </c>
      <c r="D3567" s="2" t="str">
        <f t="shared" si="54"/>
        <v>Error?</v>
      </c>
    </row>
    <row r="3568" spans="1:4" x14ac:dyDescent="0.2">
      <c r="A3568" s="5">
        <v>3507</v>
      </c>
      <c r="B3568" s="138">
        <f>'Assets-Liab 5-6'!K41</f>
        <v>385620</v>
      </c>
      <c r="C3568" s="2" t="s">
        <v>573</v>
      </c>
      <c r="D3568" s="2" t="str">
        <f t="shared" si="54"/>
        <v>Error?</v>
      </c>
    </row>
    <row r="3569" spans="1:4" x14ac:dyDescent="0.2">
      <c r="A3569" s="5">
        <v>3508</v>
      </c>
      <c r="B3569" s="138">
        <f>'Acct Summary 7-8'!K4</f>
        <v>2004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2004</v>
      </c>
      <c r="C3571" s="2" t="s">
        <v>573</v>
      </c>
      <c r="D3571" s="2" t="str">
        <f t="shared" si="54"/>
        <v>Error?</v>
      </c>
    </row>
    <row r="3572" spans="1:4" x14ac:dyDescent="0.2">
      <c r="A3572" s="5">
        <v>3511</v>
      </c>
      <c r="B3572" s="138">
        <f>'Acct Summary 7-8'!K13</f>
        <v>32175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32175</v>
      </c>
      <c r="C3575" s="2" t="s">
        <v>573</v>
      </c>
      <c r="D3575" s="2" t="str">
        <f t="shared" si="54"/>
        <v>Error?</v>
      </c>
    </row>
    <row r="3576" spans="1:4" x14ac:dyDescent="0.2">
      <c r="A3576" s="5">
        <v>3515</v>
      </c>
      <c r="B3576" s="138">
        <f>'Acct Summary 7-8'!K20</f>
        <v>-30171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-30171</v>
      </c>
      <c r="C3588" s="2" t="s">
        <v>573</v>
      </c>
      <c r="D3588" s="2" t="str">
        <f t="shared" si="55"/>
        <v>Error?</v>
      </c>
    </row>
    <row r="3589" spans="1:4" x14ac:dyDescent="0.2">
      <c r="A3589" s="5">
        <v>3528</v>
      </c>
      <c r="B3589" s="138">
        <f>'Acct Summary 7-8'!K79</f>
        <v>415791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385620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1800</v>
      </c>
      <c r="D3631" s="2" t="str">
        <f t="shared" si="55"/>
        <v>Error?</v>
      </c>
    </row>
    <row r="3632" spans="1:4" x14ac:dyDescent="0.2">
      <c r="A3632" s="5">
        <v>3571</v>
      </c>
      <c r="B3632" s="138">
        <f>'Expenditures 15-22'!E349</f>
        <v>476</v>
      </c>
      <c r="D3632" s="2" t="str">
        <f t="shared" si="55"/>
        <v>Error?</v>
      </c>
    </row>
    <row r="3633" spans="1:4" x14ac:dyDescent="0.2">
      <c r="A3633" s="5">
        <v>3572</v>
      </c>
      <c r="B3633" s="138">
        <f>'Expenditures 15-22'!E350</f>
        <v>2276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2276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29899</v>
      </c>
      <c r="D3646" s="2" t="str">
        <f t="shared" si="55"/>
        <v>Error?</v>
      </c>
    </row>
    <row r="3647" spans="1:4" x14ac:dyDescent="0.2">
      <c r="A3647" s="5">
        <v>3586</v>
      </c>
      <c r="B3647" s="138">
        <f>'Expenditures 15-22'!G350</f>
        <v>29899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29899</v>
      </c>
      <c r="C3649" s="2" t="s">
        <v>573</v>
      </c>
      <c r="D3649" s="2" t="str">
        <f t="shared" si="56"/>
        <v>Error?</v>
      </c>
    </row>
    <row r="3650" spans="1:4" x14ac:dyDescent="0.2">
      <c r="A3650" s="5">
        <v>3589</v>
      </c>
      <c r="B3650" s="138">
        <f>'Expenditures 15-22'!G367</f>
        <v>29899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1800</v>
      </c>
      <c r="C3668" s="2" t="s">
        <v>573</v>
      </c>
      <c r="D3668" s="2" t="str">
        <f t="shared" si="56"/>
        <v>Error?</v>
      </c>
    </row>
    <row r="3669" spans="1:4" x14ac:dyDescent="0.2">
      <c r="A3669" s="5">
        <v>3608</v>
      </c>
      <c r="B3669" s="138">
        <f>'Expenditures 15-22'!K349</f>
        <v>30375</v>
      </c>
      <c r="C3669" s="2" t="s">
        <v>573</v>
      </c>
      <c r="D3669" s="2" t="str">
        <f t="shared" si="56"/>
        <v>Error?</v>
      </c>
    </row>
    <row r="3670" spans="1:4" x14ac:dyDescent="0.2">
      <c r="A3670" s="5">
        <v>3609</v>
      </c>
      <c r="B3670" s="138">
        <f>'Expenditures 15-22'!K350</f>
        <v>32175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32175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32175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-30171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38623</v>
      </c>
      <c r="C3725" s="2" t="s">
        <v>573</v>
      </c>
      <c r="D3725" s="2" t="str">
        <f t="shared" si="57"/>
        <v>Error?</v>
      </c>
    </row>
    <row r="3726" spans="1:4" x14ac:dyDescent="0.2">
      <c r="A3726" s="5">
        <v>3665</v>
      </c>
      <c r="B3726" s="138">
        <f>'Tax Sched 23'!D13</f>
        <v>38623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39664</v>
      </c>
      <c r="C3728" s="2" t="s">
        <v>573</v>
      </c>
      <c r="D3728" s="2" t="str">
        <f t="shared" si="57"/>
        <v>Error?</v>
      </c>
    </row>
    <row r="3729" spans="1:4" x14ac:dyDescent="0.2">
      <c r="A3729" s="5">
        <v>3668</v>
      </c>
      <c r="B3729" s="138">
        <f>'Tax Sched 23'!E13</f>
        <v>39664</v>
      </c>
      <c r="D3729" s="2" t="str">
        <f t="shared" si="57"/>
        <v>Error?</v>
      </c>
    </row>
    <row r="3730" spans="1:4" x14ac:dyDescent="0.2">
      <c r="A3730" s="5">
        <v>3669</v>
      </c>
      <c r="B3730" s="138">
        <f>'ICR Computation 30'!E10</f>
        <v>194337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2902706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9619112</v>
      </c>
      <c r="C4122" s="2" t="s">
        <v>573</v>
      </c>
      <c r="D4122" s="2" t="str">
        <f t="shared" si="63"/>
        <v>Error?</v>
      </c>
    </row>
    <row r="4123" spans="1:4" x14ac:dyDescent="0.2">
      <c r="A4123" s="5">
        <v>4062</v>
      </c>
      <c r="B4123" s="138">
        <f>'Acct Summary 7-8'!D10</f>
        <v>624822</v>
      </c>
      <c r="C4123" s="2" t="s">
        <v>573</v>
      </c>
      <c r="D4123" s="2" t="str">
        <f t="shared" si="63"/>
        <v>Error?</v>
      </c>
    </row>
    <row r="4124" spans="1:4" x14ac:dyDescent="0.2">
      <c r="A4124" s="5">
        <v>4063</v>
      </c>
      <c r="B4124" s="138">
        <f>'Acct Summary 7-8'!E10</f>
        <v>408999</v>
      </c>
      <c r="C4124" s="2" t="s">
        <v>573</v>
      </c>
      <c r="D4124" s="2" t="str">
        <f t="shared" si="63"/>
        <v>Error?</v>
      </c>
    </row>
    <row r="4125" spans="1:4" x14ac:dyDescent="0.2">
      <c r="A4125" s="5">
        <v>4064</v>
      </c>
      <c r="B4125" s="138">
        <f>'Acct Summary 7-8'!F10</f>
        <v>544150</v>
      </c>
      <c r="C4125" s="2" t="s">
        <v>573</v>
      </c>
      <c r="D4125" s="2" t="str">
        <f t="shared" si="63"/>
        <v>Error?</v>
      </c>
    </row>
    <row r="4126" spans="1:4" x14ac:dyDescent="0.2">
      <c r="A4126" s="5">
        <v>4065</v>
      </c>
      <c r="B4126" s="138">
        <f>'Acct Summary 7-8'!G10</f>
        <v>311316</v>
      </c>
      <c r="C4126" s="2" t="s">
        <v>573</v>
      </c>
      <c r="D4126" s="2" t="str">
        <f t="shared" si="63"/>
        <v>Error?</v>
      </c>
    </row>
    <row r="4127" spans="1:4" x14ac:dyDescent="0.2">
      <c r="A4127" s="5">
        <v>4066</v>
      </c>
      <c r="B4127" s="138">
        <f>'Acct Summary 7-8'!H10</f>
        <v>238227</v>
      </c>
      <c r="C4127" s="2" t="s">
        <v>573</v>
      </c>
      <c r="D4127" s="2" t="str">
        <f t="shared" si="63"/>
        <v>Error?</v>
      </c>
    </row>
    <row r="4128" spans="1:4" x14ac:dyDescent="0.2">
      <c r="A4128" s="5">
        <v>4067</v>
      </c>
      <c r="B4128" s="138">
        <f>'Acct Summary 7-8'!I10</f>
        <v>42782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2004</v>
      </c>
      <c r="C4130" s="2" t="s">
        <v>573</v>
      </c>
      <c r="D4130" s="2" t="str">
        <f t="shared" si="63"/>
        <v>Error?</v>
      </c>
    </row>
    <row r="4131" spans="1:4" x14ac:dyDescent="0.2">
      <c r="A4131" s="5">
        <v>4070</v>
      </c>
      <c r="B4131" s="138">
        <f>'Acct Summary 7-8'!C18</f>
        <v>2902706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9584674</v>
      </c>
      <c r="C4136" s="2" t="s">
        <v>573</v>
      </c>
      <c r="D4136" s="2" t="str">
        <f t="shared" si="63"/>
        <v>Error?</v>
      </c>
    </row>
    <row r="4137" spans="1:4" x14ac:dyDescent="0.2">
      <c r="A4137" s="5">
        <v>4076</v>
      </c>
      <c r="B4137" s="138">
        <f>'Acct Summary 7-8'!D19</f>
        <v>621566</v>
      </c>
      <c r="C4137" s="2" t="s">
        <v>573</v>
      </c>
      <c r="D4137" s="2" t="str">
        <f t="shared" si="63"/>
        <v>Error?</v>
      </c>
    </row>
    <row r="4138" spans="1:4" x14ac:dyDescent="0.2">
      <c r="A4138" s="5">
        <v>4077</v>
      </c>
      <c r="B4138" s="138">
        <f>'Acct Summary 7-8'!E19</f>
        <v>302526</v>
      </c>
      <c r="C4138" s="2" t="s">
        <v>573</v>
      </c>
      <c r="D4138" s="2" t="str">
        <f t="shared" si="63"/>
        <v>Error?</v>
      </c>
    </row>
    <row r="4139" spans="1:4" x14ac:dyDescent="0.2">
      <c r="A4139" s="5">
        <v>4078</v>
      </c>
      <c r="B4139" s="138">
        <f>'Acct Summary 7-8'!F19</f>
        <v>494013</v>
      </c>
      <c r="C4139" s="2" t="s">
        <v>573</v>
      </c>
      <c r="D4139" s="2" t="str">
        <f t="shared" si="63"/>
        <v>Error?</v>
      </c>
    </row>
    <row r="4140" spans="1:4" x14ac:dyDescent="0.2">
      <c r="A4140" s="5">
        <v>4079</v>
      </c>
      <c r="B4140" s="138">
        <f>'Acct Summary 7-8'!G19</f>
        <v>272428</v>
      </c>
      <c r="C4140" s="2" t="s">
        <v>573</v>
      </c>
      <c r="D4140" s="2" t="str">
        <f t="shared" si="63"/>
        <v>Error?</v>
      </c>
    </row>
    <row r="4141" spans="1:4" x14ac:dyDescent="0.2">
      <c r="A4141" s="5">
        <v>4080</v>
      </c>
      <c r="B4141" s="138">
        <f>'Acct Summary 7-8'!H19</f>
        <v>93138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32175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1098907</v>
      </c>
      <c r="C4171" s="2" t="s">
        <v>573</v>
      </c>
      <c r="D4171" s="2" t="str">
        <f t="shared" si="64"/>
        <v>Error?</v>
      </c>
    </row>
    <row r="4172" spans="1:4" x14ac:dyDescent="0.2">
      <c r="A4172" s="5">
        <v>4111</v>
      </c>
      <c r="B4172" s="138">
        <f>'Short-Term Long-Term Debt 24'!J49</f>
        <v>663758</v>
      </c>
      <c r="C4172" s="2" t="s">
        <v>573</v>
      </c>
      <c r="D4172" s="2" t="str">
        <f t="shared" si="64"/>
        <v>Error?</v>
      </c>
    </row>
    <row r="4173" spans="1:4" x14ac:dyDescent="0.2">
      <c r="A4173" s="5">
        <v>4112</v>
      </c>
      <c r="B4173" s="138">
        <f>'Short-Term Long-Term Debt 24'!H49</f>
        <v>290000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2540</v>
      </c>
      <c r="C4268" s="2" t="s">
        <v>573</v>
      </c>
      <c r="D4268" s="2" t="str">
        <f t="shared" si="65"/>
        <v>Error?</v>
      </c>
    </row>
    <row r="4269" spans="1:5" x14ac:dyDescent="0.2">
      <c r="A4269" s="12">
        <v>4208</v>
      </c>
      <c r="B4269" s="138">
        <f>'FP Info 3'!J16</f>
        <v>2708114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16058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66482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8519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34862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372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79328523</v>
      </c>
      <c r="D4995" s="2" t="str">
        <f t="shared" si="77"/>
        <v>Error?</v>
      </c>
    </row>
    <row r="4996" spans="1:4" x14ac:dyDescent="0.2">
      <c r="A4996" s="12">
        <v>4935</v>
      </c>
      <c r="B4996" s="138">
        <f>'FP Info 3'!H31</f>
        <v>10947336.174000001</v>
      </c>
      <c r="D4996" s="2" t="str">
        <f t="shared" si="77"/>
        <v>Error?</v>
      </c>
    </row>
    <row r="4997" spans="1:4" x14ac:dyDescent="0.2">
      <c r="A4997" s="12">
        <v>4936</v>
      </c>
      <c r="B4997" s="138">
        <f>'FP Info 3'!H37</f>
        <v>1098907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38622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1421314</v>
      </c>
      <c r="D5061" s="2" t="str">
        <f t="shared" si="78"/>
        <v>Error?</v>
      </c>
    </row>
    <row r="5062" spans="1:4" x14ac:dyDescent="0.2">
      <c r="A5062" s="10">
        <v>5001</v>
      </c>
      <c r="D5062" s="2" t="str">
        <f t="shared" si="78"/>
        <v>OK</v>
      </c>
    </row>
    <row r="5063" spans="1:4" x14ac:dyDescent="0.2">
      <c r="A5063" s="5">
        <v>5002</v>
      </c>
      <c r="B5063" s="138">
        <f>'Revenues 9-14'!C7</f>
        <v>30898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1490834</v>
      </c>
      <c r="C5066" s="2" t="s">
        <v>573</v>
      </c>
      <c r="D5066" s="2" t="str">
        <f t="shared" si="78"/>
        <v>Error?</v>
      </c>
    </row>
    <row r="5067" spans="1:4" x14ac:dyDescent="0.2">
      <c r="A5067" s="5">
        <v>5006</v>
      </c>
      <c r="B5067" s="138">
        <f>'Revenues 9-14'!C14</f>
        <v>6113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48145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54258</v>
      </c>
      <c r="C5071" s="2" t="s">
        <v>573</v>
      </c>
      <c r="D5071" s="2" t="str">
        <f t="shared" si="78"/>
        <v>Error?</v>
      </c>
    </row>
    <row r="5072" spans="1:4" x14ac:dyDescent="0.2">
      <c r="A5072" s="5">
        <v>5011</v>
      </c>
      <c r="B5072" s="138">
        <f>'Revenues 9-14'!C20</f>
        <v>6997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6997</v>
      </c>
      <c r="C5087" s="2" t="s">
        <v>573</v>
      </c>
      <c r="D5087" s="2" t="str">
        <f t="shared" si="78"/>
        <v>Error?</v>
      </c>
    </row>
    <row r="5088" spans="1:4" x14ac:dyDescent="0.2">
      <c r="A5088" s="5">
        <v>5027</v>
      </c>
      <c r="B5088" s="138">
        <f>'Revenues 9-14'!C65</f>
        <v>12381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12381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1722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1025</v>
      </c>
      <c r="D5094" s="2" t="str">
        <f t="shared" si="78"/>
        <v>Error?</v>
      </c>
    </row>
    <row r="5095" spans="1:4" x14ac:dyDescent="0.2">
      <c r="A5095" s="5">
        <v>5034</v>
      </c>
      <c r="B5095" s="138">
        <f>'Revenues 9-14'!C74</f>
        <v>1015</v>
      </c>
      <c r="D5095" s="2" t="str">
        <f t="shared" si="78"/>
        <v>Error?</v>
      </c>
    </row>
    <row r="5096" spans="1:4" x14ac:dyDescent="0.2">
      <c r="A5096" s="5">
        <v>5035</v>
      </c>
      <c r="B5096" s="138">
        <f>'Revenues 9-14'!C75</f>
        <v>160790</v>
      </c>
      <c r="C5096" s="2" t="s">
        <v>573</v>
      </c>
      <c r="D5096" s="2" t="str">
        <f t="shared" si="78"/>
        <v>Error?</v>
      </c>
    </row>
    <row r="5097" spans="1:4" x14ac:dyDescent="0.2">
      <c r="A5097" s="5">
        <v>5036</v>
      </c>
      <c r="B5097" s="138">
        <f>'Revenues 9-14'!C77</f>
        <v>38578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19340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57918</v>
      </c>
      <c r="C5102" s="2" t="s">
        <v>573</v>
      </c>
      <c r="D5102" s="2" t="str">
        <f t="shared" si="78"/>
        <v>Error?</v>
      </c>
    </row>
    <row r="5103" spans="1:4" x14ac:dyDescent="0.2">
      <c r="A5103" s="5">
        <v>5042</v>
      </c>
      <c r="B5103" s="138">
        <f>'Revenues 9-14'!C84</f>
        <v>40920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40920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158257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1188</v>
      </c>
      <c r="D5119" s="2" t="str">
        <f t="shared" ref="D5119:D5182" si="79">IF(ISBLANK(B5119),"OK",IF(A5119-B5119=0,"OK","Error?"))</f>
        <v>Error?</v>
      </c>
    </row>
    <row r="5120" spans="1:4" x14ac:dyDescent="0.2">
      <c r="A5120" s="5">
        <v>5059</v>
      </c>
      <c r="B5120" s="138">
        <f>'Revenues 9-14'!C108</f>
        <v>165317</v>
      </c>
      <c r="C5120" s="2" t="s">
        <v>573</v>
      </c>
      <c r="D5120" s="2" t="str">
        <f t="shared" si="79"/>
        <v>Error?</v>
      </c>
    </row>
    <row r="5121" spans="1:4" x14ac:dyDescent="0.2">
      <c r="A5121" s="5">
        <v>5060</v>
      </c>
      <c r="B5121" s="138">
        <f>'Revenues 9-14'!C109</f>
        <v>1989415</v>
      </c>
      <c r="C5121" s="2" t="s">
        <v>573</v>
      </c>
      <c r="D5121" s="2" t="str">
        <f t="shared" si="79"/>
        <v>Error?</v>
      </c>
    </row>
    <row r="5122" spans="1:4" x14ac:dyDescent="0.2">
      <c r="A5122" s="5">
        <v>5061</v>
      </c>
      <c r="B5122" s="138">
        <f>'Revenues 9-14'!C111</f>
        <v>1159</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1159</v>
      </c>
      <c r="C5125" s="2" t="s">
        <v>573</v>
      </c>
      <c r="D5125" s="2" t="str">
        <f t="shared" si="79"/>
        <v>Error?</v>
      </c>
    </row>
    <row r="5126" spans="1:4" x14ac:dyDescent="0.2">
      <c r="A5126" s="5">
        <v>5065</v>
      </c>
      <c r="B5126" s="138">
        <f>'Revenues 9-14'!C117</f>
        <v>4052258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4052258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38684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38684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25163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55448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3165</v>
      </c>
      <c r="D5167" s="2" t="str">
        <f t="shared" si="79"/>
        <v>Error?</v>
      </c>
    </row>
    <row r="5168" spans="1:4" x14ac:dyDescent="0.2">
      <c r="A5168" s="5">
        <v>5107</v>
      </c>
      <c r="B5168" s="138">
        <f>'Revenues 9-14'!C148</f>
        <v>12985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43527</v>
      </c>
      <c r="D5194" s="2" t="str">
        <f t="shared" si="80"/>
        <v>Error?</v>
      </c>
    </row>
    <row r="5195" spans="1:5" x14ac:dyDescent="0.2">
      <c r="A5195" s="10">
        <v>5134</v>
      </c>
      <c r="D5195" s="2" t="str">
        <f t="shared" si="80"/>
        <v>OK</v>
      </c>
    </row>
    <row r="5196" spans="1:5" x14ac:dyDescent="0.2">
      <c r="A5196" s="5">
        <v>5135</v>
      </c>
      <c r="B5196" s="138">
        <f>'Revenues 9-14'!C159</f>
        <v>10682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166091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4218349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167779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26558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194337</v>
      </c>
      <c r="C5246" s="2" t="s">
        <v>573</v>
      </c>
      <c r="D5246" s="2" t="str">
        <f t="shared" si="80"/>
        <v>Error?</v>
      </c>
    </row>
    <row r="5247" spans="1:4" x14ac:dyDescent="0.2">
      <c r="A5247" s="5">
        <v>5186</v>
      </c>
      <c r="B5247" s="138">
        <f>'Revenues 9-14'!C200</f>
        <v>182339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8519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182339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4886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4886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507483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507483</v>
      </c>
      <c r="C5326" s="2" t="s">
        <v>573</v>
      </c>
      <c r="D5326" s="2" t="str">
        <f t="shared" si="82"/>
        <v>Error?</v>
      </c>
    </row>
    <row r="5327" spans="1:5" x14ac:dyDescent="0.2">
      <c r="A5327" s="5">
        <v>5266</v>
      </c>
      <c r="B5327" s="138">
        <f>'Revenues 9-14'!C268</f>
        <v>6716406</v>
      </c>
      <c r="C5327" s="2" t="s">
        <v>573</v>
      </c>
      <c r="D5327" s="2" t="str">
        <f t="shared" si="82"/>
        <v>Error?</v>
      </c>
    </row>
    <row r="5328" spans="1:5" x14ac:dyDescent="0.2">
      <c r="A5328" s="5">
        <v>5267</v>
      </c>
      <c r="B5328" s="138">
        <f>'Revenues 9-14'!D5</f>
        <v>386226</v>
      </c>
      <c r="D5328" s="2" t="str">
        <f t="shared" si="82"/>
        <v>Error?</v>
      </c>
    </row>
    <row r="5329" spans="1:4" x14ac:dyDescent="0.2">
      <c r="A5329" s="10">
        <v>5268</v>
      </c>
      <c r="D5329" s="2" t="str">
        <f t="shared" si="82"/>
        <v>OK</v>
      </c>
    </row>
    <row r="5330" spans="1:4" x14ac:dyDescent="0.2">
      <c r="A5330" s="5">
        <v>5269</v>
      </c>
      <c r="B5330" s="138">
        <f>'Revenues 9-14'!D6</f>
        <v>1</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386227</v>
      </c>
      <c r="C5334" s="2" t="s">
        <v>573</v>
      </c>
      <c r="D5334" s="2" t="str">
        <f t="shared" si="82"/>
        <v>Error?</v>
      </c>
    </row>
    <row r="5335" spans="1:4" x14ac:dyDescent="0.2">
      <c r="A5335" s="5">
        <v>5274</v>
      </c>
      <c r="B5335" s="138">
        <f>'Revenues 9-14'!D14</f>
        <v>1584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126423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128007</v>
      </c>
      <c r="C5339" s="2" t="s">
        <v>573</v>
      </c>
      <c r="D5339" s="2" t="str">
        <f t="shared" si="82"/>
        <v>Error?</v>
      </c>
    </row>
    <row r="5340" spans="1:4" x14ac:dyDescent="0.2">
      <c r="A5340" s="5">
        <v>5279</v>
      </c>
      <c r="B5340" s="138">
        <f>'Revenues 9-14'!D65</f>
        <v>58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3543</v>
      </c>
      <c r="D5349" s="2" t="str">
        <f t="shared" si="82"/>
        <v>Error?</v>
      </c>
    </row>
    <row r="5350" spans="1:4" x14ac:dyDescent="0.2">
      <c r="A5350" s="5">
        <v>5289</v>
      </c>
      <c r="B5350" s="138">
        <f>'Revenues 9-14'!D96</f>
        <v>922</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1065</v>
      </c>
      <c r="D5354" s="2" t="str">
        <f t="shared" si="82"/>
        <v>Error?</v>
      </c>
    </row>
    <row r="5355" spans="1:4" x14ac:dyDescent="0.2">
      <c r="A5355" s="5">
        <v>5294</v>
      </c>
      <c r="B5355" s="138">
        <f>'Revenues 9-14'!D108</f>
        <v>5530</v>
      </c>
      <c r="C5355" s="2" t="s">
        <v>573</v>
      </c>
      <c r="D5355" s="2" t="str">
        <f t="shared" si="82"/>
        <v>Error?</v>
      </c>
    </row>
    <row r="5356" spans="1:4" x14ac:dyDescent="0.2">
      <c r="A5356" s="5">
        <v>5295</v>
      </c>
      <c r="B5356" s="138">
        <f>'Revenues 9-14'!D109</f>
        <v>519822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624822</v>
      </c>
      <c r="C5508" s="2" t="s">
        <v>573</v>
      </c>
      <c r="D5508" s="2" t="str">
        <f t="shared" si="85"/>
        <v>Error?</v>
      </c>
    </row>
    <row r="5509" spans="1:4" x14ac:dyDescent="0.2">
      <c r="A5509" s="5">
        <v>5448</v>
      </c>
      <c r="B5509" s="138">
        <f>'Revenues 9-14'!E5</f>
        <v>301624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301624</v>
      </c>
      <c r="C5513" s="2" t="s">
        <v>573</v>
      </c>
      <c r="D5513" s="2" t="str">
        <f t="shared" si="85"/>
        <v>Error?</v>
      </c>
    </row>
    <row r="5514" spans="1:4" x14ac:dyDescent="0.2">
      <c r="A5514" s="5">
        <v>5453</v>
      </c>
      <c r="B5514" s="138">
        <f>'Revenues 9-14'!E14</f>
        <v>1674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1674</v>
      </c>
      <c r="C5518" s="2" t="s">
        <v>573</v>
      </c>
      <c r="D5518" s="2" t="str">
        <f t="shared" si="85"/>
        <v>Error?</v>
      </c>
    </row>
    <row r="5519" spans="1:4" x14ac:dyDescent="0.2">
      <c r="A5519" s="5">
        <v>5458</v>
      </c>
      <c r="B5519" s="138">
        <f>'Revenues 9-14'!E65</f>
        <v>5701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5701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100000</v>
      </c>
      <c r="C5526" s="2" t="s">
        <v>573</v>
      </c>
      <c r="D5526" s="2" t="str">
        <f t="shared" si="85"/>
        <v>Error?</v>
      </c>
    </row>
    <row r="5527" spans="1:4" x14ac:dyDescent="0.2">
      <c r="A5527" s="5">
        <v>5466</v>
      </c>
      <c r="B5527" s="138">
        <f>'Revenues 9-14'!E109</f>
        <v>408999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408999</v>
      </c>
      <c r="C5552" s="2" t="s">
        <v>573</v>
      </c>
      <c r="D5552" s="2" t="str">
        <f t="shared" si="85"/>
        <v>Error?</v>
      </c>
    </row>
    <row r="5553" spans="1:4" x14ac:dyDescent="0.2">
      <c r="A5553" s="5">
        <v>5492</v>
      </c>
      <c r="B5553" s="138">
        <f>'Revenues 9-14'!F5</f>
        <v>154490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154490</v>
      </c>
      <c r="C5557" s="2" t="s">
        <v>573</v>
      </c>
      <c r="D5557" s="2" t="str">
        <f t="shared" si="85"/>
        <v>Error?</v>
      </c>
    </row>
    <row r="5558" spans="1:4" x14ac:dyDescent="0.2">
      <c r="A5558" s="5">
        <v>5497</v>
      </c>
      <c r="B5558" s="138">
        <f>'Revenues 9-14'!F14</f>
        <v>634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634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10724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10724</v>
      </c>
      <c r="C5579" s="2" t="s">
        <v>573</v>
      </c>
      <c r="D5579" s="2" t="str">
        <f t="shared" si="86"/>
        <v>Error?</v>
      </c>
    </row>
    <row r="5580" spans="1:4" x14ac:dyDescent="0.2">
      <c r="A5580" s="5">
        <v>5519</v>
      </c>
      <c r="B5580" s="138">
        <f>'Revenues 9-14'!F65</f>
        <v>41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4633</v>
      </c>
      <c r="D5586" s="2" t="str">
        <f t="shared" si="86"/>
        <v>Error?</v>
      </c>
    </row>
    <row r="5587" spans="1:4" x14ac:dyDescent="0.2">
      <c r="A5587" s="5">
        <v>5526</v>
      </c>
      <c r="B5587" s="138">
        <f>'Revenues 9-14'!F108</f>
        <v>4633</v>
      </c>
      <c r="C5587" s="2" t="s">
        <v>573</v>
      </c>
      <c r="D5587" s="2" t="str">
        <f t="shared" si="86"/>
        <v>Error?</v>
      </c>
    </row>
    <row r="5588" spans="1:4" x14ac:dyDescent="0.2">
      <c r="A5588" s="5">
        <v>5527</v>
      </c>
      <c r="B5588" s="138">
        <f>'Revenues 9-14'!F109</f>
        <v>170522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221274</v>
      </c>
      <c r="D5615" s="2" t="str">
        <f t="shared" si="86"/>
        <v>Error?</v>
      </c>
    </row>
    <row r="5616" spans="1:4" x14ac:dyDescent="0.2">
      <c r="A5616" s="10">
        <v>5555</v>
      </c>
      <c r="D5616" s="2" t="str">
        <f t="shared" si="86"/>
        <v>OK</v>
      </c>
    </row>
    <row r="5617" spans="1:5" x14ac:dyDescent="0.2">
      <c r="A5617" s="5">
        <v>5556</v>
      </c>
      <c r="B5617" s="138">
        <f>'Revenues 9-14'!F153</f>
        <v>152354</v>
      </c>
      <c r="D5617" s="2" t="str">
        <f t="shared" si="86"/>
        <v>Error?</v>
      </c>
    </row>
    <row r="5618" spans="1:5" x14ac:dyDescent="0.2">
      <c r="A5618" s="5">
        <v>5557</v>
      </c>
      <c r="B5618" s="138">
        <f>'Revenues 9-14'!F155</f>
        <v>373628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373628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373628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544150</v>
      </c>
      <c r="C5720" s="2" t="s">
        <v>573</v>
      </c>
      <c r="D5720" s="2" t="str">
        <f t="shared" si="88"/>
        <v>Error?</v>
      </c>
    </row>
    <row r="5721" spans="1:4" x14ac:dyDescent="0.2">
      <c r="A5721" s="5">
        <v>5660</v>
      </c>
      <c r="B5721" s="138">
        <f>'Revenues 9-14'!G5</f>
        <v>150615</v>
      </c>
      <c r="D5721" s="2" t="str">
        <f t="shared" si="88"/>
        <v>Error?</v>
      </c>
    </row>
    <row r="5722" spans="1:4" x14ac:dyDescent="0.2">
      <c r="A5722" s="5">
        <v>5661</v>
      </c>
      <c r="B5722" s="138">
        <f>'Revenues 9-14'!G7</f>
        <v>0</v>
      </c>
      <c r="D5722" s="2" t="str">
        <f t="shared" si="88"/>
        <v>Error?</v>
      </c>
    </row>
    <row r="5723" spans="1:4" x14ac:dyDescent="0.2">
      <c r="A5723" s="5">
        <v>5662</v>
      </c>
      <c r="B5723" s="138">
        <f>'Revenues 9-14'!G8</f>
        <v>150615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301230</v>
      </c>
      <c r="C5725" s="2" t="s">
        <v>573</v>
      </c>
      <c r="D5725" s="2" t="str">
        <f t="shared" si="88"/>
        <v>Error?</v>
      </c>
    </row>
    <row r="5726" spans="1:4" x14ac:dyDescent="0.2">
      <c r="A5726" s="5">
        <v>5665</v>
      </c>
      <c r="B5726" s="138">
        <f>'Revenues 9-14'!G14</f>
        <v>1277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7006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8283</v>
      </c>
      <c r="C5730" s="2" t="s">
        <v>573</v>
      </c>
      <c r="D5730" s="2" t="str">
        <f t="shared" si="88"/>
        <v>Error?</v>
      </c>
    </row>
    <row r="5731" spans="1:4" x14ac:dyDescent="0.2">
      <c r="A5731" s="5">
        <v>5670</v>
      </c>
      <c r="B5731" s="138">
        <f>'Revenues 9-14'!G65</f>
        <v>966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966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837</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837</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837</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311316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261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700</v>
      </c>
      <c r="D5885" s="2" t="str">
        <f t="shared" si="90"/>
        <v>Error?</v>
      </c>
    </row>
    <row r="5886" spans="1:4" x14ac:dyDescent="0.2">
      <c r="A5886" s="5">
        <v>5825</v>
      </c>
      <c r="B5886" s="138">
        <f>'Revenues 9-14'!H108</f>
        <v>237966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238227</v>
      </c>
      <c r="C5915" s="2" t="s">
        <v>573</v>
      </c>
      <c r="D5915" s="2" t="str">
        <f t="shared" si="91"/>
        <v>Error?</v>
      </c>
    </row>
    <row r="5916" spans="1:4" x14ac:dyDescent="0.2">
      <c r="A5916" s="5">
        <v>5855</v>
      </c>
      <c r="B5916" s="138">
        <f>'Revenues 9-14'!I5</f>
        <v>38623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38623</v>
      </c>
      <c r="C5918" s="2" t="s">
        <v>573</v>
      </c>
      <c r="D5918" s="2" t="str">
        <f t="shared" si="91"/>
        <v>Error?</v>
      </c>
    </row>
    <row r="5919" spans="1:4" x14ac:dyDescent="0.2">
      <c r="A5919" s="5">
        <v>5858</v>
      </c>
      <c r="B5919" s="138">
        <f>'Revenues 9-14'!I14</f>
        <v>159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159</v>
      </c>
      <c r="C5923" s="2" t="s">
        <v>573</v>
      </c>
      <c r="D5923" s="2" t="str">
        <f t="shared" si="91"/>
        <v>Error?</v>
      </c>
    </row>
    <row r="5924" spans="1:4" x14ac:dyDescent="0.2">
      <c r="A5924" s="5">
        <v>5863</v>
      </c>
      <c r="B5924" s="138">
        <f>'Revenues 9-14'!I65</f>
        <v>4000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4000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42782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2004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2004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2004</v>
      </c>
      <c r="C6023" s="2" t="s">
        <v>573</v>
      </c>
      <c r="D6023" s="2" t="str">
        <f t="shared" si="93"/>
        <v>Error?</v>
      </c>
    </row>
    <row r="6024" spans="1:5" x14ac:dyDescent="0.2">
      <c r="A6024" s="5">
        <v>5963</v>
      </c>
      <c r="B6024" s="138">
        <f>'Revenues 9-14'!G109</f>
        <v>310479</v>
      </c>
      <c r="C6024" s="2" t="s">
        <v>573</v>
      </c>
      <c r="D6024" s="2" t="str">
        <f t="shared" si="93"/>
        <v>Error?</v>
      </c>
    </row>
    <row r="6025" spans="1:5" x14ac:dyDescent="0.2">
      <c r="A6025" s="5">
        <v>5964</v>
      </c>
      <c r="B6025" s="138">
        <f>'Revenues 9-14'!H109</f>
        <v>238227</v>
      </c>
      <c r="C6025" s="2" t="s">
        <v>573</v>
      </c>
      <c r="D6025" s="2" t="str">
        <f t="shared" si="93"/>
        <v>Error?</v>
      </c>
    </row>
    <row r="6026" spans="1:5" x14ac:dyDescent="0.2">
      <c r="A6026" s="5">
        <v>5965</v>
      </c>
      <c r="B6026" s="138">
        <f>'Revenues 9-14'!I109</f>
        <v>42782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2004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157028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32948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826.1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409194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409194</v>
      </c>
      <c r="D6215" s="2" t="str">
        <f t="shared" si="96"/>
        <v>Error?</v>
      </c>
      <c r="E6215" s="2" t="s">
        <v>190</v>
      </c>
    </row>
    <row r="6216" spans="1:5" x14ac:dyDescent="0.2">
      <c r="A6216">
        <v>6155</v>
      </c>
      <c r="B6216" s="138">
        <f>'Assets-Liab 5-6'!J41</f>
        <v>409194</v>
      </c>
      <c r="D6216" s="2" t="str">
        <f t="shared" si="96"/>
        <v>Error?</v>
      </c>
      <c r="E6216" s="2" t="s">
        <v>190</v>
      </c>
    </row>
    <row r="6217" spans="1:5" x14ac:dyDescent="0.2">
      <c r="A6217">
        <v>6156</v>
      </c>
      <c r="B6217" s="138">
        <f>'Assets-Liab 5-6'!J4</f>
        <v>199733</v>
      </c>
      <c r="D6217" s="2" t="str">
        <f t="shared" si="96"/>
        <v>Error?</v>
      </c>
      <c r="E6217" s="2" t="s">
        <v>190</v>
      </c>
    </row>
    <row r="6218" spans="1:5" x14ac:dyDescent="0.2">
      <c r="A6218">
        <v>6157</v>
      </c>
      <c r="B6218" s="138">
        <f>'Assets-Liab 5-6'!J5</f>
        <v>209461</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213025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213025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213025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108078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108078</v>
      </c>
      <c r="D6229" s="2" t="str">
        <f t="shared" si="96"/>
        <v>Error?</v>
      </c>
      <c r="E6229" s="2" t="s">
        <v>190</v>
      </c>
    </row>
    <row r="6230" spans="1:5" x14ac:dyDescent="0.2">
      <c r="A6230">
        <v>6169</v>
      </c>
      <c r="B6230" s="138">
        <f>'Acct Summary 7-8'!J20</f>
        <v>104947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104947</v>
      </c>
      <c r="D6263" s="2" t="str">
        <f t="shared" si="96"/>
        <v>Error?</v>
      </c>
      <c r="E6263" s="2" t="s">
        <v>190</v>
      </c>
    </row>
    <row r="6264" spans="1:5" x14ac:dyDescent="0.2">
      <c r="A6264">
        <v>6203</v>
      </c>
      <c r="B6264" s="138">
        <f>'Acct Summary 7-8'!J79</f>
        <v>304247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409194</v>
      </c>
      <c r="D6266" s="2" t="str">
        <f t="shared" si="96"/>
        <v>Error?</v>
      </c>
      <c r="E6266" s="2" t="s">
        <v>190</v>
      </c>
    </row>
    <row r="6267" spans="1:5" x14ac:dyDescent="0.2">
      <c r="A6267">
        <v>6206</v>
      </c>
      <c r="B6267" s="138">
        <f>'Acct Summary 7-8'!C82</f>
        <v>34438</v>
      </c>
      <c r="D6267" s="2" t="str">
        <f t="shared" si="96"/>
        <v>Error?</v>
      </c>
      <c r="E6267" s="2" t="s">
        <v>190</v>
      </c>
    </row>
    <row r="6268" spans="1:5" x14ac:dyDescent="0.2">
      <c r="A6268">
        <v>6207</v>
      </c>
      <c r="B6268" s="138">
        <f>'Acct Summary 7-8'!D82</f>
        <v>3256</v>
      </c>
      <c r="D6268" s="2" t="str">
        <f t="shared" si="96"/>
        <v>Error?</v>
      </c>
      <c r="E6268" s="2" t="s">
        <v>190</v>
      </c>
    </row>
    <row r="6269" spans="1:5" x14ac:dyDescent="0.2">
      <c r="A6269">
        <v>6208</v>
      </c>
      <c r="B6269" s="138">
        <f>'Acct Summary 7-8'!E82</f>
        <v>106473</v>
      </c>
      <c r="D6269" s="2" t="str">
        <f t="shared" si="96"/>
        <v>Error?</v>
      </c>
      <c r="E6269" s="2" t="s">
        <v>190</v>
      </c>
    </row>
    <row r="6270" spans="1:5" x14ac:dyDescent="0.2">
      <c r="A6270">
        <v>6209</v>
      </c>
      <c r="B6270" s="138">
        <f>'Acct Summary 7-8'!F82</f>
        <v>50137</v>
      </c>
      <c r="D6270" s="2" t="str">
        <f t="shared" si="96"/>
        <v>Error?</v>
      </c>
      <c r="E6270" s="2" t="s">
        <v>190</v>
      </c>
    </row>
    <row r="6271" spans="1:5" x14ac:dyDescent="0.2">
      <c r="A6271">
        <v>6210</v>
      </c>
      <c r="B6271" s="138">
        <f>'Acct Summary 7-8'!G82</f>
        <v>38888</v>
      </c>
      <c r="D6271" s="2" t="str">
        <f t="shared" ref="D6271:D6334" si="97">IF(ISBLANK(B6271),"OK",IF(A6271-B6271=0,"OK","Error?"))</f>
        <v>Error?</v>
      </c>
      <c r="E6271" s="2" t="s">
        <v>190</v>
      </c>
    </row>
    <row r="6272" spans="1:5" x14ac:dyDescent="0.2">
      <c r="A6272">
        <v>6211</v>
      </c>
      <c r="B6272" s="138">
        <f>'Acct Summary 7-8'!H82</f>
        <v>145089</v>
      </c>
      <c r="D6272" s="2" t="str">
        <f t="shared" si="97"/>
        <v>Error?</v>
      </c>
      <c r="E6272" s="2" t="s">
        <v>190</v>
      </c>
    </row>
    <row r="6273" spans="1:5" x14ac:dyDescent="0.2">
      <c r="A6273">
        <v>6212</v>
      </c>
      <c r="B6273" s="138">
        <f>'Acct Summary 7-8'!I82</f>
        <v>42782</v>
      </c>
      <c r="D6273" s="2" t="str">
        <f t="shared" si="97"/>
        <v>Error?</v>
      </c>
      <c r="E6273" s="2" t="s">
        <v>190</v>
      </c>
    </row>
    <row r="6274" spans="1:5" x14ac:dyDescent="0.2">
      <c r="A6274">
        <v>6213</v>
      </c>
      <c r="B6274" s="138">
        <f>'Acct Summary 7-8'!J82</f>
        <v>104947</v>
      </c>
      <c r="D6274" s="2" t="str">
        <f t="shared" si="97"/>
        <v>Error?</v>
      </c>
      <c r="E6274" s="2" t="s">
        <v>190</v>
      </c>
    </row>
    <row r="6275" spans="1:5" x14ac:dyDescent="0.2">
      <c r="A6275">
        <v>6214</v>
      </c>
      <c r="B6275" s="138">
        <f>'Acct Summary 7-8'!K82</f>
        <v>-30171</v>
      </c>
      <c r="D6275" s="2" t="str">
        <f t="shared" si="97"/>
        <v>Error?</v>
      </c>
      <c r="E6275" s="2" t="s">
        <v>190</v>
      </c>
    </row>
    <row r="6276" spans="1:5" x14ac:dyDescent="0.2">
      <c r="A6276">
        <v>6215</v>
      </c>
      <c r="B6276" s="138">
        <f>'Acct Summary 7-8'!C83</f>
        <v>2.1142640687458136E-2</v>
      </c>
      <c r="D6276" s="2" t="str">
        <f t="shared" si="97"/>
        <v>Error?</v>
      </c>
      <c r="E6276" s="2" t="s">
        <v>190</v>
      </c>
    </row>
    <row r="6277" spans="1:5" x14ac:dyDescent="0.2">
      <c r="A6277">
        <v>6216</v>
      </c>
      <c r="B6277" s="138">
        <f>'Acct Summary 7-8'!D83</f>
        <v>0.69100169779286924</v>
      </c>
      <c r="D6277" s="2" t="str">
        <f t="shared" si="97"/>
        <v>Error?</v>
      </c>
      <c r="E6277" s="2" t="s">
        <v>190</v>
      </c>
    </row>
    <row r="6278" spans="1:5" x14ac:dyDescent="0.2">
      <c r="A6278">
        <v>6217</v>
      </c>
      <c r="B6278" s="138">
        <f>'Acct Summary 7-8'!E83</f>
        <v>0.24468170672574222</v>
      </c>
      <c r="D6278" s="2" t="str">
        <f t="shared" si="97"/>
        <v>Error?</v>
      </c>
      <c r="E6278" s="2" t="s">
        <v>190</v>
      </c>
    </row>
    <row r="6279" spans="1:5" x14ac:dyDescent="0.2">
      <c r="A6279">
        <v>6218</v>
      </c>
      <c r="B6279" s="138">
        <f>'Acct Summary 7-8'!F83</f>
        <v>0.9646739653281512</v>
      </c>
      <c r="D6279" s="2" t="str">
        <f t="shared" si="97"/>
        <v>Error?</v>
      </c>
      <c r="E6279" s="2" t="s">
        <v>190</v>
      </c>
    </row>
    <row r="6280" spans="1:5" x14ac:dyDescent="0.2">
      <c r="A6280">
        <v>6219</v>
      </c>
      <c r="B6280" s="138">
        <f>'Acct Summary 7-8'!G83</f>
        <v>0.14059698038988835</v>
      </c>
      <c r="D6280" s="2" t="str">
        <f t="shared" si="97"/>
        <v>Error?</v>
      </c>
      <c r="E6280" s="2" t="s">
        <v>190</v>
      </c>
    </row>
    <row r="6281" spans="1:5" x14ac:dyDescent="0.2">
      <c r="A6281">
        <v>6220</v>
      </c>
      <c r="B6281" s="138">
        <f>'Acct Summary 7-8'!H83</f>
        <v>0.49092680880148609</v>
      </c>
      <c r="D6281" s="2" t="str">
        <f t="shared" si="97"/>
        <v>Error?</v>
      </c>
      <c r="E6281" s="2" t="s">
        <v>190</v>
      </c>
    </row>
    <row r="6282" spans="1:5" x14ac:dyDescent="0.2">
      <c r="A6282">
        <v>6221</v>
      </c>
      <c r="B6282" s="138">
        <f>'Acct Summary 7-8'!I83</f>
        <v>4.1836986156692624E-2</v>
      </c>
      <c r="D6282" s="2" t="str">
        <f t="shared" si="97"/>
        <v>Error?</v>
      </c>
      <c r="E6282" s="2" t="s">
        <v>190</v>
      </c>
    </row>
    <row r="6283" spans="1:5" x14ac:dyDescent="0.2">
      <c r="A6283">
        <v>6222</v>
      </c>
      <c r="B6283" s="138">
        <f>'Acct Summary 7-8'!J83</f>
        <v>0.25647248004613948</v>
      </c>
      <c r="D6283" s="2" t="str">
        <f t="shared" si="97"/>
        <v>Error?</v>
      </c>
      <c r="E6283" s="2" t="s">
        <v>190</v>
      </c>
    </row>
    <row r="6284" spans="1:5" x14ac:dyDescent="0.2">
      <c r="A6284">
        <v>6223</v>
      </c>
      <c r="B6284" s="138">
        <f>'Acct Summary 7-8'!K83</f>
        <v>-7.8240236502256102E-2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210860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210860</v>
      </c>
      <c r="D6301" s="2" t="str">
        <f t="shared" si="97"/>
        <v>Error?</v>
      </c>
      <c r="E6301" s="2" t="s">
        <v>190</v>
      </c>
    </row>
    <row r="6302" spans="1:5" x14ac:dyDescent="0.2">
      <c r="A6302">
        <v>6241</v>
      </c>
      <c r="B6302" s="138">
        <f>'Revenues 9-14'!J14</f>
        <v>894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894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1271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1271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5500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213025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30285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10615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16504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78500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61003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108078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213025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620</v>
      </c>
      <c r="D7073" s="2" t="str">
        <f t="shared" si="109"/>
        <v>Error?</v>
      </c>
    </row>
    <row r="7074" spans="1:4" x14ac:dyDescent="0.2">
      <c r="A7074">
        <v>7013</v>
      </c>
      <c r="B7074" s="138">
        <f>'Expenditures 15-22'!K216</f>
        <v>620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3147</v>
      </c>
      <c r="D7077" s="2" t="str">
        <f t="shared" si="109"/>
        <v>Error?</v>
      </c>
    </row>
    <row r="7078" spans="1:4" x14ac:dyDescent="0.2">
      <c r="A7078">
        <v>7017</v>
      </c>
      <c r="B7078" s="138">
        <f>'Expenditures 15-22'!K220</f>
        <v>3147</v>
      </c>
      <c r="D7078" s="2" t="str">
        <f t="shared" si="109"/>
        <v>Error?</v>
      </c>
    </row>
    <row r="7079" spans="1:4" x14ac:dyDescent="0.2">
      <c r="A7079">
        <v>7018</v>
      </c>
      <c r="B7079" s="138">
        <f>'Expenditures 15-22'!D226</f>
        <v>659</v>
      </c>
      <c r="D7079" s="2" t="str">
        <f t="shared" si="109"/>
        <v>Error?</v>
      </c>
    </row>
    <row r="7080" spans="1:4" x14ac:dyDescent="0.2">
      <c r="A7080">
        <v>7019</v>
      </c>
      <c r="B7080" s="138">
        <f>'Expenditures 15-22'!K226</f>
        <v>659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35795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35795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72283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72283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108078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108078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108078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108078</v>
      </c>
      <c r="D7224" s="2" t="str">
        <f t="shared" si="111"/>
        <v>Error?</v>
      </c>
    </row>
    <row r="7225" spans="1:4" x14ac:dyDescent="0.2">
      <c r="A7225">
        <v>7164</v>
      </c>
      <c r="B7225" s="138">
        <f>'Expenditures 15-22'!K343</f>
        <v>104947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1325</v>
      </c>
      <c r="D7249" s="2" t="str">
        <f t="shared" si="112"/>
        <v>Error?</v>
      </c>
    </row>
    <row r="7250" spans="1:4" x14ac:dyDescent="0.2">
      <c r="A7250">
        <f t="shared" si="113"/>
        <v>7189</v>
      </c>
      <c r="B7250" s="138">
        <f>'Expenditures 15-22'!H7</f>
        <v>4133</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63267</v>
      </c>
      <c r="D7257" s="2" t="str">
        <f t="shared" si="112"/>
        <v>Error?</v>
      </c>
    </row>
    <row r="7258" spans="1:4" x14ac:dyDescent="0.2">
      <c r="A7258">
        <f t="shared" si="113"/>
        <v>7197</v>
      </c>
      <c r="B7258" s="138">
        <f>'Expenditures 15-22'!D11</f>
        <v>14369</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864</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49052</v>
      </c>
      <c r="D7263" s="2" t="str">
        <f t="shared" si="112"/>
        <v>Error?</v>
      </c>
    </row>
    <row r="7264" spans="1:4" x14ac:dyDescent="0.2">
      <c r="A7264">
        <f t="shared" si="113"/>
        <v>7203</v>
      </c>
      <c r="B7264" s="138">
        <f>'Expenditures 15-22'!D17</f>
        <v>11549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402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362579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42007</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5500</v>
      </c>
      <c r="D7712" s="2" t="str">
        <f t="shared" si="126"/>
        <v>Error?</v>
      </c>
      <c r="E7712" s="2" t="s">
        <v>827</v>
      </c>
    </row>
    <row r="7713" spans="1:6" x14ac:dyDescent="0.2">
      <c r="A7713">
        <v>7652</v>
      </c>
      <c r="B7713" s="138">
        <f>'Rest Tax Levies-Tort Im 25'!J8</f>
        <v>337267</v>
      </c>
      <c r="D7713" s="2" t="str">
        <f t="shared" si="126"/>
        <v>Error?</v>
      </c>
      <c r="E7713" s="2" t="s">
        <v>827</v>
      </c>
    </row>
    <row r="7714" spans="1:6" x14ac:dyDescent="0.2">
      <c r="A7714">
        <v>7653</v>
      </c>
      <c r="B7714" s="138">
        <f>'Rest Tax Levies-Tort Im 25'!K9</f>
        <v>12985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337267</v>
      </c>
      <c r="D7718" s="2" t="str">
        <f t="shared" si="126"/>
        <v>Error?</v>
      </c>
      <c r="E7718" s="2" t="s">
        <v>827</v>
      </c>
    </row>
    <row r="7719" spans="1:6" x14ac:dyDescent="0.2">
      <c r="A7719">
        <v>7658</v>
      </c>
      <c r="B7719" s="138">
        <f>'Rest Tax Levies-Tort Im 25'!K12</f>
        <v>18485</v>
      </c>
      <c r="D7719" s="2" t="str">
        <f t="shared" si="126"/>
        <v>Error?</v>
      </c>
      <c r="E7719" s="2" t="s">
        <v>827</v>
      </c>
    </row>
    <row r="7720" spans="1:6" x14ac:dyDescent="0.2">
      <c r="A7720">
        <v>7659</v>
      </c>
      <c r="B7720" s="138">
        <f>'Rest Tax Levies-Tort Im 25'!H14</f>
        <v>30898</v>
      </c>
      <c r="D7720" s="2" t="str">
        <f t="shared" si="126"/>
        <v>Error?</v>
      </c>
      <c r="E7720" s="2" t="s">
        <v>827</v>
      </c>
    </row>
    <row r="7721" spans="1:6" x14ac:dyDescent="0.2">
      <c r="A7721">
        <v>7660</v>
      </c>
      <c r="B7721" s="138">
        <f>'Rest Tax Levies-Tort Im 25'!K14</f>
        <v>18485</v>
      </c>
      <c r="D7721" s="2" t="str">
        <f t="shared" si="126"/>
        <v>Error?</v>
      </c>
      <c r="E7721" s="2" t="s">
        <v>827</v>
      </c>
    </row>
    <row r="7722" spans="1:6" x14ac:dyDescent="0.2">
      <c r="A7722">
        <v>7661</v>
      </c>
      <c r="B7722" s="138">
        <f>'Rest Tax Levies-Tort Im 25'!J15</f>
        <v>93138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100000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100000</v>
      </c>
      <c r="D7727" s="2" t="str">
        <f t="shared" si="126"/>
        <v>Error?</v>
      </c>
      <c r="E7727" s="2" t="s">
        <v>827</v>
      </c>
    </row>
    <row r="7728" spans="1:6" x14ac:dyDescent="0.2">
      <c r="A7728">
        <v>7667</v>
      </c>
      <c r="B7728" s="138">
        <f>'Revenues 9-14'!E103</f>
        <v>100000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193138</v>
      </c>
      <c r="D7730" s="2" t="str">
        <f t="shared" si="126"/>
        <v>Error?</v>
      </c>
      <c r="E7730" s="2" t="s">
        <v>827</v>
      </c>
    </row>
    <row r="7731" spans="1:6" x14ac:dyDescent="0.2">
      <c r="A7731">
        <v>7670</v>
      </c>
      <c r="B7731" s="138">
        <f>'Revenues 9-14'!H103</f>
        <v>237266</v>
      </c>
      <c r="D7731" s="2" t="str">
        <f t="shared" si="126"/>
        <v>Error?</v>
      </c>
      <c r="E7731" s="2" t="s">
        <v>827</v>
      </c>
    </row>
    <row r="7732" spans="1:6" x14ac:dyDescent="0.2">
      <c r="A7732">
        <v>7671</v>
      </c>
      <c r="B7732" s="138">
        <f>'Rest Tax Levies-Tort Im 25'!J24</f>
        <v>186136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186136</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271630</v>
      </c>
      <c r="D7797" s="2" t="str">
        <f t="shared" si="127"/>
        <v>Error?</v>
      </c>
      <c r="E7797" s="4" t="s">
        <v>1903</v>
      </c>
    </row>
    <row r="7798" spans="1:5" x14ac:dyDescent="0.2">
      <c r="A7798">
        <v>7737</v>
      </c>
      <c r="B7798" s="138">
        <f>'Contracts Paid in CY 29'!F141</f>
        <v>121884</v>
      </c>
      <c r="D7798" s="2" t="str">
        <f t="shared" si="127"/>
        <v>Error?</v>
      </c>
      <c r="E7798" s="4" t="s">
        <v>1903</v>
      </c>
    </row>
    <row r="7799" spans="1:5" x14ac:dyDescent="0.2">
      <c r="A7799">
        <v>7738</v>
      </c>
      <c r="B7799" s="138">
        <f>'Contracts Paid in CY 29'!G141</f>
        <v>132328</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59"/>
  <sheetViews>
    <sheetView showGridLines="0" showZeros="0" zoomScale="110" zoomScaleNormal="110" workbookViewId="0">
      <selection activeCell="T36" sqref="T3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1988</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8" t="str">
        <f>COVER!A17</f>
        <v>Edwards County CUSD 1</v>
      </c>
      <c r="B7" s="2389"/>
      <c r="C7" s="2389"/>
      <c r="D7" s="2426"/>
      <c r="E7" s="2427">
        <f>COVER!A13</f>
        <v>20024001026</v>
      </c>
      <c r="F7" s="2428"/>
      <c r="G7" s="2395">
        <f>COVER!T23</f>
        <v>65.032562999999996</v>
      </c>
      <c r="H7" s="2396"/>
      <c r="I7" s="2396"/>
      <c r="J7" s="2396"/>
      <c r="K7" s="2396"/>
      <c r="L7" s="239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8"/>
      <c r="B9" s="2399"/>
      <c r="C9" s="2399"/>
      <c r="D9" s="2399"/>
      <c r="E9" s="2399"/>
      <c r="F9" s="2400"/>
      <c r="G9" s="2401" t="str">
        <f>COVER!T13</f>
        <v>Kemper CPA Group LLP</v>
      </c>
      <c r="H9" s="2402"/>
      <c r="I9" s="2402"/>
      <c r="J9" s="2402"/>
      <c r="K9" s="2402"/>
      <c r="L9" s="2403"/>
    </row>
    <row r="10" spans="1:29" ht="13.5" customHeight="1" x14ac:dyDescent="0.2">
      <c r="A10" s="2385" t="str">
        <f>COVER!A38</f>
        <v>David Cowger</v>
      </c>
      <c r="B10" s="2386"/>
      <c r="C10" s="2386"/>
      <c r="D10" s="2386"/>
      <c r="E10" s="2386"/>
      <c r="F10" s="2387"/>
      <c r="G10" s="2401" t="str">
        <f>COVER!T17</f>
        <v>703 W. Main St, PO Box 447</v>
      </c>
      <c r="H10" s="2414"/>
      <c r="I10" s="2414"/>
      <c r="J10" s="2414"/>
      <c r="K10" s="2414"/>
      <c r="L10" s="2415"/>
    </row>
    <row r="11" spans="1:29" ht="13.5" customHeight="1" x14ac:dyDescent="0.2">
      <c r="A11" s="1184" t="s">
        <v>1519</v>
      </c>
      <c r="B11" s="1185"/>
      <c r="C11" s="1186"/>
      <c r="D11" s="1191"/>
      <c r="E11" s="1186"/>
      <c r="F11" s="1190"/>
      <c r="G11" s="2401" t="str">
        <f>COVER!T19</f>
        <v>Olney</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kmclaren@kempercpa.com</v>
      </c>
      <c r="J13" s="2423"/>
      <c r="K13" s="2423"/>
      <c r="L13" s="2424"/>
    </row>
    <row r="14" spans="1:29" ht="13.5" customHeight="1" x14ac:dyDescent="0.2">
      <c r="A14" s="2401" t="str">
        <f>COVER!A19</f>
        <v>361 West Main Street</v>
      </c>
      <c r="B14" s="2414"/>
      <c r="C14" s="2414"/>
      <c r="D14" s="2414"/>
      <c r="E14" s="2414"/>
      <c r="F14" s="2415"/>
      <c r="G14" s="1195" t="s">
        <v>1185</v>
      </c>
      <c r="H14" s="1193"/>
      <c r="I14" s="1193"/>
      <c r="J14" s="1193"/>
      <c r="K14" s="1193"/>
      <c r="L14" s="1194"/>
    </row>
    <row r="15" spans="1:29" ht="13.5" customHeight="1" x14ac:dyDescent="0.2">
      <c r="A15" s="2401" t="str">
        <f>COVER!A21</f>
        <v>Albion</v>
      </c>
      <c r="B15" s="2414"/>
      <c r="C15" s="2414"/>
      <c r="D15" s="2414"/>
      <c r="E15" s="2414"/>
      <c r="F15" s="2415"/>
      <c r="G15" s="2411" t="str">
        <f>COVER!T15</f>
        <v>Krista McLaren</v>
      </c>
      <c r="H15" s="2412"/>
      <c r="I15" s="2412"/>
      <c r="J15" s="2412"/>
      <c r="K15" s="2412"/>
      <c r="L15" s="2413"/>
    </row>
    <row r="16" spans="1:29" ht="12.2" customHeight="1" x14ac:dyDescent="0.2">
      <c r="A16" s="2391">
        <f>COVER!A25</f>
        <v>62806</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1184</v>
      </c>
      <c r="H17" s="1193"/>
      <c r="I17" s="1193"/>
      <c r="J17" s="1193"/>
      <c r="K17" s="1197" t="s">
        <v>1183</v>
      </c>
      <c r="L17" s="1190"/>
      <c r="M17" s="1183"/>
    </row>
    <row r="18" spans="1:13" ht="12.2" customHeight="1" x14ac:dyDescent="0.2">
      <c r="A18" s="2385"/>
      <c r="B18" s="2386"/>
      <c r="C18" s="2386"/>
      <c r="D18" s="2386"/>
      <c r="E18" s="2386"/>
      <c r="F18" s="2387"/>
      <c r="G18" s="2388" t="str">
        <f>COVER!T21</f>
        <v>618-395-2105</v>
      </c>
      <c r="H18" s="2389"/>
      <c r="I18" s="2389"/>
      <c r="J18" s="2389"/>
      <c r="K18" s="2388" t="str">
        <f>COVER!X21</f>
        <v>618-395-7079</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Edwards County CUSD 1</v>
      </c>
      <c r="B1" s="2425"/>
      <c r="C1" s="2425"/>
      <c r="D1" s="2425"/>
    </row>
    <row r="2" spans="1:11" s="1212" customFormat="1" ht="12.75" x14ac:dyDescent="0.2">
      <c r="A2" s="2430">
        <f>'Single Audit Cover'!E7</f>
        <v>20024001026</v>
      </c>
      <c r="B2" s="2431"/>
      <c r="C2" s="2431"/>
      <c r="D2" s="2431"/>
    </row>
    <row r="3" spans="1:11" s="1212" customFormat="1" ht="12.75" x14ac:dyDescent="0.2">
      <c r="A3" s="2429"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Edwards County CUSD 1</v>
      </c>
      <c r="B1" s="2433"/>
      <c r="C1" s="2433"/>
      <c r="D1" s="2433"/>
      <c r="E1" s="2433"/>
    </row>
    <row r="2" spans="1:5" x14ac:dyDescent="0.2">
      <c r="A2" s="2434">
        <f>'Single Audit Cover'!E7</f>
        <v>20024001026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507483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32948</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-66482</v>
      </c>
    </row>
    <row r="19" spans="1:4" ht="13.5" thickBot="1" x14ac:dyDescent="0.25">
      <c r="A19" s="1262" t="s">
        <v>1235</v>
      </c>
      <c r="D19" s="1263">
        <f>SUM(D10:D17)</f>
        <v>473949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473949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473949</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Edwards County CUSD 1</v>
      </c>
      <c r="C1" s="2437"/>
      <c r="D1" s="2437"/>
      <c r="E1" s="2437"/>
      <c r="F1" s="2437"/>
      <c r="G1" s="2437"/>
      <c r="H1" s="2437"/>
      <c r="I1" s="2437"/>
      <c r="J1" s="2437"/>
      <c r="K1" s="2437"/>
      <c r="L1" s="2437"/>
      <c r="M1" s="2437"/>
    </row>
    <row r="2" spans="2:14" ht="15" x14ac:dyDescent="0.2">
      <c r="B2" s="2438">
        <f>'Single Audit Cover'!E7</f>
        <v>20024001026</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Edwards County CUSD 1</v>
      </c>
      <c r="B1" s="2442"/>
      <c r="C1" s="2442"/>
      <c r="D1" s="2442"/>
      <c r="E1" s="2442"/>
      <c r="F1" s="2442"/>
    </row>
    <row r="2" spans="1:7" ht="13.5" customHeight="1" x14ac:dyDescent="0.2">
      <c r="A2" s="2438">
        <f>'Single Audit Cover'!E7</f>
        <v>20024001026</v>
      </c>
      <c r="B2" s="2438"/>
      <c r="C2" s="2438"/>
      <c r="D2" s="2438"/>
      <c r="E2" s="2438"/>
      <c r="F2" s="2438"/>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1729</v>
      </c>
      <c r="B7" s="2441"/>
      <c r="C7" s="2441"/>
      <c r="D7" s="2441"/>
      <c r="E7" s="2441"/>
      <c r="F7" s="244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1" t="s">
        <v>1731</v>
      </c>
      <c r="B13" s="2441"/>
      <c r="C13" s="2441"/>
      <c r="D13" s="2441"/>
      <c r="E13" s="2441"/>
      <c r="F13" s="2441"/>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1732</v>
      </c>
      <c r="B32" s="2449"/>
      <c r="C32" s="2449"/>
      <c r="D32" s="2449"/>
      <c r="E32" s="2449"/>
      <c r="F32" s="244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0">
        <f>+C33+C34</f>
        <v>0</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1551</v>
      </c>
      <c r="C51" s="2448"/>
      <c r="D51" s="2448"/>
    </row>
    <row r="52" spans="1:5" ht="14.25" customHeight="1" x14ac:dyDescent="0.2">
      <c r="A52" s="1298"/>
      <c r="B52" s="2448"/>
      <c r="C52" s="2448"/>
      <c r="D52" s="244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44" colorId="8" zoomScale="110" zoomScaleNormal="110" workbookViewId="0">
      <selection activeCell="E114" sqref="E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t="s">
        <v>2080</v>
      </c>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2068</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zoomScale="110" zoomScaleNormal="110" workbookViewId="0">
      <selection activeCell="S47" sqref="S4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Edwards County CUSD 1</v>
      </c>
      <c r="C1" s="2458"/>
      <c r="D1" s="2458"/>
      <c r="E1" s="2458"/>
      <c r="F1" s="2458"/>
      <c r="G1" s="2458"/>
      <c r="H1" s="2458"/>
      <c r="I1" s="2458"/>
      <c r="J1" s="1406"/>
    </row>
    <row r="2" spans="2:10" s="317" customFormat="1" ht="12.75" customHeight="1" x14ac:dyDescent="0.2">
      <c r="B2" s="2459">
        <f>'Single Audit Cover'!E7</f>
        <v>20024001026</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t="s">
        <v>1164</v>
      </c>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2064</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2064</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2064</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2064</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t="s">
        <v>2097</v>
      </c>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2064</v>
      </c>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t="s">
        <v>2097</v>
      </c>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71" t="s">
        <v>1593</v>
      </c>
      <c r="D43" s="2472"/>
      <c r="E43" s="2472"/>
      <c r="F43" s="2473"/>
      <c r="G43" s="2474">
        <f>SUM(G38:I42)</f>
        <v>0</v>
      </c>
      <c r="H43" s="2474"/>
      <c r="I43" s="2474"/>
    </row>
    <row r="44" spans="2:9" ht="12.75" customHeight="1" x14ac:dyDescent="0.2"/>
    <row r="45" spans="2:9" ht="12.75" customHeight="1" x14ac:dyDescent="0.2">
      <c r="B45" s="1419" t="s">
        <v>2063</v>
      </c>
      <c r="D45" s="2475">
        <v>455641</v>
      </c>
      <c r="E45" s="2476"/>
    </row>
    <row r="46" spans="2:9" ht="5.25" customHeight="1" x14ac:dyDescent="0.2">
      <c r="B46" s="1429"/>
      <c r="D46" s="1430"/>
      <c r="E46" s="1431"/>
    </row>
    <row r="47" spans="2:9" ht="12.75" customHeight="1" x14ac:dyDescent="0.2">
      <c r="B47" s="1297" t="s">
        <v>1594</v>
      </c>
      <c r="C47" s="1297"/>
      <c r="D47" s="1432">
        <f>+G43/D45</f>
        <v>0</v>
      </c>
      <c r="E47" s="1433"/>
      <c r="F47" s="1434"/>
      <c r="I47" s="1435"/>
    </row>
    <row r="48" spans="2:9" ht="9.9499999999999993" customHeight="1" x14ac:dyDescent="0.2"/>
    <row r="49" spans="1:9" x14ac:dyDescent="0.2">
      <c r="B49" s="1365" t="s">
        <v>1273</v>
      </c>
      <c r="C49" s="1279"/>
      <c r="D49" s="1279"/>
      <c r="E49" s="2477" t="s">
        <v>2097</v>
      </c>
      <c r="F49" s="2477"/>
      <c r="G49" s="247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19" zoomScale="110" zoomScaleNormal="110" workbookViewId="0">
      <selection activeCell="X27" sqref="X2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Edwards County CUSD 1</v>
      </c>
      <c r="C1" s="2457"/>
      <c r="D1" s="2457"/>
      <c r="E1" s="2457"/>
      <c r="F1" s="2457"/>
      <c r="G1" s="2457"/>
      <c r="H1" s="2457"/>
      <c r="I1" s="2457"/>
      <c r="J1" s="2457"/>
      <c r="K1" s="2457"/>
      <c r="L1" s="1371"/>
      <c r="M1" s="1371"/>
    </row>
    <row r="2" spans="1:13" ht="12" customHeight="1" x14ac:dyDescent="0.2">
      <c r="B2" s="2459">
        <f>'Single Audit Cover'!E7</f>
        <v>20024001026</v>
      </c>
      <c r="C2" s="2459"/>
      <c r="D2" s="2459"/>
      <c r="E2" s="2459"/>
      <c r="F2" s="2459"/>
      <c r="G2" s="2459"/>
      <c r="H2" s="2459"/>
      <c r="I2" s="2459"/>
      <c r="J2" s="2459"/>
      <c r="K2" s="2459"/>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t="s">
        <v>2098</v>
      </c>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t="s">
        <v>2104</v>
      </c>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t="s">
        <v>2099</v>
      </c>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t="s">
        <v>2100</v>
      </c>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t="s">
        <v>2101</v>
      </c>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t="s">
        <v>2102</v>
      </c>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t="s">
        <v>2103</v>
      </c>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Edwards County CUSD 1</v>
      </c>
      <c r="C1" s="2484"/>
      <c r="D1" s="2484"/>
      <c r="E1" s="2484"/>
      <c r="F1" s="2484"/>
      <c r="G1" s="2484"/>
      <c r="H1" s="2484"/>
      <c r="I1" s="2484"/>
      <c r="J1" s="2484"/>
      <c r="K1" s="2484"/>
      <c r="L1" s="1449"/>
    </row>
    <row r="2" spans="1:12" ht="12.75" customHeight="1" x14ac:dyDescent="0.2">
      <c r="B2" s="2485">
        <f>'Single Audit Cover'!E7</f>
        <v>20024001026</v>
      </c>
      <c r="C2" s="2485"/>
      <c r="D2" s="2485"/>
      <c r="E2" s="2485"/>
      <c r="F2" s="2485"/>
      <c r="G2" s="2485"/>
      <c r="H2" s="2485"/>
      <c r="I2" s="2485"/>
      <c r="J2" s="2485"/>
      <c r="K2" s="2485"/>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zoomScale="110" zoomScaleNormal="110" workbookViewId="0">
      <selection activeCell="H32" sqref="H3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Edwards County CUSD 1</v>
      </c>
      <c r="C1" s="2457"/>
      <c r="D1" s="2457"/>
      <c r="E1" s="1469"/>
    </row>
    <row r="2" spans="2:5" s="1279" customFormat="1" ht="12.75" customHeight="1" x14ac:dyDescent="0.2">
      <c r="B2" s="2459">
        <f>'Single Audit Cover'!E7</f>
        <v>20024001026</v>
      </c>
      <c r="C2" s="2459"/>
      <c r="D2" s="2459"/>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t="s">
        <v>2105</v>
      </c>
      <c r="D7" s="324"/>
      <c r="E7" s="324"/>
    </row>
    <row r="8" spans="2:5" ht="13.5" customHeight="1" x14ac:dyDescent="0.2">
      <c r="B8" s="1474"/>
      <c r="C8" s="324" t="s">
        <v>2106</v>
      </c>
      <c r="D8" s="324"/>
      <c r="E8" s="324"/>
    </row>
    <row r="9" spans="2:5" ht="13.5" customHeight="1" x14ac:dyDescent="0.2">
      <c r="B9" s="1475"/>
      <c r="C9" s="323" t="s">
        <v>2107</v>
      </c>
      <c r="D9" s="323"/>
      <c r="E9" s="323"/>
    </row>
    <row r="10" spans="2:5" ht="13.5" customHeight="1" x14ac:dyDescent="0.2">
      <c r="B10" s="1474" t="s">
        <v>2109</v>
      </c>
      <c r="C10" s="323" t="s">
        <v>2108</v>
      </c>
      <c r="D10" s="323" t="s">
        <v>2110</v>
      </c>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79328523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2E-3</v>
      </c>
      <c r="I10" s="356" t="s">
        <v>1006</v>
      </c>
      <c r="J10" s="1732">
        <f>ROUND(D10+F10+H10,5)</f>
        <v>2.5399999999999999E-2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7928160</v>
      </c>
      <c r="E16" s="356"/>
      <c r="F16" s="1733">
        <f>SUM('Acct Summary 7-8'!C17,'Acct Summary 7-8'!D17,'Acct Summary 7-8'!F17)</f>
        <v>7797547</v>
      </c>
      <c r="G16" s="356"/>
      <c r="H16" s="1733">
        <f>SUM(D16-F16)</f>
        <v>130613</v>
      </c>
      <c r="I16" s="222"/>
      <c r="J16" s="1733">
        <f>SUM('Acct Summary 7-8'!C81,'Acct Summary 7-8'!D81,'Acct Summary 7-8'!F81,'Acct Summary 7-8'!I81)</f>
        <v>2708114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10947336.174000001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1098907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U37" sqref="U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Edwards County CUSD 1</v>
      </c>
      <c r="E7" s="391"/>
      <c r="G7" s="252"/>
      <c r="H7" s="387"/>
      <c r="I7" s="387"/>
      <c r="J7" s="387"/>
      <c r="K7" s="387"/>
      <c r="L7" s="329"/>
      <c r="M7" s="329"/>
      <c r="N7" s="329"/>
      <c r="O7" s="329"/>
      <c r="P7" s="329"/>
    </row>
    <row r="8" spans="1:18" ht="12.75" x14ac:dyDescent="0.2">
      <c r="A8" s="329"/>
      <c r="B8" s="329"/>
      <c r="C8" s="389" t="s">
        <v>1125</v>
      </c>
      <c r="D8" s="392">
        <f>COVER!A13</f>
        <v>20024001026</v>
      </c>
      <c r="E8" s="393"/>
      <c r="G8" s="329"/>
      <c r="H8" s="329"/>
      <c r="I8" s="329"/>
      <c r="J8" s="329"/>
      <c r="K8" s="329"/>
      <c r="L8" s="329"/>
      <c r="M8" s="329"/>
      <c r="N8" s="329"/>
      <c r="O8" s="329"/>
      <c r="P8" s="329"/>
    </row>
    <row r="9" spans="1:18" ht="12.75" x14ac:dyDescent="0.2">
      <c r="A9" s="329"/>
      <c r="B9" s="329"/>
      <c r="C9" s="389" t="s">
        <v>713</v>
      </c>
      <c r="D9" s="394" t="str">
        <f>COVER!A15</f>
        <v>Edwards, Richland, 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2708114</v>
      </c>
      <c r="I12" s="404"/>
      <c r="J12" s="404"/>
      <c r="K12" s="405">
        <f>TRUNC((H12/H13*100000),5)/100000</f>
        <v>0.3415816532</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7928160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7797547</v>
      </c>
      <c r="I17" s="404"/>
      <c r="J17" s="416"/>
      <c r="K17" s="405">
        <f>TRUNC((H17/H18*100000),5)/100000</f>
        <v>0.98352543329999997</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7928160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2708114</v>
      </c>
      <c r="I24" s="422"/>
      <c r="J24" s="422"/>
      <c r="K24" s="423">
        <f>TRUNC(((H24/H25*100000)/100000),2)</f>
        <v>125.02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21659.852780000001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1712702.8115699999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1098907</v>
      </c>
      <c r="I32" s="420"/>
      <c r="J32" s="420"/>
      <c r="K32" s="423">
        <f>TRUNC(100-((((H32/H33*100))*100)/100),2)</f>
        <v>89.96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10947336.174000001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9" activePane="bottomLeft" state="frozen"/>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993695</v>
      </c>
      <c r="D4" s="466">
        <v>4712</v>
      </c>
      <c r="E4" s="466">
        <v>15868</v>
      </c>
      <c r="F4" s="466">
        <v>51973</v>
      </c>
      <c r="G4" s="466">
        <v>127269</v>
      </c>
      <c r="H4" s="466">
        <v>295043</v>
      </c>
      <c r="I4" s="466">
        <v>290628</v>
      </c>
      <c r="J4" s="467">
        <v>199733</v>
      </c>
      <c r="K4" s="466">
        <v>399</v>
      </c>
      <c r="L4" s="466">
        <v>228769</v>
      </c>
      <c r="M4" s="468"/>
      <c r="N4" s="469"/>
    </row>
    <row r="5" spans="1:14" x14ac:dyDescent="0.2">
      <c r="A5" s="463" t="s">
        <v>992</v>
      </c>
      <c r="B5" s="470">
        <v>120</v>
      </c>
      <c r="C5" s="465">
        <v>635146</v>
      </c>
      <c r="D5" s="466"/>
      <c r="E5" s="466">
        <v>419281</v>
      </c>
      <c r="F5" s="466"/>
      <c r="G5" s="466">
        <v>149323</v>
      </c>
      <c r="H5" s="466">
        <v>498</v>
      </c>
      <c r="I5" s="466">
        <v>731960</v>
      </c>
      <c r="J5" s="467">
        <v>209461</v>
      </c>
      <c r="K5" s="471">
        <v>385221</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1628841</v>
      </c>
      <c r="D13" s="1737">
        <f t="shared" ref="D13:L13" si="0">SUM(D4:D12)</f>
        <v>4712</v>
      </c>
      <c r="E13" s="1737">
        <f t="shared" si="0"/>
        <v>435149</v>
      </c>
      <c r="F13" s="1737">
        <f t="shared" si="0"/>
        <v>51973</v>
      </c>
      <c r="G13" s="1737">
        <f t="shared" si="0"/>
        <v>276592</v>
      </c>
      <c r="H13" s="1737">
        <f t="shared" si="0"/>
        <v>295541</v>
      </c>
      <c r="I13" s="1737">
        <f t="shared" si="0"/>
        <v>1022588</v>
      </c>
      <c r="J13" s="1737">
        <f t="shared" si="0"/>
        <v>409194</v>
      </c>
      <c r="K13" s="1737">
        <f t="shared" si="0"/>
        <v>385620</v>
      </c>
      <c r="L13" s="1737">
        <f t="shared" si="0"/>
        <v>228769</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122582</v>
      </c>
      <c r="N16" s="484"/>
    </row>
    <row r="17" spans="1:14" s="485" customFormat="1" ht="12.75" customHeight="1" x14ac:dyDescent="0.2">
      <c r="A17" s="482" t="s">
        <v>1403</v>
      </c>
      <c r="B17" s="483">
        <v>230</v>
      </c>
      <c r="C17" s="477"/>
      <c r="D17" s="477"/>
      <c r="E17" s="477"/>
      <c r="F17" s="477"/>
      <c r="G17" s="477"/>
      <c r="H17" s="477"/>
      <c r="I17" s="477"/>
      <c r="J17" s="477"/>
      <c r="K17" s="477"/>
      <c r="L17" s="477"/>
      <c r="M17" s="467">
        <v>9495991</v>
      </c>
      <c r="N17" s="484"/>
    </row>
    <row r="18" spans="1:14" s="485" customFormat="1" ht="12.75" customHeight="1" x14ac:dyDescent="0.2">
      <c r="A18" s="482" t="s">
        <v>1404</v>
      </c>
      <c r="B18" s="483">
        <v>240</v>
      </c>
      <c r="C18" s="477"/>
      <c r="D18" s="477"/>
      <c r="E18" s="477"/>
      <c r="F18" s="477"/>
      <c r="G18" s="477"/>
      <c r="H18" s="477"/>
      <c r="I18" s="477"/>
      <c r="J18" s="477"/>
      <c r="K18" s="477"/>
      <c r="L18" s="477"/>
      <c r="M18" s="467">
        <v>1000156</v>
      </c>
      <c r="N18" s="484"/>
    </row>
    <row r="19" spans="1:14" s="485" customFormat="1" ht="12.75" customHeight="1" x14ac:dyDescent="0.2">
      <c r="A19" s="482" t="s">
        <v>1405</v>
      </c>
      <c r="B19" s="483">
        <v>250</v>
      </c>
      <c r="C19" s="477"/>
      <c r="D19" s="477"/>
      <c r="E19" s="477"/>
      <c r="F19" s="477"/>
      <c r="G19" s="477"/>
      <c r="H19" s="477"/>
      <c r="I19" s="477"/>
      <c r="J19" s="477"/>
      <c r="K19" s="477"/>
      <c r="L19" s="477"/>
      <c r="M19" s="467">
        <v>2306507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435149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663758</v>
      </c>
    </row>
    <row r="23" spans="1:14" ht="13.5" customHeight="1" thickBot="1" x14ac:dyDescent="0.25">
      <c r="A23" s="1736" t="s">
        <v>643</v>
      </c>
      <c r="B23" s="1741"/>
      <c r="C23" s="468"/>
      <c r="D23" s="468"/>
      <c r="E23" s="468"/>
      <c r="F23" s="468"/>
      <c r="G23" s="468"/>
      <c r="H23" s="468"/>
      <c r="I23" s="468"/>
      <c r="J23" s="468"/>
      <c r="K23" s="468"/>
      <c r="L23" s="468"/>
      <c r="M23" s="1688">
        <f>SUM(M15:M22)</f>
        <v>12925236</v>
      </c>
      <c r="N23" s="1688">
        <f>SUM(N21:N22)</f>
        <v>1098907</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228769</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228769</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1098907</v>
      </c>
    </row>
    <row r="37" spans="1:14" ht="13.5" thickBot="1" x14ac:dyDescent="0.25">
      <c r="A37" s="1736" t="s">
        <v>653</v>
      </c>
      <c r="B37" s="1741"/>
      <c r="C37" s="477"/>
      <c r="D37" s="477"/>
      <c r="E37" s="477"/>
      <c r="F37" s="477"/>
      <c r="G37" s="477"/>
      <c r="H37" s="477"/>
      <c r="I37" s="477"/>
      <c r="J37" s="477"/>
      <c r="K37" s="477"/>
      <c r="L37" s="480"/>
      <c r="M37" s="468"/>
      <c r="N37" s="1688">
        <f>SUM(N36:N36)</f>
        <v>1098907</v>
      </c>
    </row>
    <row r="38" spans="1:14" s="329" customFormat="1" ht="13.5" customHeight="1" thickTop="1" x14ac:dyDescent="0.2">
      <c r="A38" s="496" t="s">
        <v>420</v>
      </c>
      <c r="B38" s="483">
        <v>714</v>
      </c>
      <c r="C38" s="466">
        <v>3851</v>
      </c>
      <c r="D38" s="466"/>
      <c r="E38" s="466">
        <v>393802</v>
      </c>
      <c r="F38" s="466"/>
      <c r="G38" s="466">
        <v>151901</v>
      </c>
      <c r="H38" s="466"/>
      <c r="I38" s="466"/>
      <c r="J38" s="467"/>
      <c r="K38" s="466"/>
      <c r="L38" s="481"/>
      <c r="M38" s="497"/>
      <c r="N38" s="497"/>
    </row>
    <row r="39" spans="1:14" s="329" customFormat="1" ht="13.5" customHeight="1" x14ac:dyDescent="0.2">
      <c r="A39" s="496" t="s">
        <v>342</v>
      </c>
      <c r="B39" s="483">
        <v>730</v>
      </c>
      <c r="C39" s="466">
        <v>1624990</v>
      </c>
      <c r="D39" s="466">
        <v>4712</v>
      </c>
      <c r="E39" s="466">
        <v>41347</v>
      </c>
      <c r="F39" s="466">
        <v>51973</v>
      </c>
      <c r="G39" s="466">
        <v>124691</v>
      </c>
      <c r="H39" s="466">
        <v>295541</v>
      </c>
      <c r="I39" s="466">
        <v>1022588</v>
      </c>
      <c r="J39" s="467">
        <v>409194</v>
      </c>
      <c r="K39" s="466">
        <v>385620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12925236</v>
      </c>
      <c r="N40" s="497"/>
    </row>
    <row r="41" spans="1:14" ht="13.5" customHeight="1" thickBot="1" x14ac:dyDescent="0.25">
      <c r="A41" s="1736" t="s">
        <v>655</v>
      </c>
      <c r="B41" s="1706"/>
      <c r="C41" s="1688">
        <f>(SUM(C34,C37,C38,C39))</f>
        <v>1628841</v>
      </c>
      <c r="D41" s="1688">
        <f t="shared" ref="D41:L41" si="2">SUM(D34,D37,D38:D39)</f>
        <v>4712</v>
      </c>
      <c r="E41" s="1688">
        <f t="shared" si="2"/>
        <v>435149</v>
      </c>
      <c r="F41" s="1688">
        <f t="shared" si="2"/>
        <v>51973</v>
      </c>
      <c r="G41" s="1688">
        <f t="shared" si="2"/>
        <v>276592</v>
      </c>
      <c r="H41" s="1688">
        <f t="shared" si="2"/>
        <v>295541</v>
      </c>
      <c r="I41" s="1688">
        <f t="shared" si="2"/>
        <v>1022588</v>
      </c>
      <c r="J41" s="1688">
        <f t="shared" si="2"/>
        <v>409194</v>
      </c>
      <c r="K41" s="1688">
        <f t="shared" si="2"/>
        <v>385620</v>
      </c>
      <c r="L41" s="1688">
        <f t="shared" si="2"/>
        <v>228769</v>
      </c>
      <c r="M41" s="1688">
        <f>SUM(M40)</f>
        <v>12925236</v>
      </c>
      <c r="N41" s="1688">
        <f>SUM(N37)</f>
        <v>1098907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6"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1989415</v>
      </c>
      <c r="D4" s="1742">
        <f>'Revenues 9-14'!D109</f>
        <v>519822</v>
      </c>
      <c r="E4" s="1742">
        <f>'Revenues 9-14'!E109</f>
        <v>408999</v>
      </c>
      <c r="F4" s="1742">
        <f>'Revenues 9-14'!F109</f>
        <v>170522</v>
      </c>
      <c r="G4" s="1742">
        <f>'Revenues 9-14'!G109</f>
        <v>310479</v>
      </c>
      <c r="H4" s="1742">
        <f>'Revenues 9-14'!H109</f>
        <v>238227</v>
      </c>
      <c r="I4" s="1742">
        <f>'Revenues 9-14'!I109</f>
        <v>42782</v>
      </c>
      <c r="J4" s="1742">
        <f>'Revenues 9-14'!J109</f>
        <v>213025</v>
      </c>
      <c r="K4" s="1742">
        <f>'Revenues 9-14'!K109</f>
        <v>2004</v>
      </c>
      <c r="L4" s="347"/>
    </row>
    <row r="5" spans="1:13" ht="15.75" customHeight="1" x14ac:dyDescent="0.2">
      <c r="A5" s="1576" t="s">
        <v>1500</v>
      </c>
      <c r="B5" s="1577">
        <v>2000</v>
      </c>
      <c r="C5" s="1743">
        <f>'Revenues 9-14'!C114</f>
        <v>1159</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4218349</v>
      </c>
      <c r="D6" s="1743">
        <f>'Revenues 9-14'!D170</f>
        <v>105000</v>
      </c>
      <c r="E6" s="1743">
        <f>'Revenues 9-14'!E170</f>
        <v>0</v>
      </c>
      <c r="F6" s="1743">
        <f>'Revenues 9-14'!F170</f>
        <v>373628</v>
      </c>
      <c r="G6" s="1743">
        <f>'Revenues 9-14'!G170</f>
        <v>837</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507483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6716406</v>
      </c>
      <c r="D8" s="1688">
        <f t="shared" ref="D8:K8" si="0">SUM(D4:D7)</f>
        <v>624822</v>
      </c>
      <c r="E8" s="1688">
        <f t="shared" si="0"/>
        <v>408999</v>
      </c>
      <c r="F8" s="1688">
        <f t="shared" si="0"/>
        <v>544150</v>
      </c>
      <c r="G8" s="1688">
        <f t="shared" si="0"/>
        <v>311316</v>
      </c>
      <c r="H8" s="1688">
        <f t="shared" si="0"/>
        <v>238227</v>
      </c>
      <c r="I8" s="1688">
        <f t="shared" si="0"/>
        <v>42782</v>
      </c>
      <c r="J8" s="1688">
        <f t="shared" si="0"/>
        <v>213025</v>
      </c>
      <c r="K8" s="1688">
        <f t="shared" si="0"/>
        <v>2004</v>
      </c>
      <c r="L8" s="347"/>
    </row>
    <row r="9" spans="1:13" ht="15.75" thickTop="1" x14ac:dyDescent="0.2">
      <c r="A9" s="514" t="s">
        <v>1653</v>
      </c>
      <c r="B9" s="515">
        <v>3998</v>
      </c>
      <c r="C9" s="481">
        <v>2902706</v>
      </c>
      <c r="D9" s="516"/>
      <c r="E9" s="481"/>
      <c r="F9" s="481"/>
      <c r="G9" s="517"/>
      <c r="H9" s="481"/>
      <c r="I9" s="509" t="s">
        <v>1169</v>
      </c>
      <c r="J9" s="478"/>
      <c r="K9" s="481"/>
      <c r="L9" s="347"/>
    </row>
    <row r="10" spans="1:13" s="519" customFormat="1" ht="13.5" thickBot="1" x14ac:dyDescent="0.25">
      <c r="A10" s="1736" t="s">
        <v>1173</v>
      </c>
      <c r="B10" s="1709"/>
      <c r="C10" s="1688">
        <f>SUM(C8:C9)</f>
        <v>9619112</v>
      </c>
      <c r="D10" s="1688">
        <f t="shared" ref="D10:K10" si="1">SUM(D8:D9)</f>
        <v>624822</v>
      </c>
      <c r="E10" s="1688">
        <f t="shared" si="1"/>
        <v>408999</v>
      </c>
      <c r="F10" s="1688">
        <f t="shared" si="1"/>
        <v>544150</v>
      </c>
      <c r="G10" s="1688">
        <f t="shared" si="1"/>
        <v>311316</v>
      </c>
      <c r="H10" s="1688">
        <f t="shared" si="1"/>
        <v>238227</v>
      </c>
      <c r="I10" s="1688">
        <f t="shared" si="1"/>
        <v>42782</v>
      </c>
      <c r="J10" s="1688">
        <f t="shared" si="1"/>
        <v>213025</v>
      </c>
      <c r="K10" s="1688">
        <f t="shared" si="1"/>
        <v>2004</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5033949</v>
      </c>
      <c r="D12" s="520" t="s">
        <v>1169</v>
      </c>
      <c r="E12" s="468" t="s">
        <v>1169</v>
      </c>
      <c r="F12" s="468" t="s">
        <v>1169</v>
      </c>
      <c r="G12" s="1742">
        <f>'Expenditures 15-22'!K229</f>
        <v>121764</v>
      </c>
      <c r="H12" s="521"/>
      <c r="I12" s="468" t="s">
        <v>1169</v>
      </c>
      <c r="J12" s="468" t="s">
        <v>1169</v>
      </c>
      <c r="K12" s="521" t="s">
        <v>1169</v>
      </c>
      <c r="L12" s="347"/>
    </row>
    <row r="13" spans="1:13" ht="15.75" customHeight="1" x14ac:dyDescent="0.2">
      <c r="A13" s="1576" t="s">
        <v>457</v>
      </c>
      <c r="B13" s="1578">
        <v>2000</v>
      </c>
      <c r="C13" s="1743">
        <f>'Expenditures 15-22'!K74</f>
        <v>1425733</v>
      </c>
      <c r="D13" s="1743">
        <f>'Expenditures 15-22'!K129</f>
        <v>621566</v>
      </c>
      <c r="E13" s="469" t="s">
        <v>1169</v>
      </c>
      <c r="F13" s="1743">
        <f>'Expenditures 15-22'!K184</f>
        <v>494013</v>
      </c>
      <c r="G13" s="1743">
        <f>'Expenditures 15-22'!K279</f>
        <v>150664</v>
      </c>
      <c r="H13" s="1743">
        <f>'Expenditures 15-22'!K303</f>
        <v>93138</v>
      </c>
      <c r="I13" s="468" t="s">
        <v>1169</v>
      </c>
      <c r="J13" s="1743">
        <f>'Expenditures 15-22'!K330</f>
        <v>108078</v>
      </c>
      <c r="K13" s="1747">
        <f>'Expenditures 15-22'!K352</f>
        <v>32175</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222286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302526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6681968</v>
      </c>
      <c r="D17" s="1688">
        <f t="shared" si="2"/>
        <v>621566</v>
      </c>
      <c r="E17" s="1688">
        <f t="shared" si="2"/>
        <v>302526</v>
      </c>
      <c r="F17" s="1688">
        <f t="shared" si="2"/>
        <v>494013</v>
      </c>
      <c r="G17" s="1688">
        <f t="shared" si="2"/>
        <v>272428</v>
      </c>
      <c r="H17" s="1688">
        <f t="shared" si="2"/>
        <v>93138</v>
      </c>
      <c r="I17" s="468"/>
      <c r="J17" s="1688">
        <f>SUM(J12:J16)</f>
        <v>108078</v>
      </c>
      <c r="K17" s="1688">
        <f>SUM(K12:K16)</f>
        <v>32175</v>
      </c>
      <c r="L17" s="347"/>
    </row>
    <row r="18" spans="1:12" ht="15" customHeight="1" thickTop="1" x14ac:dyDescent="0.2">
      <c r="A18" s="1744" t="s">
        <v>1654</v>
      </c>
      <c r="B18" s="1745">
        <v>4180</v>
      </c>
      <c r="C18" s="1742">
        <f t="shared" ref="C18:H18" si="3">C9</f>
        <v>2902706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9584674</v>
      </c>
      <c r="D19" s="1688">
        <f t="shared" si="4"/>
        <v>621566</v>
      </c>
      <c r="E19" s="1688">
        <f t="shared" si="4"/>
        <v>302526</v>
      </c>
      <c r="F19" s="1688">
        <f t="shared" si="4"/>
        <v>494013</v>
      </c>
      <c r="G19" s="1688">
        <f t="shared" si="4"/>
        <v>272428</v>
      </c>
      <c r="H19" s="1688">
        <f t="shared" si="4"/>
        <v>93138</v>
      </c>
      <c r="I19" s="468"/>
      <c r="J19" s="1688">
        <f>SUM(J17:J18)</f>
        <v>108078</v>
      </c>
      <c r="K19" s="1688">
        <f>SUM(K17:K18)</f>
        <v>32175</v>
      </c>
      <c r="L19" s="347"/>
    </row>
    <row r="20" spans="1:12" ht="16.5" thickTop="1" thickBot="1" x14ac:dyDescent="0.25">
      <c r="A20" s="2130" t="s">
        <v>1655</v>
      </c>
      <c r="B20" s="2131"/>
      <c r="C20" s="1746">
        <f>C8-C17</f>
        <v>34438</v>
      </c>
      <c r="D20" s="1746">
        <f t="shared" ref="D20:K20" si="5">D8-D17</f>
        <v>3256</v>
      </c>
      <c r="E20" s="1746">
        <f t="shared" si="5"/>
        <v>106473</v>
      </c>
      <c r="F20" s="1746">
        <f t="shared" si="5"/>
        <v>50137</v>
      </c>
      <c r="G20" s="1746">
        <f t="shared" si="5"/>
        <v>38888</v>
      </c>
      <c r="H20" s="1746">
        <f t="shared" si="5"/>
        <v>145089</v>
      </c>
      <c r="I20" s="1746">
        <f t="shared" si="5"/>
        <v>42782</v>
      </c>
      <c r="J20" s="1746">
        <f t="shared" si="5"/>
        <v>104947</v>
      </c>
      <c r="K20" s="1746">
        <f t="shared" si="5"/>
        <v>-30171</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2" t="s">
        <v>1177</v>
      </c>
      <c r="B77" s="2123"/>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597</v>
      </c>
      <c r="B78" s="2127"/>
      <c r="C78" s="1702">
        <f t="shared" ref="C78:K78" si="9">C20+C77</f>
        <v>34438</v>
      </c>
      <c r="D78" s="1702">
        <f t="shared" si="9"/>
        <v>3256</v>
      </c>
      <c r="E78" s="1702">
        <f t="shared" si="9"/>
        <v>106473</v>
      </c>
      <c r="F78" s="1702">
        <f t="shared" si="9"/>
        <v>50137</v>
      </c>
      <c r="G78" s="1702">
        <f t="shared" si="9"/>
        <v>38888</v>
      </c>
      <c r="H78" s="1702">
        <f t="shared" si="9"/>
        <v>145089</v>
      </c>
      <c r="I78" s="1702">
        <f t="shared" si="9"/>
        <v>42782</v>
      </c>
      <c r="J78" s="1702">
        <f t="shared" si="9"/>
        <v>104947</v>
      </c>
      <c r="K78" s="1702">
        <f t="shared" si="9"/>
        <v>-30171</v>
      </c>
      <c r="L78" s="533"/>
    </row>
    <row r="79" spans="1:12" ht="13.5" thickTop="1" x14ac:dyDescent="0.2">
      <c r="A79" s="1494" t="s">
        <v>1948</v>
      </c>
      <c r="B79" s="534"/>
      <c r="C79" s="478">
        <v>1594403</v>
      </c>
      <c r="D79" s="535">
        <v>1456</v>
      </c>
      <c r="E79" s="535">
        <v>328676</v>
      </c>
      <c r="F79" s="535">
        <v>1836</v>
      </c>
      <c r="G79" s="535">
        <v>237704</v>
      </c>
      <c r="H79" s="535">
        <v>150452</v>
      </c>
      <c r="I79" s="535">
        <v>979806</v>
      </c>
      <c r="J79" s="535">
        <v>304247</v>
      </c>
      <c r="K79" s="535">
        <v>415791</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1949</v>
      </c>
      <c r="B81" s="2125"/>
      <c r="C81" s="1688">
        <f>(SUM(C78:C80))</f>
        <v>1628841</v>
      </c>
      <c r="D81" s="1688">
        <f>SUM(D78:D80)</f>
        <v>4712</v>
      </c>
      <c r="E81" s="1688">
        <f t="shared" ref="E81:K81" si="10">SUM(E78:E80)</f>
        <v>435149</v>
      </c>
      <c r="F81" s="1688">
        <f t="shared" si="10"/>
        <v>51973</v>
      </c>
      <c r="G81" s="1688">
        <f t="shared" si="10"/>
        <v>276592</v>
      </c>
      <c r="H81" s="1688">
        <f t="shared" si="10"/>
        <v>295541</v>
      </c>
      <c r="I81" s="1688">
        <f t="shared" si="10"/>
        <v>1022588</v>
      </c>
      <c r="J81" s="1688">
        <f t="shared" si="10"/>
        <v>409194</v>
      </c>
      <c r="K81" s="1688">
        <f t="shared" si="10"/>
        <v>385620</v>
      </c>
      <c r="L81" s="347"/>
    </row>
    <row r="82" spans="1:12" ht="0.75" customHeight="1" thickTop="1" thickBot="1" x14ac:dyDescent="0.25">
      <c r="A82" s="536" t="s">
        <v>343</v>
      </c>
      <c r="B82" s="537"/>
      <c r="C82" s="538">
        <f>(C81-C79)</f>
        <v>34438</v>
      </c>
      <c r="D82" s="538">
        <f t="shared" ref="D82:K82" si="11">(D81-D79)</f>
        <v>3256</v>
      </c>
      <c r="E82" s="538">
        <f t="shared" si="11"/>
        <v>106473</v>
      </c>
      <c r="F82" s="538">
        <f t="shared" si="11"/>
        <v>50137</v>
      </c>
      <c r="G82" s="538">
        <f t="shared" si="11"/>
        <v>38888</v>
      </c>
      <c r="H82" s="538">
        <f t="shared" si="11"/>
        <v>145089</v>
      </c>
      <c r="I82" s="538">
        <f t="shared" si="11"/>
        <v>42782</v>
      </c>
      <c r="J82" s="538">
        <f t="shared" si="11"/>
        <v>104947</v>
      </c>
      <c r="K82" s="538">
        <f t="shared" si="11"/>
        <v>-30171</v>
      </c>
    </row>
    <row r="83" spans="1:12" ht="14.25" hidden="1" thickTop="1" thickBot="1" x14ac:dyDescent="0.25">
      <c r="A83" s="539" t="s">
        <v>344</v>
      </c>
      <c r="B83" s="464"/>
      <c r="C83" s="540">
        <f>C82/C81</f>
        <v>2.1142640687458136E-2</v>
      </c>
      <c r="D83" s="540">
        <f t="shared" ref="D83:K83" si="12">D82/D81</f>
        <v>0.69100169779286924</v>
      </c>
      <c r="E83" s="540">
        <f t="shared" si="12"/>
        <v>0.24468170672574222</v>
      </c>
      <c r="F83" s="540">
        <f t="shared" si="12"/>
        <v>0.9646739653281512</v>
      </c>
      <c r="G83" s="540">
        <f t="shared" si="12"/>
        <v>0.14059698038988835</v>
      </c>
      <c r="H83" s="540">
        <f t="shared" si="12"/>
        <v>0.49092680880148609</v>
      </c>
      <c r="I83" s="540">
        <f t="shared" si="12"/>
        <v>4.1836986156692624E-2</v>
      </c>
      <c r="J83" s="540">
        <f t="shared" si="12"/>
        <v>0.25647248004613948</v>
      </c>
      <c r="K83" s="540">
        <f t="shared" si="12"/>
        <v>-7.8240236502256102E-2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110" zoomScaleNormal="110" zoomScaleSheetLayoutView="75" workbookViewId="0">
      <pane ySplit="2" topLeftCell="A234" activePane="bottomLeft" state="frozen"/>
      <selection pane="bottomLeft" activeCell="E103" sqref="E10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1421314</v>
      </c>
      <c r="D5" s="481">
        <v>386226</v>
      </c>
      <c r="E5" s="466">
        <v>301624</v>
      </c>
      <c r="F5" s="548">
        <v>154490</v>
      </c>
      <c r="G5" s="466">
        <v>150615</v>
      </c>
      <c r="H5" s="466"/>
      <c r="I5" s="466">
        <v>38623</v>
      </c>
      <c r="J5" s="467">
        <v>210860</v>
      </c>
      <c r="K5" s="466"/>
    </row>
    <row r="6" spans="1:12" ht="15" x14ac:dyDescent="0.2">
      <c r="A6" s="463" t="s">
        <v>1662</v>
      </c>
      <c r="B6" s="470">
        <v>1130</v>
      </c>
      <c r="C6" s="466">
        <v>38622</v>
      </c>
      <c r="D6" s="466">
        <v>1</v>
      </c>
      <c r="E6" s="475"/>
      <c r="F6" s="475"/>
      <c r="G6" s="468"/>
      <c r="H6" s="468"/>
      <c r="I6" s="468"/>
      <c r="J6" s="468"/>
      <c r="K6" s="468"/>
    </row>
    <row r="7" spans="1:12" x14ac:dyDescent="0.2">
      <c r="A7" s="463" t="s">
        <v>110</v>
      </c>
      <c r="B7" s="549">
        <v>1140</v>
      </c>
      <c r="C7" s="466">
        <v>30898</v>
      </c>
      <c r="D7" s="466"/>
      <c r="E7" s="468"/>
      <c r="F7" s="467"/>
      <c r="G7" s="467"/>
      <c r="H7" s="467"/>
      <c r="I7" s="468"/>
      <c r="J7" s="468"/>
      <c r="K7" s="468"/>
    </row>
    <row r="8" spans="1:12" x14ac:dyDescent="0.2">
      <c r="A8" s="463" t="s">
        <v>413</v>
      </c>
      <c r="B8" s="470">
        <v>1150</v>
      </c>
      <c r="C8" s="475"/>
      <c r="D8" s="475"/>
      <c r="E8" s="477"/>
      <c r="F8" s="477"/>
      <c r="G8" s="481">
        <v>150615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1490834</v>
      </c>
      <c r="D12" s="1707">
        <f t="shared" si="0"/>
        <v>386227</v>
      </c>
      <c r="E12" s="1707">
        <f t="shared" si="0"/>
        <v>301624</v>
      </c>
      <c r="F12" s="1707">
        <f t="shared" si="0"/>
        <v>154490</v>
      </c>
      <c r="G12" s="1707">
        <f t="shared" si="0"/>
        <v>301230</v>
      </c>
      <c r="H12" s="1707">
        <f t="shared" si="0"/>
        <v>0</v>
      </c>
      <c r="I12" s="1707">
        <f t="shared" si="0"/>
        <v>38623</v>
      </c>
      <c r="J12" s="1707">
        <f t="shared" si="0"/>
        <v>210860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6113</v>
      </c>
      <c r="D14" s="466">
        <v>1584</v>
      </c>
      <c r="E14" s="466">
        <v>1674</v>
      </c>
      <c r="F14" s="466">
        <v>634</v>
      </c>
      <c r="G14" s="466">
        <v>1277</v>
      </c>
      <c r="H14" s="466"/>
      <c r="I14" s="466">
        <v>159</v>
      </c>
      <c r="J14" s="467">
        <v>894</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48145</v>
      </c>
      <c r="D16" s="466">
        <v>126423</v>
      </c>
      <c r="E16" s="466"/>
      <c r="F16" s="466"/>
      <c r="G16" s="466">
        <v>7006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54258</v>
      </c>
      <c r="D18" s="1710">
        <f t="shared" ref="D18:K18" si="1">SUM(D14:D17)</f>
        <v>128007</v>
      </c>
      <c r="E18" s="1710">
        <f t="shared" si="1"/>
        <v>1674</v>
      </c>
      <c r="F18" s="1710">
        <f t="shared" si="1"/>
        <v>634</v>
      </c>
      <c r="G18" s="1710">
        <f t="shared" si="1"/>
        <v>8283</v>
      </c>
      <c r="H18" s="1710">
        <f t="shared" si="1"/>
        <v>0</v>
      </c>
      <c r="I18" s="1710">
        <f t="shared" si="1"/>
        <v>159</v>
      </c>
      <c r="J18" s="1710">
        <f t="shared" si="1"/>
        <v>894</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6997</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6997</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10724</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10724</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12381</v>
      </c>
      <c r="D65" s="466">
        <v>58</v>
      </c>
      <c r="E65" s="466">
        <v>5701</v>
      </c>
      <c r="F65" s="467">
        <v>41</v>
      </c>
      <c r="G65" s="466">
        <v>966</v>
      </c>
      <c r="H65" s="466">
        <v>261</v>
      </c>
      <c r="I65" s="466">
        <v>4000</v>
      </c>
      <c r="J65" s="467">
        <v>1271</v>
      </c>
      <c r="K65" s="466">
        <v>2004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12381</v>
      </c>
      <c r="D67" s="1688">
        <f t="shared" ref="D67:K67" si="2">SUM(D65:D66)</f>
        <v>58</v>
      </c>
      <c r="E67" s="1688">
        <f t="shared" si="2"/>
        <v>5701</v>
      </c>
      <c r="F67" s="1688">
        <f t="shared" si="2"/>
        <v>41</v>
      </c>
      <c r="G67" s="1688">
        <f t="shared" si="2"/>
        <v>966</v>
      </c>
      <c r="H67" s="1688">
        <f t="shared" si="2"/>
        <v>261</v>
      </c>
      <c r="I67" s="1688">
        <f t="shared" si="2"/>
        <v>4000</v>
      </c>
      <c r="J67" s="1688">
        <f t="shared" si="2"/>
        <v>1271</v>
      </c>
      <c r="K67" s="1688">
        <f t="shared" si="2"/>
        <v>2004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157028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1722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1025</v>
      </c>
      <c r="D73" s="468"/>
      <c r="E73" s="468"/>
      <c r="F73" s="468"/>
      <c r="G73" s="468"/>
      <c r="H73" s="468"/>
      <c r="I73" s="468"/>
      <c r="J73" s="468"/>
      <c r="K73" s="468"/>
    </row>
    <row r="74" spans="1:11" ht="12.75" customHeight="1" x14ac:dyDescent="0.2">
      <c r="A74" s="463" t="s">
        <v>25</v>
      </c>
      <c r="B74" s="470">
        <v>1690</v>
      </c>
      <c r="C74" s="551">
        <v>1015</v>
      </c>
      <c r="D74" s="468"/>
      <c r="E74" s="468"/>
      <c r="F74" s="468"/>
      <c r="G74" s="468"/>
      <c r="H74" s="468"/>
      <c r="I74" s="468"/>
      <c r="J74" s="468"/>
      <c r="K74" s="468"/>
    </row>
    <row r="75" spans="1:11" ht="12.75" customHeight="1" thickBot="1" x14ac:dyDescent="0.25">
      <c r="A75" s="1708" t="s">
        <v>548</v>
      </c>
      <c r="B75" s="1709"/>
      <c r="C75" s="1688">
        <f>SUM(C69:C74)</f>
        <v>160790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38578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19340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57918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40920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40920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3543</v>
      </c>
      <c r="E95" s="521"/>
      <c r="F95" s="521"/>
      <c r="G95" s="521"/>
      <c r="H95" s="521"/>
      <c r="I95" s="521"/>
      <c r="J95" s="521"/>
      <c r="K95" s="521"/>
    </row>
    <row r="96" spans="1:11" ht="12.75" customHeight="1" x14ac:dyDescent="0.2">
      <c r="A96" s="463" t="s">
        <v>391</v>
      </c>
      <c r="B96" s="470">
        <v>1920</v>
      </c>
      <c r="C96" s="551">
        <v>158257</v>
      </c>
      <c r="D96" s="551">
        <v>922</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5500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100000</v>
      </c>
      <c r="F103" s="468"/>
      <c r="G103" s="468"/>
      <c r="H103" s="489">
        <v>237266</v>
      </c>
      <c r="I103" s="468"/>
      <c r="J103" s="510"/>
      <c r="K103" s="510"/>
    </row>
    <row r="104" spans="1:12" ht="12.75" customHeight="1" x14ac:dyDescent="0.2">
      <c r="A104" s="463" t="s">
        <v>830</v>
      </c>
      <c r="B104" s="470">
        <v>1991</v>
      </c>
      <c r="C104" s="489">
        <v>372</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1188</v>
      </c>
      <c r="D107" s="466">
        <v>1065</v>
      </c>
      <c r="E107" s="466"/>
      <c r="F107" s="466">
        <v>4633</v>
      </c>
      <c r="G107" s="466"/>
      <c r="H107" s="466">
        <v>700</v>
      </c>
      <c r="I107" s="466"/>
      <c r="J107" s="467"/>
      <c r="K107" s="466"/>
    </row>
    <row r="108" spans="1:12" ht="12.75" customHeight="1" thickBot="1" x14ac:dyDescent="0.25">
      <c r="A108" s="1708" t="s">
        <v>487</v>
      </c>
      <c r="B108" s="1712"/>
      <c r="C108" s="1707">
        <f>SUM(C95:C107)</f>
        <v>165317</v>
      </c>
      <c r="D108" s="1707">
        <f t="shared" ref="D108:K108" si="3">SUM(D95:D107)</f>
        <v>5530</v>
      </c>
      <c r="E108" s="1707">
        <f t="shared" si="3"/>
        <v>100000</v>
      </c>
      <c r="F108" s="1707">
        <f t="shared" si="3"/>
        <v>4633</v>
      </c>
      <c r="G108" s="1707">
        <f t="shared" si="3"/>
        <v>0</v>
      </c>
      <c r="H108" s="1707">
        <f t="shared" si="3"/>
        <v>237966</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1989415</v>
      </c>
      <c r="D109" s="1715">
        <f t="shared" si="4"/>
        <v>519822</v>
      </c>
      <c r="E109" s="1715">
        <f t="shared" si="4"/>
        <v>408999</v>
      </c>
      <c r="F109" s="1715">
        <f t="shared" si="4"/>
        <v>170522</v>
      </c>
      <c r="G109" s="1715">
        <f t="shared" si="4"/>
        <v>310479</v>
      </c>
      <c r="H109" s="1715">
        <f t="shared" si="4"/>
        <v>238227</v>
      </c>
      <c r="I109" s="1715">
        <f t="shared" si="4"/>
        <v>42782</v>
      </c>
      <c r="J109" s="1715">
        <f t="shared" si="4"/>
        <v>213025</v>
      </c>
      <c r="K109" s="1702">
        <f t="shared" si="4"/>
        <v>2004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1159</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1159</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4052258</v>
      </c>
      <c r="D117" s="481">
        <v>105000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4052258</v>
      </c>
      <c r="D122" s="1707">
        <f t="shared" si="5"/>
        <v>105000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38684</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38684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25163</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30285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55448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3165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12985</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221274</v>
      </c>
      <c r="G152" s="467"/>
      <c r="H152" s="468"/>
      <c r="I152" s="468"/>
      <c r="J152" s="468"/>
      <c r="K152" s="468"/>
    </row>
    <row r="153" spans="1:11" ht="12.75" customHeight="1" x14ac:dyDescent="0.2">
      <c r="A153" s="463" t="s">
        <v>1057</v>
      </c>
      <c r="B153" s="562">
        <v>3510</v>
      </c>
      <c r="C153" s="551"/>
      <c r="D153" s="466"/>
      <c r="E153" s="561"/>
      <c r="F153" s="466">
        <v>152354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373628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v>43527</v>
      </c>
      <c r="D158" s="468"/>
      <c r="E158" s="561"/>
      <c r="F158" s="576"/>
      <c r="G158" s="576"/>
      <c r="H158" s="468"/>
      <c r="I158" s="468"/>
      <c r="J158" s="468"/>
      <c r="K158" s="468"/>
    </row>
    <row r="159" spans="1:11" ht="12.75" customHeight="1" thickTop="1" thickBot="1" x14ac:dyDescent="0.25">
      <c r="A159" s="1500" t="s">
        <v>1051</v>
      </c>
      <c r="B159" s="574">
        <v>3705</v>
      </c>
      <c r="C159" s="576">
        <v>10682</v>
      </c>
      <c r="D159" s="578"/>
      <c r="E159" s="561"/>
      <c r="F159" s="576"/>
      <c r="G159" s="576">
        <v>837</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1600</v>
      </c>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166091</v>
      </c>
      <c r="D169" s="1722">
        <f t="shared" si="6"/>
        <v>0</v>
      </c>
      <c r="E169" s="1722">
        <f t="shared" si="6"/>
        <v>0</v>
      </c>
      <c r="F169" s="1722">
        <f t="shared" si="6"/>
        <v>373628</v>
      </c>
      <c r="G169" s="1722">
        <f t="shared" si="6"/>
        <v>837</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4218349</v>
      </c>
      <c r="D170" s="1715">
        <f t="shared" si="7"/>
        <v>105000</v>
      </c>
      <c r="E170" s="1715">
        <f t="shared" si="7"/>
        <v>0</v>
      </c>
      <c r="F170" s="1715">
        <f t="shared" si="7"/>
        <v>373628</v>
      </c>
      <c r="G170" s="1715">
        <f t="shared" si="7"/>
        <v>837</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167779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26558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194337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182339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182339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8519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8519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4886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4886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34862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16058</v>
      </c>
      <c r="D263" s="576"/>
      <c r="E263" s="468"/>
      <c r="F263" s="576"/>
      <c r="G263" s="576"/>
      <c r="H263" s="468"/>
      <c r="I263" s="468"/>
      <c r="J263" s="468"/>
      <c r="K263" s="468"/>
    </row>
    <row r="264" spans="1:11" ht="12.75" customHeight="1" thickTop="1" thickBot="1" x14ac:dyDescent="0.25">
      <c r="A264" s="463" t="s">
        <v>377</v>
      </c>
      <c r="B264" s="470">
        <v>4992</v>
      </c>
      <c r="C264" s="575">
        <v>66482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507483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507483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6716406</v>
      </c>
      <c r="D268" s="1715">
        <f t="shared" si="12"/>
        <v>624822</v>
      </c>
      <c r="E268" s="1715">
        <f t="shared" si="12"/>
        <v>408999</v>
      </c>
      <c r="F268" s="1715">
        <f t="shared" si="12"/>
        <v>544150</v>
      </c>
      <c r="G268" s="1715">
        <f t="shared" si="12"/>
        <v>311316</v>
      </c>
      <c r="H268" s="1715">
        <f t="shared" si="12"/>
        <v>238227</v>
      </c>
      <c r="I268" s="1715">
        <f t="shared" si="12"/>
        <v>42782</v>
      </c>
      <c r="J268" s="1715">
        <f t="shared" si="12"/>
        <v>213025</v>
      </c>
      <c r="K268" s="1702">
        <f t="shared" si="12"/>
        <v>2004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67" firstPageNumber="9" fitToHeight="0" orientation="landscape" useFirstPageNumber="1" r:id="rId1"/>
  <headerFooter alignWithMargins="0">
    <oddHeader>&amp;L&amp;8Page &amp;P&amp;C&amp;"Arial,Bold"&amp;9STATEMENT OF REVENUES RECEIVED/REVENUES
FOR THE YEAR ENDING JUNE 30, 2019&amp;R&amp;8Page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36" activePane="bottomLeft" state="frozen"/>
      <selection pane="bottomLeft" activeCell="C60" sqref="C6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2335366</v>
      </c>
      <c r="D5" s="466">
        <v>500109</v>
      </c>
      <c r="E5" s="466">
        <v>7896</v>
      </c>
      <c r="F5" s="466">
        <v>304424</v>
      </c>
      <c r="G5" s="466">
        <v>31309</v>
      </c>
      <c r="H5" s="466"/>
      <c r="I5" s="467"/>
      <c r="J5" s="467"/>
      <c r="K5" s="1671">
        <f>SUM(C5:J5)</f>
        <v>3179104</v>
      </c>
      <c r="L5" s="466">
        <v>3158958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10615</v>
      </c>
      <c r="D7" s="467">
        <v>431</v>
      </c>
      <c r="E7" s="467"/>
      <c r="F7" s="467"/>
      <c r="G7" s="467">
        <v>1325</v>
      </c>
      <c r="H7" s="467">
        <v>4133</v>
      </c>
      <c r="I7" s="467"/>
      <c r="J7" s="467"/>
      <c r="K7" s="1671">
        <f t="shared" ref="K7:K32" si="0">SUM(C7:J7)</f>
        <v>16504</v>
      </c>
      <c r="L7" s="466">
        <v>14679</v>
      </c>
    </row>
    <row r="8" spans="1:14" x14ac:dyDescent="0.2">
      <c r="A8" s="1504" t="s">
        <v>164</v>
      </c>
      <c r="B8" s="614">
        <v>1200</v>
      </c>
      <c r="C8" s="466">
        <v>708628</v>
      </c>
      <c r="D8" s="466">
        <v>160821</v>
      </c>
      <c r="E8" s="466">
        <v>8715</v>
      </c>
      <c r="F8" s="466">
        <v>14131</v>
      </c>
      <c r="G8" s="466"/>
      <c r="H8" s="466"/>
      <c r="I8" s="467"/>
      <c r="J8" s="467"/>
      <c r="K8" s="1671">
        <f t="shared" si="0"/>
        <v>892295</v>
      </c>
      <c r="L8" s="466">
        <v>922481</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129526</v>
      </c>
      <c r="D10" s="466">
        <v>31457</v>
      </c>
      <c r="E10" s="466">
        <v>4026</v>
      </c>
      <c r="F10" s="466">
        <v>11223</v>
      </c>
      <c r="G10" s="466"/>
      <c r="H10" s="466"/>
      <c r="I10" s="467"/>
      <c r="J10" s="467"/>
      <c r="K10" s="1671">
        <f t="shared" si="0"/>
        <v>176232</v>
      </c>
      <c r="L10" s="466">
        <v>211380</v>
      </c>
    </row>
    <row r="11" spans="1:14" x14ac:dyDescent="0.2">
      <c r="A11" s="1504" t="s">
        <v>1130</v>
      </c>
      <c r="B11" s="614" t="s">
        <v>161</v>
      </c>
      <c r="C11" s="467">
        <v>63267</v>
      </c>
      <c r="D11" s="467">
        <v>14369</v>
      </c>
      <c r="E11" s="467"/>
      <c r="F11" s="467">
        <v>864</v>
      </c>
      <c r="G11" s="467"/>
      <c r="H11" s="467"/>
      <c r="I11" s="467"/>
      <c r="J11" s="467"/>
      <c r="K11" s="1671">
        <f t="shared" si="0"/>
        <v>78500</v>
      </c>
      <c r="L11" s="466">
        <v>77997</v>
      </c>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210131</v>
      </c>
      <c r="D13" s="466">
        <v>41762</v>
      </c>
      <c r="E13" s="466"/>
      <c r="F13" s="466">
        <v>11230</v>
      </c>
      <c r="G13" s="466"/>
      <c r="H13" s="466"/>
      <c r="I13" s="467"/>
      <c r="J13" s="467"/>
      <c r="K13" s="1671">
        <f t="shared" si="0"/>
        <v>263123</v>
      </c>
      <c r="L13" s="466">
        <v>263031</v>
      </c>
    </row>
    <row r="14" spans="1:14" x14ac:dyDescent="0.2">
      <c r="A14" s="1504" t="s">
        <v>963</v>
      </c>
      <c r="B14" s="614">
        <v>1500</v>
      </c>
      <c r="C14" s="466">
        <v>244436</v>
      </c>
      <c r="D14" s="466">
        <v>48371</v>
      </c>
      <c r="E14" s="466">
        <v>23232</v>
      </c>
      <c r="F14" s="466">
        <v>4460</v>
      </c>
      <c r="G14" s="466">
        <v>935</v>
      </c>
      <c r="H14" s="466">
        <v>3015</v>
      </c>
      <c r="I14" s="467"/>
      <c r="J14" s="467"/>
      <c r="K14" s="1671">
        <f t="shared" si="0"/>
        <v>324449</v>
      </c>
      <c r="L14" s="466">
        <v>322638</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49052</v>
      </c>
      <c r="D17" s="467">
        <v>11549</v>
      </c>
      <c r="E17" s="467"/>
      <c r="F17" s="467">
        <v>402</v>
      </c>
      <c r="G17" s="467"/>
      <c r="H17" s="467"/>
      <c r="I17" s="467"/>
      <c r="J17" s="467"/>
      <c r="K17" s="1671">
        <f t="shared" si="0"/>
        <v>61003</v>
      </c>
      <c r="L17" s="466">
        <v>59068</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v>33255</v>
      </c>
      <c r="D19" s="466">
        <v>4889</v>
      </c>
      <c r="E19" s="466">
        <v>1716</v>
      </c>
      <c r="F19" s="466">
        <v>821</v>
      </c>
      <c r="G19" s="466"/>
      <c r="H19" s="466">
        <v>2058</v>
      </c>
      <c r="I19" s="467"/>
      <c r="J19" s="467"/>
      <c r="K19" s="1671">
        <f t="shared" si="0"/>
        <v>42739</v>
      </c>
      <c r="L19" s="466">
        <v>51062</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3784276</v>
      </c>
      <c r="D33" s="1670">
        <f t="shared" ref="D33:L33" si="1">SUM(D5:D32)</f>
        <v>813758</v>
      </c>
      <c r="E33" s="1670">
        <f t="shared" si="1"/>
        <v>45585</v>
      </c>
      <c r="F33" s="1670">
        <f t="shared" si="1"/>
        <v>347555</v>
      </c>
      <c r="G33" s="1670">
        <f t="shared" si="1"/>
        <v>33569</v>
      </c>
      <c r="H33" s="1670">
        <f t="shared" si="1"/>
        <v>9206</v>
      </c>
      <c r="I33" s="1670">
        <f t="shared" si="1"/>
        <v>0</v>
      </c>
      <c r="J33" s="1670">
        <f t="shared" si="1"/>
        <v>0</v>
      </c>
      <c r="K33" s="1670">
        <f t="shared" si="1"/>
        <v>5033949</v>
      </c>
      <c r="L33" s="1670">
        <f t="shared" si="1"/>
        <v>5081294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31484</v>
      </c>
      <c r="D36" s="481">
        <v>8137</v>
      </c>
      <c r="E36" s="481"/>
      <c r="F36" s="481"/>
      <c r="G36" s="481"/>
      <c r="H36" s="481"/>
      <c r="I36" s="467"/>
      <c r="J36" s="467"/>
      <c r="K36" s="1671">
        <f t="shared" ref="K36:K41" si="2">SUM(C36:J36)</f>
        <v>39621</v>
      </c>
      <c r="L36" s="466">
        <v>39622</v>
      </c>
    </row>
    <row r="37" spans="1:14" x14ac:dyDescent="0.2">
      <c r="A37" s="1504" t="s">
        <v>1090</v>
      </c>
      <c r="B37" s="614">
        <v>2120</v>
      </c>
      <c r="C37" s="466">
        <v>60183</v>
      </c>
      <c r="D37" s="466">
        <v>13188</v>
      </c>
      <c r="E37" s="466">
        <v>5233</v>
      </c>
      <c r="F37" s="466">
        <v>59</v>
      </c>
      <c r="G37" s="466"/>
      <c r="H37" s="466"/>
      <c r="I37" s="467"/>
      <c r="J37" s="467"/>
      <c r="K37" s="1671">
        <f t="shared" si="2"/>
        <v>78663</v>
      </c>
      <c r="L37" s="466">
        <v>78070</v>
      </c>
    </row>
    <row r="38" spans="1:14" x14ac:dyDescent="0.2">
      <c r="A38" s="1504" t="s">
        <v>198</v>
      </c>
      <c r="B38" s="614">
        <v>2130</v>
      </c>
      <c r="C38" s="466">
        <v>74845</v>
      </c>
      <c r="D38" s="466">
        <v>13187</v>
      </c>
      <c r="E38" s="466">
        <v>702</v>
      </c>
      <c r="F38" s="466">
        <v>2122</v>
      </c>
      <c r="G38" s="466">
        <v>1934</v>
      </c>
      <c r="H38" s="466"/>
      <c r="I38" s="467"/>
      <c r="J38" s="467"/>
      <c r="K38" s="1671">
        <f t="shared" si="2"/>
        <v>92790</v>
      </c>
      <c r="L38" s="466">
        <v>91303</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98924</v>
      </c>
      <c r="D40" s="466">
        <v>23667</v>
      </c>
      <c r="E40" s="466">
        <v>891</v>
      </c>
      <c r="F40" s="466">
        <v>799</v>
      </c>
      <c r="G40" s="466"/>
      <c r="H40" s="466"/>
      <c r="I40" s="467"/>
      <c r="J40" s="467"/>
      <c r="K40" s="1671">
        <f t="shared" si="2"/>
        <v>124281</v>
      </c>
      <c r="L40" s="466">
        <v>123180</v>
      </c>
    </row>
    <row r="41" spans="1:14" x14ac:dyDescent="0.2">
      <c r="A41" s="1504" t="s">
        <v>1669</v>
      </c>
      <c r="B41" s="614">
        <v>2190</v>
      </c>
      <c r="C41" s="466"/>
      <c r="D41" s="466"/>
      <c r="E41" s="466"/>
      <c r="F41" s="466">
        <v>2397</v>
      </c>
      <c r="G41" s="466"/>
      <c r="H41" s="466"/>
      <c r="I41" s="467"/>
      <c r="J41" s="467"/>
      <c r="K41" s="1671">
        <f t="shared" si="2"/>
        <v>2397</v>
      </c>
      <c r="L41" s="466">
        <v>2400</v>
      </c>
    </row>
    <row r="42" spans="1:14" ht="12.75" customHeight="1" thickBot="1" x14ac:dyDescent="0.25">
      <c r="A42" s="1668" t="s">
        <v>560</v>
      </c>
      <c r="B42" s="1669" t="s">
        <v>716</v>
      </c>
      <c r="C42" s="1670">
        <f>SUM(C36:C41)</f>
        <v>265436</v>
      </c>
      <c r="D42" s="1670">
        <f t="shared" ref="D42:L42" si="3">SUM(D36:D41)</f>
        <v>58179</v>
      </c>
      <c r="E42" s="1670">
        <f t="shared" si="3"/>
        <v>6826</v>
      </c>
      <c r="F42" s="1670">
        <f t="shared" si="3"/>
        <v>5377</v>
      </c>
      <c r="G42" s="1670">
        <f t="shared" si="3"/>
        <v>1934</v>
      </c>
      <c r="H42" s="1670">
        <f t="shared" si="3"/>
        <v>0</v>
      </c>
      <c r="I42" s="1670">
        <f t="shared" si="3"/>
        <v>0</v>
      </c>
      <c r="J42" s="1670">
        <f t="shared" si="3"/>
        <v>0</v>
      </c>
      <c r="K42" s="1670">
        <f t="shared" si="3"/>
        <v>337752</v>
      </c>
      <c r="L42" s="1670">
        <f t="shared" si="3"/>
        <v>334575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v>76074</v>
      </c>
      <c r="D45" s="466">
        <v>16367</v>
      </c>
      <c r="E45" s="466">
        <v>23</v>
      </c>
      <c r="F45" s="466">
        <v>9379</v>
      </c>
      <c r="G45" s="466"/>
      <c r="H45" s="466"/>
      <c r="I45" s="467"/>
      <c r="J45" s="467"/>
      <c r="K45" s="1672">
        <f>SUM(C45:J45)</f>
        <v>101843</v>
      </c>
      <c r="L45" s="466">
        <v>103225</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76074</v>
      </c>
      <c r="D47" s="1670">
        <f t="shared" ref="D47:K47" si="4">SUM(D44:D46)</f>
        <v>16367</v>
      </c>
      <c r="E47" s="1670">
        <f t="shared" si="4"/>
        <v>23</v>
      </c>
      <c r="F47" s="1670">
        <f t="shared" si="4"/>
        <v>9379</v>
      </c>
      <c r="G47" s="1670">
        <f t="shared" si="4"/>
        <v>0</v>
      </c>
      <c r="H47" s="1670">
        <f t="shared" si="4"/>
        <v>0</v>
      </c>
      <c r="I47" s="1670">
        <f t="shared" si="4"/>
        <v>0</v>
      </c>
      <c r="J47" s="1670">
        <f t="shared" si="4"/>
        <v>0</v>
      </c>
      <c r="K47" s="1670">
        <f t="shared" si="4"/>
        <v>101843</v>
      </c>
      <c r="L47" s="1670">
        <f>SUM(L44:L46)</f>
        <v>103225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34391</v>
      </c>
      <c r="F49" s="481">
        <v>3340</v>
      </c>
      <c r="G49" s="481"/>
      <c r="H49" s="481">
        <v>5035</v>
      </c>
      <c r="I49" s="467"/>
      <c r="J49" s="467"/>
      <c r="K49" s="1672">
        <f>SUM(C49:J49)</f>
        <v>42766</v>
      </c>
      <c r="L49" s="481">
        <v>43137</v>
      </c>
    </row>
    <row r="50" spans="1:14" x14ac:dyDescent="0.2">
      <c r="A50" s="1504" t="s">
        <v>818</v>
      </c>
      <c r="B50" s="614">
        <v>2320</v>
      </c>
      <c r="C50" s="466">
        <v>127468</v>
      </c>
      <c r="D50" s="466">
        <v>22075</v>
      </c>
      <c r="E50" s="466">
        <v>4200</v>
      </c>
      <c r="F50" s="466">
        <v>182</v>
      </c>
      <c r="G50" s="466"/>
      <c r="H50" s="466">
        <v>1035</v>
      </c>
      <c r="I50" s="467"/>
      <c r="J50" s="467"/>
      <c r="K50" s="1672">
        <f>SUM(C50:J50)</f>
        <v>154960</v>
      </c>
      <c r="L50" s="466">
        <v>154416</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127468</v>
      </c>
      <c r="D53" s="1670">
        <f t="shared" ref="D53:L53" si="5">SUM(D49:D52)</f>
        <v>22075</v>
      </c>
      <c r="E53" s="1670">
        <f t="shared" si="5"/>
        <v>38591</v>
      </c>
      <c r="F53" s="1670">
        <f t="shared" si="5"/>
        <v>3522</v>
      </c>
      <c r="G53" s="1670">
        <f t="shared" si="5"/>
        <v>0</v>
      </c>
      <c r="H53" s="1670">
        <f t="shared" si="5"/>
        <v>6070</v>
      </c>
      <c r="I53" s="1670">
        <f t="shared" si="5"/>
        <v>0</v>
      </c>
      <c r="J53" s="1670">
        <f t="shared" si="5"/>
        <v>0</v>
      </c>
      <c r="K53" s="1670">
        <f t="shared" si="5"/>
        <v>197726</v>
      </c>
      <c r="L53" s="1670">
        <f t="shared" si="5"/>
        <v>197553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287599</v>
      </c>
      <c r="D55" s="481">
        <v>55804</v>
      </c>
      <c r="E55" s="481">
        <v>36682</v>
      </c>
      <c r="F55" s="481">
        <v>2491</v>
      </c>
      <c r="G55" s="481"/>
      <c r="H55" s="481">
        <v>726</v>
      </c>
      <c r="I55" s="467"/>
      <c r="J55" s="467"/>
      <c r="K55" s="1672">
        <f>SUM(C55:J55)</f>
        <v>383302</v>
      </c>
      <c r="L55" s="481">
        <v>382340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287599</v>
      </c>
      <c r="D57" s="1674">
        <f t="shared" ref="D57:K57" si="6">SUM(D55:D56)</f>
        <v>55804</v>
      </c>
      <c r="E57" s="1674">
        <f t="shared" si="6"/>
        <v>36682</v>
      </c>
      <c r="F57" s="1674">
        <f t="shared" si="6"/>
        <v>2491</v>
      </c>
      <c r="G57" s="1674">
        <f t="shared" si="6"/>
        <v>0</v>
      </c>
      <c r="H57" s="1674">
        <f t="shared" si="6"/>
        <v>726</v>
      </c>
      <c r="I57" s="1674">
        <f t="shared" si="6"/>
        <v>0</v>
      </c>
      <c r="J57" s="1674">
        <f t="shared" si="6"/>
        <v>0</v>
      </c>
      <c r="K57" s="1674">
        <f t="shared" si="6"/>
        <v>383302</v>
      </c>
      <c r="L57" s="1670">
        <f>SUM(L55:L56)</f>
        <v>382340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28233</v>
      </c>
      <c r="D60" s="466">
        <v>4497</v>
      </c>
      <c r="E60" s="466">
        <v>15660</v>
      </c>
      <c r="F60" s="466"/>
      <c r="G60" s="466"/>
      <c r="H60" s="466"/>
      <c r="I60" s="467"/>
      <c r="J60" s="467"/>
      <c r="K60" s="1672">
        <f t="shared" si="7"/>
        <v>48390</v>
      </c>
      <c r="L60" s="466">
        <v>48959</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158561</v>
      </c>
      <c r="D63" s="466">
        <v>33969</v>
      </c>
      <c r="E63" s="466">
        <v>11194</v>
      </c>
      <c r="F63" s="466">
        <v>152096</v>
      </c>
      <c r="G63" s="466">
        <v>900</v>
      </c>
      <c r="H63" s="466"/>
      <c r="I63" s="467"/>
      <c r="J63" s="467"/>
      <c r="K63" s="1672">
        <f t="shared" si="7"/>
        <v>356720</v>
      </c>
      <c r="L63" s="466">
        <v>361432</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186794</v>
      </c>
      <c r="D65" s="1670">
        <f t="shared" ref="D65:L65" si="8">SUM(D59:D64)</f>
        <v>38466</v>
      </c>
      <c r="E65" s="1670">
        <f t="shared" si="8"/>
        <v>26854</v>
      </c>
      <c r="F65" s="1670">
        <f t="shared" si="8"/>
        <v>152096</v>
      </c>
      <c r="G65" s="1670">
        <f t="shared" si="8"/>
        <v>900</v>
      </c>
      <c r="H65" s="1670">
        <f t="shared" si="8"/>
        <v>0</v>
      </c>
      <c r="I65" s="1670">
        <f t="shared" si="8"/>
        <v>0</v>
      </c>
      <c r="J65" s="1670">
        <f t="shared" si="8"/>
        <v>0</v>
      </c>
      <c r="K65" s="1670">
        <f t="shared" si="8"/>
        <v>405110</v>
      </c>
      <c r="L65" s="1670">
        <f t="shared" si="8"/>
        <v>410391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943371</v>
      </c>
      <c r="D74" s="1677">
        <f t="shared" ref="D74:K74" si="10">SUM(D42,D47,D53,D57,D65,D72,D73)</f>
        <v>190891</v>
      </c>
      <c r="E74" s="1677">
        <f t="shared" si="10"/>
        <v>108976</v>
      </c>
      <c r="F74" s="1677">
        <f t="shared" si="10"/>
        <v>172865</v>
      </c>
      <c r="G74" s="1677">
        <f t="shared" si="10"/>
        <v>2834</v>
      </c>
      <c r="H74" s="1677">
        <f t="shared" si="10"/>
        <v>6796</v>
      </c>
      <c r="I74" s="1677">
        <f t="shared" si="10"/>
        <v>0</v>
      </c>
      <c r="J74" s="1677">
        <f t="shared" si="10"/>
        <v>0</v>
      </c>
      <c r="K74" s="1677">
        <f t="shared" si="10"/>
        <v>1425733</v>
      </c>
      <c r="L74" s="1677">
        <f>SUM(L42,L47,L53,L57,L65,L72,L73)</f>
        <v>1428084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222286</v>
      </c>
      <c r="F79" s="616"/>
      <c r="G79" s="616"/>
      <c r="H79" s="466"/>
      <c r="I79" s="477"/>
      <c r="J79" s="477"/>
      <c r="K79" s="1671">
        <f t="shared" si="11"/>
        <v>222286</v>
      </c>
      <c r="L79" s="466">
        <v>222287</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222286</v>
      </c>
      <c r="F84" s="616"/>
      <c r="G84" s="616"/>
      <c r="H84" s="1670">
        <f>SUM(H78:H83)</f>
        <v>0</v>
      </c>
      <c r="I84" s="477"/>
      <c r="J84" s="477"/>
      <c r="K84" s="1670">
        <f>SUM(K78:K83)</f>
        <v>222286</v>
      </c>
      <c r="L84" s="1670">
        <f>SUM(L78:L83)</f>
        <v>222287</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222286</v>
      </c>
      <c r="F102" s="616"/>
      <c r="G102" s="616"/>
      <c r="H102" s="1677">
        <f>SUM(H84,H92,H100,H101)</f>
        <v>0</v>
      </c>
      <c r="I102" s="477"/>
      <c r="J102" s="477"/>
      <c r="K102" s="1677">
        <f>SUM(K84,K92,K100,K101)</f>
        <v>222286</v>
      </c>
      <c r="L102" s="1677">
        <f>SUM(L84,L92,L100,L101)</f>
        <v>222287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4727647</v>
      </c>
      <c r="D114" s="1670">
        <f t="shared" ref="D114:K114" si="13">SUM(D33,D74,D75,D102,D112,D113)</f>
        <v>1004649</v>
      </c>
      <c r="E114" s="1670">
        <f t="shared" si="13"/>
        <v>376847</v>
      </c>
      <c r="F114" s="1670">
        <f t="shared" si="13"/>
        <v>520420</v>
      </c>
      <c r="G114" s="1670">
        <f t="shared" si="13"/>
        <v>36403</v>
      </c>
      <c r="H114" s="1670">
        <f>SUM(H33,H74,H75,H102,H112,H113)</f>
        <v>16002</v>
      </c>
      <c r="I114" s="1670">
        <f t="shared" si="13"/>
        <v>0</v>
      </c>
      <c r="J114" s="1670">
        <f t="shared" si="13"/>
        <v>0</v>
      </c>
      <c r="K114" s="1670">
        <f t="shared" si="13"/>
        <v>6681968</v>
      </c>
      <c r="L114" s="1670">
        <f>SUM(L33,L74,L75,L102,L112,L113)</f>
        <v>6731665</v>
      </c>
    </row>
    <row r="115" spans="1:14" ht="13.5" thickTop="1" x14ac:dyDescent="0.2">
      <c r="A115" s="2160" t="s">
        <v>996</v>
      </c>
      <c r="B115" s="2161"/>
      <c r="C115" s="618"/>
      <c r="D115" s="618"/>
      <c r="E115" s="618"/>
      <c r="F115" s="618"/>
      <c r="G115" s="618"/>
      <c r="H115" s="618"/>
      <c r="I115" s="618"/>
      <c r="J115" s="618"/>
      <c r="K115" s="1684">
        <f>'Revenues 9-14'!C268-'Expenditures 15-22'!K114</f>
        <v>34438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290980</v>
      </c>
      <c r="D124" s="466">
        <v>44731</v>
      </c>
      <c r="E124" s="466">
        <v>137118</v>
      </c>
      <c r="F124" s="466">
        <v>139375</v>
      </c>
      <c r="G124" s="466">
        <v>9362</v>
      </c>
      <c r="H124" s="466"/>
      <c r="I124" s="467"/>
      <c r="J124" s="467"/>
      <c r="K124" s="1670">
        <f>SUM(C124:J124)</f>
        <v>621566</v>
      </c>
      <c r="L124" s="466">
        <v>619973</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290980</v>
      </c>
      <c r="D127" s="1670">
        <f t="shared" ref="D127:L127" si="14">SUM(D122:D126)</f>
        <v>44731</v>
      </c>
      <c r="E127" s="1670">
        <f t="shared" si="14"/>
        <v>137118</v>
      </c>
      <c r="F127" s="1670">
        <f t="shared" si="14"/>
        <v>139375</v>
      </c>
      <c r="G127" s="1670">
        <f t="shared" si="14"/>
        <v>9362</v>
      </c>
      <c r="H127" s="1670">
        <f t="shared" si="14"/>
        <v>0</v>
      </c>
      <c r="I127" s="1670">
        <f t="shared" si="14"/>
        <v>0</v>
      </c>
      <c r="J127" s="1670">
        <f t="shared" si="14"/>
        <v>0</v>
      </c>
      <c r="K127" s="1670">
        <f t="shared" si="14"/>
        <v>621566</v>
      </c>
      <c r="L127" s="1670">
        <f t="shared" si="14"/>
        <v>619973</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290980</v>
      </c>
      <c r="D129" s="1677">
        <f t="shared" ref="D129:L129" si="15">SUM(D120,D127,D128)</f>
        <v>44731</v>
      </c>
      <c r="E129" s="1677">
        <f t="shared" si="15"/>
        <v>137118</v>
      </c>
      <c r="F129" s="1677">
        <f t="shared" si="15"/>
        <v>139375</v>
      </c>
      <c r="G129" s="1677">
        <f t="shared" si="15"/>
        <v>9362</v>
      </c>
      <c r="H129" s="1677">
        <f t="shared" si="15"/>
        <v>0</v>
      </c>
      <c r="I129" s="1677">
        <f t="shared" si="15"/>
        <v>0</v>
      </c>
      <c r="J129" s="1677">
        <f t="shared" si="15"/>
        <v>0</v>
      </c>
      <c r="K129" s="1677">
        <f t="shared" si="15"/>
        <v>621566</v>
      </c>
      <c r="L129" s="1677">
        <f t="shared" si="15"/>
        <v>619973</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7"/>
      <c r="C151" s="1670">
        <f>SUM(C129,C130,C139,C149,C150)</f>
        <v>290980</v>
      </c>
      <c r="D151" s="1670">
        <f t="shared" ref="D151:K151" si="16">SUM(D129,D130,D139,D149,D150)</f>
        <v>44731</v>
      </c>
      <c r="E151" s="1670">
        <f t="shared" si="16"/>
        <v>137118</v>
      </c>
      <c r="F151" s="1670">
        <f t="shared" si="16"/>
        <v>139375</v>
      </c>
      <c r="G151" s="1670">
        <f t="shared" si="16"/>
        <v>9362</v>
      </c>
      <c r="H151" s="1670">
        <f t="shared" si="16"/>
        <v>0</v>
      </c>
      <c r="I151" s="1670">
        <f t="shared" si="16"/>
        <v>0</v>
      </c>
      <c r="J151" s="1670">
        <f t="shared" si="16"/>
        <v>0</v>
      </c>
      <c r="K151" s="1670">
        <f t="shared" si="16"/>
        <v>621566</v>
      </c>
      <c r="L151" s="1670">
        <f>SUM(L129,L130,L139,L149,L150)</f>
        <v>619973</v>
      </c>
    </row>
    <row r="152" spans="1:14" ht="12.75" customHeight="1" thickTop="1" x14ac:dyDescent="0.2">
      <c r="A152" s="2180" t="s">
        <v>1178</v>
      </c>
      <c r="B152" s="2181"/>
      <c r="C152" s="618"/>
      <c r="D152" s="618"/>
      <c r="E152" s="618"/>
      <c r="F152" s="618"/>
      <c r="G152" s="618"/>
      <c r="H152" s="618"/>
      <c r="I152" s="618"/>
      <c r="J152" s="616"/>
      <c r="K152" s="1684">
        <f>'Revenues 9-14'!D268-'Expenditures 15-22'!K151</f>
        <v>3256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v>12155</v>
      </c>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12155</v>
      </c>
    </row>
    <row r="169" spans="1:14" ht="15.75" customHeight="1" thickTop="1" x14ac:dyDescent="0.2">
      <c r="A169" s="669" t="s">
        <v>83</v>
      </c>
      <c r="B169" s="670" t="s">
        <v>38</v>
      </c>
      <c r="C169" s="616"/>
      <c r="D169" s="616"/>
      <c r="E169" s="616"/>
      <c r="F169" s="616"/>
      <c r="G169" s="616"/>
      <c r="H169" s="656">
        <v>12155</v>
      </c>
      <c r="I169" s="616"/>
      <c r="J169" s="616"/>
      <c r="K169" s="1671">
        <f>SUM(C169:H169)</f>
        <v>12155</v>
      </c>
      <c r="L169" s="656">
        <v>386103</v>
      </c>
    </row>
    <row r="170" spans="1:14" ht="33.75" customHeight="1" x14ac:dyDescent="0.2">
      <c r="A170" s="669" t="s">
        <v>1670</v>
      </c>
      <c r="B170" s="671" t="s">
        <v>31</v>
      </c>
      <c r="C170" s="616"/>
      <c r="D170" s="616"/>
      <c r="E170" s="616"/>
      <c r="F170" s="616"/>
      <c r="G170" s="616"/>
      <c r="H170" s="569">
        <v>290000</v>
      </c>
      <c r="I170" s="616"/>
      <c r="J170" s="616"/>
      <c r="K170" s="1671">
        <f>SUM(C170:J170)</f>
        <v>290000</v>
      </c>
      <c r="L170" s="569"/>
    </row>
    <row r="171" spans="1:14" ht="15.75" customHeight="1" x14ac:dyDescent="0.2">
      <c r="A171" s="621" t="s">
        <v>766</v>
      </c>
      <c r="B171" s="672" t="s">
        <v>84</v>
      </c>
      <c r="C171" s="616"/>
      <c r="D171" s="616"/>
      <c r="E171" s="466"/>
      <c r="F171" s="616"/>
      <c r="G171" s="616"/>
      <c r="H171" s="569">
        <v>371</v>
      </c>
      <c r="I171" s="477"/>
      <c r="J171" s="616"/>
      <c r="K171" s="1671">
        <f>SUM(C171:J171)</f>
        <v>371</v>
      </c>
      <c r="L171" s="569"/>
    </row>
    <row r="172" spans="1:14" ht="12.75" customHeight="1" thickBot="1" x14ac:dyDescent="0.25">
      <c r="A172" s="1668" t="s">
        <v>638</v>
      </c>
      <c r="B172" s="1669" t="s">
        <v>492</v>
      </c>
      <c r="C172" s="616"/>
      <c r="D172" s="616"/>
      <c r="E172" s="1677">
        <f>SUM(E168,E169,E170,E171)</f>
        <v>0</v>
      </c>
      <c r="F172" s="616"/>
      <c r="G172" s="616"/>
      <c r="H172" s="1677">
        <f>SUM(H168,H169,H170,H171)</f>
        <v>302526</v>
      </c>
      <c r="I172" s="638"/>
      <c r="J172" s="616"/>
      <c r="K172" s="1677">
        <f>SUM(K168,K169,K170,K171)</f>
        <v>302526</v>
      </c>
      <c r="L172" s="1677">
        <f>SUM(L168,L169,L170,L171)</f>
        <v>398258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302526</v>
      </c>
      <c r="I174" s="638"/>
      <c r="J174" s="616"/>
      <c r="K174" s="1677">
        <f>SUM(K160,K172,K173)</f>
        <v>302526</v>
      </c>
      <c r="L174" s="1677">
        <f>SUM(L160,L172,L173)</f>
        <v>398258</v>
      </c>
    </row>
    <row r="175" spans="1:14" ht="13.5" thickTop="1" x14ac:dyDescent="0.2">
      <c r="A175" s="2160" t="s">
        <v>996</v>
      </c>
      <c r="B175" s="2161"/>
      <c r="C175" s="616"/>
      <c r="D175" s="616"/>
      <c r="E175" s="616"/>
      <c r="F175" s="616"/>
      <c r="G175" s="616"/>
      <c r="H175" s="618"/>
      <c r="I175" s="616"/>
      <c r="J175" s="616"/>
      <c r="K175" s="1684">
        <f>'Revenues 9-14'!E268-'Expenditures 15-22'!K174</f>
        <v>106473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326722</v>
      </c>
      <c r="D182" s="466">
        <v>26113</v>
      </c>
      <c r="E182" s="466">
        <v>12449</v>
      </c>
      <c r="F182" s="466">
        <v>120274</v>
      </c>
      <c r="G182" s="466">
        <v>8455</v>
      </c>
      <c r="H182" s="466"/>
      <c r="I182" s="467"/>
      <c r="J182" s="467"/>
      <c r="K182" s="1671">
        <f>SUM(C182:J182)</f>
        <v>494013</v>
      </c>
      <c r="L182" s="466">
        <v>488183</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326722</v>
      </c>
      <c r="D184" s="1677">
        <f t="shared" ref="D184:J184" si="17">SUM(D180,D182,D183)</f>
        <v>26113</v>
      </c>
      <c r="E184" s="1677">
        <f t="shared" si="17"/>
        <v>12449</v>
      </c>
      <c r="F184" s="1677">
        <f t="shared" si="17"/>
        <v>120274</v>
      </c>
      <c r="G184" s="1677">
        <f t="shared" si="17"/>
        <v>8455</v>
      </c>
      <c r="H184" s="1677">
        <f t="shared" si="17"/>
        <v>0</v>
      </c>
      <c r="I184" s="1677">
        <f t="shared" si="17"/>
        <v>0</v>
      </c>
      <c r="J184" s="1677">
        <f t="shared" si="17"/>
        <v>0</v>
      </c>
      <c r="K184" s="1677">
        <f>SUM(K180,K182,K183)</f>
        <v>494013</v>
      </c>
      <c r="L184" s="1677">
        <f>SUM(L180, L182:L183)</f>
        <v>488183</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326722</v>
      </c>
      <c r="D210" s="1670">
        <f>SUM(D184,D185)</f>
        <v>26113</v>
      </c>
      <c r="E210" s="1670">
        <f>SUM(E184,E185,E196)</f>
        <v>12449</v>
      </c>
      <c r="F210" s="1670">
        <f>SUM(F184,F185)</f>
        <v>120274</v>
      </c>
      <c r="G210" s="1670">
        <f>SUM(G184,G185)</f>
        <v>8455</v>
      </c>
      <c r="H210" s="1670">
        <f>SUM(H184,H185,H196,H208,H209)</f>
        <v>0</v>
      </c>
      <c r="I210" s="1670">
        <f>SUM(I184,I185)</f>
        <v>0</v>
      </c>
      <c r="J210" s="1670">
        <f>SUM(J184,J185)</f>
        <v>0</v>
      </c>
      <c r="K210" s="1671">
        <f>SUM(K184,K185,K196,K208,K209)</f>
        <v>494013</v>
      </c>
      <c r="L210" s="1670">
        <f>SUM(L184,L185,L196,L208,L209)</f>
        <v>488183</v>
      </c>
    </row>
    <row r="211" spans="1:14" ht="13.5" thickTop="1" x14ac:dyDescent="0.2">
      <c r="A211" s="2160" t="s">
        <v>996</v>
      </c>
      <c r="B211" s="2161"/>
      <c r="C211" s="618"/>
      <c r="D211" s="618"/>
      <c r="E211" s="618"/>
      <c r="F211" s="618"/>
      <c r="G211" s="618"/>
      <c r="H211" s="618"/>
      <c r="I211" s="616"/>
      <c r="J211" s="616"/>
      <c r="K211" s="1684">
        <f>'Revenues 9-14'!F268-'Expenditures 15-22'!K210</f>
        <v>50137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49876</v>
      </c>
      <c r="E215" s="616"/>
      <c r="F215" s="616"/>
      <c r="G215" s="616"/>
      <c r="H215" s="616"/>
      <c r="I215" s="616"/>
      <c r="J215" s="616"/>
      <c r="K215" s="1671">
        <f>D215</f>
        <v>49876</v>
      </c>
      <c r="L215" s="466">
        <v>54600</v>
      </c>
    </row>
    <row r="216" spans="1:14" x14ac:dyDescent="0.2">
      <c r="A216" s="1504" t="s">
        <v>163</v>
      </c>
      <c r="B216" s="614" t="s">
        <v>967</v>
      </c>
      <c r="C216" s="616"/>
      <c r="D216" s="467">
        <v>620</v>
      </c>
      <c r="E216" s="616"/>
      <c r="F216" s="616"/>
      <c r="G216" s="616"/>
      <c r="H216" s="616"/>
      <c r="I216" s="616"/>
      <c r="J216" s="616"/>
      <c r="K216" s="1671">
        <f t="shared" ref="K216:K228" si="19">D216</f>
        <v>620</v>
      </c>
      <c r="L216" s="466">
        <v>5800</v>
      </c>
    </row>
    <row r="217" spans="1:14" x14ac:dyDescent="0.2">
      <c r="A217" s="1504" t="s">
        <v>164</v>
      </c>
      <c r="B217" s="614">
        <v>1200</v>
      </c>
      <c r="C217" s="616"/>
      <c r="D217" s="466">
        <v>44267</v>
      </c>
      <c r="E217" s="616"/>
      <c r="F217" s="616"/>
      <c r="G217" s="616"/>
      <c r="H217" s="616"/>
      <c r="I217" s="616"/>
      <c r="J217" s="616"/>
      <c r="K217" s="1671">
        <f t="shared" si="19"/>
        <v>44267</v>
      </c>
      <c r="L217" s="466">
        <v>58015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6105</v>
      </c>
      <c r="E219" s="616"/>
      <c r="F219" s="616"/>
      <c r="G219" s="616"/>
      <c r="H219" s="616"/>
      <c r="I219" s="616"/>
      <c r="J219" s="616"/>
      <c r="K219" s="1671">
        <f t="shared" si="19"/>
        <v>6105</v>
      </c>
      <c r="L219" s="466">
        <v>8000</v>
      </c>
    </row>
    <row r="220" spans="1:14" x14ac:dyDescent="0.2">
      <c r="A220" s="1504" t="s">
        <v>280</v>
      </c>
      <c r="B220" s="614" t="s">
        <v>161</v>
      </c>
      <c r="C220" s="616"/>
      <c r="D220" s="467">
        <v>3147</v>
      </c>
      <c r="E220" s="616"/>
      <c r="F220" s="616"/>
      <c r="G220" s="616"/>
      <c r="H220" s="616"/>
      <c r="I220" s="616"/>
      <c r="J220" s="616"/>
      <c r="K220" s="1671">
        <f t="shared" si="19"/>
        <v>3147</v>
      </c>
      <c r="L220" s="466">
        <v>3300</v>
      </c>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2923</v>
      </c>
      <c r="E222" s="616"/>
      <c r="F222" s="616"/>
      <c r="G222" s="616"/>
      <c r="H222" s="616"/>
      <c r="I222" s="616"/>
      <c r="J222" s="616"/>
      <c r="K222" s="1671">
        <f t="shared" si="19"/>
        <v>2923</v>
      </c>
      <c r="L222" s="466">
        <v>4205</v>
      </c>
    </row>
    <row r="223" spans="1:14" x14ac:dyDescent="0.2">
      <c r="A223" s="1504" t="s">
        <v>963</v>
      </c>
      <c r="B223" s="614">
        <v>1500</v>
      </c>
      <c r="C223" s="616"/>
      <c r="D223" s="466">
        <v>9305</v>
      </c>
      <c r="E223" s="616"/>
      <c r="F223" s="616"/>
      <c r="G223" s="616"/>
      <c r="H223" s="616"/>
      <c r="I223" s="616"/>
      <c r="J223" s="616"/>
      <c r="K223" s="1671">
        <f t="shared" si="19"/>
        <v>9305</v>
      </c>
      <c r="L223" s="466">
        <v>11500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659</v>
      </c>
      <c r="E226" s="616"/>
      <c r="F226" s="616"/>
      <c r="G226" s="616"/>
      <c r="H226" s="616"/>
      <c r="I226" s="616"/>
      <c r="J226" s="616"/>
      <c r="K226" s="1671">
        <f t="shared" si="19"/>
        <v>659</v>
      </c>
      <c r="L226" s="466">
        <v>700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v>4862</v>
      </c>
      <c r="E228" s="616"/>
      <c r="F228" s="616"/>
      <c r="G228" s="616"/>
      <c r="H228" s="616"/>
      <c r="I228" s="616"/>
      <c r="J228" s="616"/>
      <c r="K228" s="1671">
        <f t="shared" si="19"/>
        <v>4862</v>
      </c>
      <c r="L228" s="466">
        <v>7150</v>
      </c>
    </row>
    <row r="229" spans="1:12" ht="12.75" customHeight="1" thickBot="1" x14ac:dyDescent="0.25">
      <c r="A229" s="1668" t="s">
        <v>715</v>
      </c>
      <c r="B229" s="1675" t="s">
        <v>570</v>
      </c>
      <c r="C229" s="616"/>
      <c r="D229" s="1670">
        <f>SUM(D215:D228)</f>
        <v>121764</v>
      </c>
      <c r="E229" s="616"/>
      <c r="F229" s="616"/>
      <c r="G229" s="616"/>
      <c r="H229" s="616"/>
      <c r="I229" s="616"/>
      <c r="J229" s="616"/>
      <c r="K229" s="1670">
        <f>SUM(K215:K228)</f>
        <v>121764</v>
      </c>
      <c r="L229" s="1670">
        <f>SUM(L215:L228)</f>
        <v>153270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427</v>
      </c>
      <c r="E232" s="616"/>
      <c r="F232" s="616"/>
      <c r="G232" s="616"/>
      <c r="H232" s="616"/>
      <c r="I232" s="616"/>
      <c r="J232" s="616"/>
      <c r="K232" s="1671">
        <f t="shared" ref="K232:K237" si="20">D232</f>
        <v>427</v>
      </c>
      <c r="L232" s="466"/>
    </row>
    <row r="233" spans="1:12" x14ac:dyDescent="0.2">
      <c r="A233" s="1504" t="s">
        <v>1090</v>
      </c>
      <c r="B233" s="614">
        <v>2120</v>
      </c>
      <c r="C233" s="616"/>
      <c r="D233" s="466">
        <v>683</v>
      </c>
      <c r="E233" s="616"/>
      <c r="F233" s="616"/>
      <c r="G233" s="616"/>
      <c r="H233" s="616"/>
      <c r="I233" s="616"/>
      <c r="J233" s="616"/>
      <c r="K233" s="1671">
        <f t="shared" si="20"/>
        <v>683</v>
      </c>
      <c r="L233" s="466">
        <v>900</v>
      </c>
    </row>
    <row r="234" spans="1:12" x14ac:dyDescent="0.2">
      <c r="A234" s="1504" t="s">
        <v>198</v>
      </c>
      <c r="B234" s="614">
        <v>2130</v>
      </c>
      <c r="C234" s="616"/>
      <c r="D234" s="466">
        <v>2628</v>
      </c>
      <c r="E234" s="616"/>
      <c r="F234" s="616"/>
      <c r="G234" s="616"/>
      <c r="H234" s="616"/>
      <c r="I234" s="616"/>
      <c r="J234" s="616"/>
      <c r="K234" s="1671">
        <f t="shared" si="20"/>
        <v>2628</v>
      </c>
      <c r="L234" s="466">
        <v>4000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1385</v>
      </c>
      <c r="E236" s="616"/>
      <c r="F236" s="616"/>
      <c r="G236" s="616"/>
      <c r="H236" s="616"/>
      <c r="I236" s="616"/>
      <c r="J236" s="616"/>
      <c r="K236" s="1671">
        <f t="shared" si="20"/>
        <v>1385</v>
      </c>
      <c r="L236" s="466">
        <v>1700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5123</v>
      </c>
      <c r="E238" s="616"/>
      <c r="F238" s="616"/>
      <c r="G238" s="616"/>
      <c r="H238" s="616"/>
      <c r="I238" s="616"/>
      <c r="J238" s="616"/>
      <c r="K238" s="1670">
        <f>SUM(K232:K237)</f>
        <v>5123</v>
      </c>
      <c r="L238" s="1670">
        <f>SUM(L232:L237)</f>
        <v>6600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3401</v>
      </c>
      <c r="E241" s="616"/>
      <c r="F241" s="616"/>
      <c r="G241" s="616"/>
      <c r="H241" s="616"/>
      <c r="I241" s="616"/>
      <c r="J241" s="616"/>
      <c r="K241" s="1672">
        <f>D241</f>
        <v>3401</v>
      </c>
      <c r="L241" s="466">
        <v>4200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3401</v>
      </c>
      <c r="E243" s="616"/>
      <c r="F243" s="616"/>
      <c r="G243" s="616"/>
      <c r="H243" s="616"/>
      <c r="I243" s="616"/>
      <c r="J243" s="616"/>
      <c r="K243" s="1670">
        <f>SUM(K240:K242)</f>
        <v>3401</v>
      </c>
      <c r="L243" s="1670">
        <f>SUM(L240:L242)</f>
        <v>4200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1896</v>
      </c>
      <c r="E246" s="616"/>
      <c r="F246" s="616"/>
      <c r="G246" s="616"/>
      <c r="H246" s="616"/>
      <c r="I246" s="616"/>
      <c r="J246" s="616"/>
      <c r="K246" s="1672">
        <f t="shared" ref="K246:K256" si="21">D246</f>
        <v>1896</v>
      </c>
      <c r="L246" s="466">
        <v>2200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1896</v>
      </c>
      <c r="E257" s="616"/>
      <c r="F257" s="616"/>
      <c r="G257" s="616"/>
      <c r="H257" s="616"/>
      <c r="I257" s="616"/>
      <c r="J257" s="616"/>
      <c r="K257" s="1670">
        <f>SUM(K245:K256)</f>
        <v>1896</v>
      </c>
      <c r="L257" s="1670">
        <f>SUM(L245:L256)</f>
        <v>2200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21363</v>
      </c>
      <c r="E259" s="616"/>
      <c r="F259" s="616"/>
      <c r="G259" s="616"/>
      <c r="H259" s="616"/>
      <c r="I259" s="616"/>
      <c r="J259" s="616"/>
      <c r="K259" s="1672">
        <f>D259</f>
        <v>21363</v>
      </c>
      <c r="L259" s="481">
        <v>24700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21363</v>
      </c>
      <c r="E261" s="616"/>
      <c r="F261" s="616"/>
      <c r="G261" s="616"/>
      <c r="H261" s="616"/>
      <c r="I261" s="616"/>
      <c r="J261" s="616"/>
      <c r="K261" s="1670">
        <f>SUM(K259:K260)</f>
        <v>21363</v>
      </c>
      <c r="L261" s="1670">
        <f>SUM(L259:L260)</f>
        <v>24700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4447</v>
      </c>
      <c r="E264" s="616"/>
      <c r="F264" s="616"/>
      <c r="G264" s="616"/>
      <c r="H264" s="616"/>
      <c r="I264" s="616"/>
      <c r="J264" s="616"/>
      <c r="K264" s="1672">
        <f t="shared" ref="K264:K269" si="22">D264</f>
        <v>4447</v>
      </c>
      <c r="L264" s="466">
        <v>5300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48163</v>
      </c>
      <c r="E266" s="616"/>
      <c r="F266" s="616"/>
      <c r="G266" s="616"/>
      <c r="H266" s="616"/>
      <c r="I266" s="616"/>
      <c r="J266" s="616"/>
      <c r="K266" s="1672">
        <f t="shared" si="22"/>
        <v>48163</v>
      </c>
      <c r="L266" s="466">
        <v>57000</v>
      </c>
    </row>
    <row r="267" spans="1:14" x14ac:dyDescent="0.2">
      <c r="A267" s="1504" t="s">
        <v>953</v>
      </c>
      <c r="B267" s="614">
        <v>2550</v>
      </c>
      <c r="C267" s="616"/>
      <c r="D267" s="466">
        <v>40408</v>
      </c>
      <c r="E267" s="616"/>
      <c r="F267" s="616"/>
      <c r="G267" s="616"/>
      <c r="H267" s="616"/>
      <c r="I267" s="616"/>
      <c r="J267" s="616"/>
      <c r="K267" s="1672">
        <f t="shared" si="22"/>
        <v>40408</v>
      </c>
      <c r="L267" s="466">
        <v>51900</v>
      </c>
    </row>
    <row r="268" spans="1:14" x14ac:dyDescent="0.2">
      <c r="A268" s="1504" t="s">
        <v>100</v>
      </c>
      <c r="B268" s="614">
        <v>2560</v>
      </c>
      <c r="C268" s="616"/>
      <c r="D268" s="466">
        <v>25863</v>
      </c>
      <c r="E268" s="616"/>
      <c r="F268" s="616"/>
      <c r="G268" s="616"/>
      <c r="H268" s="616"/>
      <c r="I268" s="616"/>
      <c r="J268" s="616"/>
      <c r="K268" s="1672">
        <f t="shared" si="22"/>
        <v>25863</v>
      </c>
      <c r="L268" s="466">
        <v>33000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118881</v>
      </c>
      <c r="E270" s="616"/>
      <c r="F270" s="616"/>
      <c r="G270" s="616"/>
      <c r="H270" s="616"/>
      <c r="I270" s="616"/>
      <c r="J270" s="616"/>
      <c r="K270" s="1670">
        <f>SUM(K263:K269)</f>
        <v>118881</v>
      </c>
      <c r="L270" s="1670">
        <f>SUM(L263:L269)</f>
        <v>147200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150664</v>
      </c>
      <c r="E279" s="616"/>
      <c r="F279" s="616"/>
      <c r="G279" s="616"/>
      <c r="H279" s="616"/>
      <c r="I279" s="616"/>
      <c r="J279" s="616"/>
      <c r="K279" s="1677">
        <f>SUM(K238,K243,K257,K261,K270,K277,K278)</f>
        <v>150664</v>
      </c>
      <c r="L279" s="1677">
        <f>SUM(L238,L243,L257,L261,L270,L277,L278)</f>
        <v>184900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272428</v>
      </c>
      <c r="E295" s="616"/>
      <c r="F295" s="616"/>
      <c r="G295" s="616"/>
      <c r="H295" s="1670">
        <f>H293</f>
        <v>0</v>
      </c>
      <c r="I295" s="616"/>
      <c r="J295" s="616"/>
      <c r="K295" s="1670">
        <f>SUM(K229,K279,K280,K285,K293,K294)</f>
        <v>272428</v>
      </c>
      <c r="L295" s="1670">
        <f>SUM(L229,L279,L280,L285,L293,L294)</f>
        <v>338170</v>
      </c>
    </row>
    <row r="296" spans="1:14" ht="13.5" thickTop="1" x14ac:dyDescent="0.2">
      <c r="A296" s="2160" t="s">
        <v>996</v>
      </c>
      <c r="B296" s="2161"/>
      <c r="C296" s="616"/>
      <c r="D296" s="618"/>
      <c r="E296" s="616"/>
      <c r="F296" s="616"/>
      <c r="G296" s="616"/>
      <c r="H296" s="687"/>
      <c r="I296" s="616"/>
      <c r="J296" s="616"/>
      <c r="K296" s="1684">
        <f>'Revenues 9-14'!G268-'Expenditures 15-22'!K295</f>
        <v>38888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12581</v>
      </c>
      <c r="F301" s="466"/>
      <c r="G301" s="466">
        <v>80557</v>
      </c>
      <c r="H301" s="466"/>
      <c r="I301" s="467"/>
      <c r="J301" s="467"/>
      <c r="K301" s="1671">
        <f>SUM(C301:J301)</f>
        <v>93138</v>
      </c>
      <c r="L301" s="467">
        <v>93139</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12581</v>
      </c>
      <c r="F303" s="1677">
        <f t="shared" si="23"/>
        <v>0</v>
      </c>
      <c r="G303" s="1677">
        <f t="shared" si="23"/>
        <v>80557</v>
      </c>
      <c r="H303" s="1677">
        <f t="shared" si="23"/>
        <v>0</v>
      </c>
      <c r="I303" s="1677">
        <f t="shared" si="23"/>
        <v>0</v>
      </c>
      <c r="J303" s="1677">
        <f t="shared" si="23"/>
        <v>0</v>
      </c>
      <c r="K303" s="1677">
        <f t="shared" si="23"/>
        <v>93138</v>
      </c>
      <c r="L303" s="1677">
        <f t="shared" si="23"/>
        <v>93139</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12581</v>
      </c>
      <c r="F312" s="1670">
        <f>SUM(F303)</f>
        <v>0</v>
      </c>
      <c r="G312" s="1670">
        <f>SUM(G303)</f>
        <v>80557</v>
      </c>
      <c r="H312" s="1670">
        <f>SUM(H303,H310)</f>
        <v>0</v>
      </c>
      <c r="I312" s="1670">
        <f>SUM(I303)</f>
        <v>0</v>
      </c>
      <c r="J312" s="1670">
        <f>SUM(J303)</f>
        <v>0</v>
      </c>
      <c r="K312" s="1670">
        <f>SUM(K303,K310,K311)</f>
        <v>93138</v>
      </c>
      <c r="L312" s="1670">
        <f>SUM(L303,L310,L311)</f>
        <v>93139</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145089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35795</v>
      </c>
      <c r="F320" s="467"/>
      <c r="G320" s="467"/>
      <c r="H320" s="467"/>
      <c r="I320" s="467"/>
      <c r="J320" s="467"/>
      <c r="K320" s="1671">
        <f t="shared" ref="K320:K327" si="24">SUM(C320:J320)</f>
        <v>35795</v>
      </c>
      <c r="L320" s="467">
        <v>35795</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72283</v>
      </c>
      <c r="F322" s="467"/>
      <c r="G322" s="467"/>
      <c r="H322" s="467"/>
      <c r="I322" s="467"/>
      <c r="J322" s="467"/>
      <c r="K322" s="1671">
        <f t="shared" si="24"/>
        <v>72283</v>
      </c>
      <c r="L322" s="467">
        <v>73183</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108078</v>
      </c>
      <c r="F330" s="1670">
        <f t="shared" si="25"/>
        <v>0</v>
      </c>
      <c r="G330" s="1670">
        <f t="shared" si="25"/>
        <v>0</v>
      </c>
      <c r="H330" s="1670">
        <f t="shared" si="25"/>
        <v>0</v>
      </c>
      <c r="I330" s="1670">
        <f t="shared" si="25"/>
        <v>0</v>
      </c>
      <c r="J330" s="1670">
        <f t="shared" si="25"/>
        <v>0</v>
      </c>
      <c r="K330" s="1670">
        <f>SUM(K319:K329)</f>
        <v>108078</v>
      </c>
      <c r="L330" s="1670">
        <f>SUM(L319:L329)</f>
        <v>108978</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108078</v>
      </c>
      <c r="F342" s="1670">
        <f>SUM(F330)</f>
        <v>0</v>
      </c>
      <c r="G342" s="1670">
        <f>SUM(G330)</f>
        <v>0</v>
      </c>
      <c r="H342" s="1670">
        <f>SUM(H330,H334,H340)</f>
        <v>0</v>
      </c>
      <c r="I342" s="1670">
        <f>SUM(I330)</f>
        <v>0</v>
      </c>
      <c r="J342" s="1670">
        <f>SUM(J330)</f>
        <v>0</v>
      </c>
      <c r="K342" s="1670">
        <f>SUM(K330,K334,K340)</f>
        <v>108078</v>
      </c>
      <c r="L342" s="1677">
        <f>SUM(L330,L340,L341)</f>
        <v>108978</v>
      </c>
    </row>
    <row r="343" spans="1:14" ht="12.75" customHeight="1" thickTop="1" x14ac:dyDescent="0.2">
      <c r="A343" s="2173" t="s">
        <v>996</v>
      </c>
      <c r="B343" s="2174"/>
      <c r="C343" s="616"/>
      <c r="D343" s="616"/>
      <c r="E343" s="616"/>
      <c r="F343" s="616"/>
      <c r="G343" s="616"/>
      <c r="H343" s="616"/>
      <c r="I343" s="616"/>
      <c r="J343" s="616"/>
      <c r="K343" s="1684">
        <f>'Revenues 9-14'!J268-'Expenditures 15-22'!K342</f>
        <v>104947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1800</v>
      </c>
      <c r="F348" s="466"/>
      <c r="G348" s="466"/>
      <c r="H348" s="466"/>
      <c r="I348" s="467"/>
      <c r="J348" s="467"/>
      <c r="K348" s="1671">
        <f>SUM(C348:J348)</f>
        <v>1800</v>
      </c>
      <c r="L348" s="466">
        <v>3525</v>
      </c>
    </row>
    <row r="349" spans="1:14" x14ac:dyDescent="0.2">
      <c r="A349" s="1504" t="s">
        <v>197</v>
      </c>
      <c r="B349" s="614">
        <v>2540</v>
      </c>
      <c r="C349" s="466"/>
      <c r="D349" s="466"/>
      <c r="E349" s="466">
        <v>476</v>
      </c>
      <c r="F349" s="466"/>
      <c r="G349" s="466">
        <v>29899</v>
      </c>
      <c r="H349" s="466"/>
      <c r="I349" s="467"/>
      <c r="J349" s="467"/>
      <c r="K349" s="1671">
        <f>SUM(C349:J349)</f>
        <v>30375</v>
      </c>
      <c r="L349" s="466">
        <v>28651</v>
      </c>
    </row>
    <row r="350" spans="1:14" ht="12.75" customHeight="1" thickBot="1" x14ac:dyDescent="0.25">
      <c r="A350" s="1668" t="s">
        <v>719</v>
      </c>
      <c r="B350" s="1669" t="s">
        <v>35</v>
      </c>
      <c r="C350" s="1670">
        <f>SUM(C348:C349)</f>
        <v>0</v>
      </c>
      <c r="D350" s="1670">
        <f t="shared" ref="D350:L350" si="26">SUM(D348:D349)</f>
        <v>0</v>
      </c>
      <c r="E350" s="1670">
        <f t="shared" si="26"/>
        <v>2276</v>
      </c>
      <c r="F350" s="1670">
        <f t="shared" si="26"/>
        <v>0</v>
      </c>
      <c r="G350" s="1670">
        <f t="shared" si="26"/>
        <v>29899</v>
      </c>
      <c r="H350" s="1670">
        <f t="shared" si="26"/>
        <v>0</v>
      </c>
      <c r="I350" s="1670">
        <f t="shared" si="26"/>
        <v>0</v>
      </c>
      <c r="J350" s="1670">
        <f t="shared" si="26"/>
        <v>0</v>
      </c>
      <c r="K350" s="1670">
        <f t="shared" si="26"/>
        <v>32175</v>
      </c>
      <c r="L350" s="1670">
        <f t="shared" si="26"/>
        <v>32176</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2276</v>
      </c>
      <c r="F352" s="1670">
        <f t="shared" si="27"/>
        <v>0</v>
      </c>
      <c r="G352" s="1670">
        <f t="shared" si="27"/>
        <v>29899</v>
      </c>
      <c r="H352" s="1670">
        <f t="shared" si="27"/>
        <v>0</v>
      </c>
      <c r="I352" s="1670">
        <f t="shared" si="27"/>
        <v>0</v>
      </c>
      <c r="J352" s="1670">
        <f t="shared" si="27"/>
        <v>0</v>
      </c>
      <c r="K352" s="1670">
        <f t="shared" si="27"/>
        <v>32175</v>
      </c>
      <c r="L352" s="1670">
        <f t="shared" si="27"/>
        <v>32176</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2276</v>
      </c>
      <c r="F367" s="1670">
        <f t="shared" si="28"/>
        <v>0</v>
      </c>
      <c r="G367" s="1670">
        <f t="shared" si="28"/>
        <v>29899</v>
      </c>
      <c r="H367" s="1670">
        <f t="shared" si="28"/>
        <v>0</v>
      </c>
      <c r="I367" s="1670">
        <f t="shared" si="28"/>
        <v>0</v>
      </c>
      <c r="J367" s="1670">
        <f t="shared" si="28"/>
        <v>0</v>
      </c>
      <c r="K367" s="1670">
        <f t="shared" si="28"/>
        <v>32175</v>
      </c>
      <c r="L367" s="1670">
        <f t="shared" si="28"/>
        <v>32176</v>
      </c>
    </row>
    <row r="368" spans="1:14" ht="13.5" thickTop="1" x14ac:dyDescent="0.2">
      <c r="A368" s="2160" t="s">
        <v>996</v>
      </c>
      <c r="B368" s="2161"/>
      <c r="C368" s="654"/>
      <c r="D368" s="654"/>
      <c r="E368" s="626"/>
      <c r="F368" s="626"/>
      <c r="G368" s="626"/>
      <c r="H368" s="626"/>
      <c r="I368" s="626"/>
      <c r="J368" s="623"/>
      <c r="K368" s="1671">
        <f>'Revenues 9-14'!K268-'Expenditures 15-22'!K367</f>
        <v>-30171</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http://schemas.microsoft.com/office/2006/documentManagement/types"/>
    <ds:schemaRef ds:uri="http://purl.org/dc/dcmitype/"/>
    <ds:schemaRef ds:uri="http://schemas.microsoft.com/office/2006/metadata/properties"/>
    <ds:schemaRef ds:uri="http://schemas.microsoft.com/sharepoint/v3"/>
    <ds:schemaRef ds:uri="6ce3111e-7420-4802-b50a-75d4e9a0b980"/>
    <ds:schemaRef ds:uri="http://purl.org/dc/terms/"/>
    <ds:schemaRef ds:uri="http://schemas.openxmlformats.org/package/2006/metadata/core-properties"/>
    <ds:schemaRef ds:uri="4d435f69-8686-490b-bd6d-b153bf22ab50"/>
    <ds:schemaRef ds:uri="d21dc803-237d-4c68-8692-8d731fd29118"/>
    <ds:schemaRef ds:uri="http://www.w3.org/XML/1998/namespace"/>
  </ds:schemaRefs>
</ds:datastoreItem>
</file>

<file path=customXml/itemProps3.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HOPKINS CONSTANCE</cp:lastModifiedBy>
  <cp:lastPrinted>2019-10-17T20:35:57Z</cp:lastPrinted>
  <dcterms:created xsi:type="dcterms:W3CDTF">2003-10-29T19:06:34Z</dcterms:created>
  <dcterms:modified xsi:type="dcterms:W3CDTF">2019-12-09T19:42:01Z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Statements</vt:lpwstr>
  </property>
  <property fmtid="{D5CDD505-2E9C-101B-9397-08002B2CF9AE}" pid="5" name="tabIndex">
    <vt:lpwstr>03-01</vt:lpwstr>
  </property>
  <property fmtid="{D5CDD505-2E9C-101B-9397-08002B2CF9AE}" pid="6" name="workpaperIndex">
    <vt:lpwstr>03-01d</vt:lpwstr>
  </property>
</Properties>
</file>