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D0813D8-5E8E-48F8-9791-0F4037DE1D9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5"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'SEFA 2019'!$A$1:$N$92</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2019'!$1:$11</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3" i="185" l="1"/>
  <c r="L85" i="185" s="1"/>
  <c r="K83" i="185"/>
  <c r="K85" i="185" s="1"/>
  <c r="J83" i="185"/>
  <c r="J85" i="185" s="1"/>
  <c r="I83" i="185"/>
  <c r="I85" i="185" s="1"/>
  <c r="H83" i="185"/>
  <c r="H85" i="185" s="1"/>
  <c r="G83" i="185"/>
  <c r="G85" i="185" s="1"/>
  <c r="F83" i="185"/>
  <c r="F85" i="185" s="1"/>
  <c r="M82" i="185"/>
  <c r="M80" i="185"/>
  <c r="L74" i="185"/>
  <c r="J74" i="185"/>
  <c r="H74" i="185"/>
  <c r="G74" i="185"/>
  <c r="F74" i="185"/>
  <c r="M73" i="185"/>
  <c r="M74" i="185" s="1"/>
  <c r="L71" i="185"/>
  <c r="K71" i="185"/>
  <c r="J71" i="185"/>
  <c r="I71" i="185"/>
  <c r="H71" i="185"/>
  <c r="G71" i="185"/>
  <c r="F71" i="185"/>
  <c r="M70" i="185"/>
  <c r="M68" i="185"/>
  <c r="M66" i="185"/>
  <c r="M64" i="185"/>
  <c r="M62" i="185"/>
  <c r="M60" i="185"/>
  <c r="L58" i="185"/>
  <c r="K58" i="185"/>
  <c r="J58" i="185"/>
  <c r="I58" i="185"/>
  <c r="H58" i="185"/>
  <c r="G58" i="185"/>
  <c r="F58" i="185"/>
  <c r="F76" i="185" s="1"/>
  <c r="M57" i="185"/>
  <c r="M55" i="185"/>
  <c r="L48" i="185"/>
  <c r="K48" i="185"/>
  <c r="J48" i="185"/>
  <c r="I48" i="185"/>
  <c r="H48" i="185"/>
  <c r="G48" i="185"/>
  <c r="F48" i="185"/>
  <c r="M47" i="185"/>
  <c r="M45" i="185"/>
  <c r="M48" i="185" s="1"/>
  <c r="L41" i="185"/>
  <c r="K41" i="185"/>
  <c r="J41" i="185"/>
  <c r="I41" i="185"/>
  <c r="H41" i="185"/>
  <c r="G41" i="185"/>
  <c r="F41" i="185"/>
  <c r="M40" i="185"/>
  <c r="M38" i="185"/>
  <c r="L35" i="185"/>
  <c r="K35" i="185"/>
  <c r="J35" i="185"/>
  <c r="I35" i="185"/>
  <c r="H35" i="185"/>
  <c r="G35" i="185"/>
  <c r="F35" i="185"/>
  <c r="M34" i="185"/>
  <c r="M32" i="185"/>
  <c r="L28" i="185"/>
  <c r="J28" i="185"/>
  <c r="H28" i="185"/>
  <c r="G28" i="185"/>
  <c r="F28" i="185"/>
  <c r="M27" i="185"/>
  <c r="M25" i="185"/>
  <c r="L23" i="185"/>
  <c r="K23" i="185"/>
  <c r="K28" i="185" s="1"/>
  <c r="J23" i="185"/>
  <c r="I23" i="185"/>
  <c r="I28" i="185" s="1"/>
  <c r="H23" i="185"/>
  <c r="G23" i="185"/>
  <c r="F23" i="185"/>
  <c r="M22" i="185"/>
  <c r="M20" i="185"/>
  <c r="L18" i="185"/>
  <c r="K18" i="185"/>
  <c r="J18" i="185"/>
  <c r="J50" i="185" s="1"/>
  <c r="I18" i="185"/>
  <c r="I50" i="185" s="1"/>
  <c r="H18" i="185"/>
  <c r="H50" i="185" s="1"/>
  <c r="G18" i="185"/>
  <c r="G50" i="185" s="1"/>
  <c r="F18" i="185"/>
  <c r="M17" i="185"/>
  <c r="M15" i="185"/>
  <c r="H76" i="185" l="1"/>
  <c r="M71" i="185"/>
  <c r="J76" i="185"/>
  <c r="M41" i="185"/>
  <c r="F50" i="185"/>
  <c r="F87" i="185" s="1"/>
  <c r="K50" i="185"/>
  <c r="K87" i="185" s="1"/>
  <c r="L76" i="185"/>
  <c r="G76" i="185"/>
  <c r="G87" i="185" s="1"/>
  <c r="L50" i="185"/>
  <c r="M23" i="185"/>
  <c r="M28" i="185"/>
  <c r="M35" i="185"/>
  <c r="H87" i="185"/>
  <c r="M58" i="185"/>
  <c r="M76" i="185" s="1"/>
  <c r="I87" i="185"/>
  <c r="J87" i="185"/>
  <c r="M18" i="185"/>
  <c r="M83" i="185"/>
  <c r="M85" i="185" s="1"/>
  <c r="L87" i="185" l="1"/>
  <c r="M50" i="185"/>
  <c r="M87" i="185"/>
  <c r="E11" i="10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H5" i="12" l="1"/>
  <c r="H14" i="12"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B7816" i="106" l="1"/>
  <c r="D7816" i="106" s="1"/>
  <c r="L285" i="29"/>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B7804" i="106" l="1"/>
  <c r="D7804" i="106" s="1"/>
  <c r="F29" i="34"/>
  <c r="B7803" i="106"/>
  <c r="D7803" i="106" s="1"/>
  <c r="B7811" i="106"/>
  <c r="D7811" i="106" s="1"/>
  <c r="B5196" i="106"/>
  <c r="B7806" i="106"/>
  <c r="D7806" i="106" s="1"/>
  <c r="B7808" i="106"/>
  <c r="D7808" i="106" s="1"/>
  <c r="B7807" i="106"/>
  <c r="D7807" i="106" s="1"/>
  <c r="B7812" i="106"/>
  <c r="D7812" i="106" s="1"/>
  <c r="K7" i="12"/>
  <c r="K14" i="12" s="1"/>
  <c r="B7809" i="106"/>
  <c r="D7809" i="106" s="1"/>
  <c r="F166" i="34"/>
  <c r="B7810" i="106"/>
  <c r="D7810" i="106" s="1"/>
  <c r="B15" i="7"/>
  <c r="B7805" i="106"/>
  <c r="D7805" i="106" s="1"/>
  <c r="B7814" i="106"/>
  <c r="D7814" i="106" s="1"/>
  <c r="B7815" i="106"/>
  <c r="D7815" i="106" s="1"/>
  <c r="B7802" i="106"/>
  <c r="D7802" i="106" s="1"/>
  <c r="F167" i="34"/>
  <c r="B7813" i="106"/>
  <c r="D7813" i="106" s="1"/>
  <c r="B7801" i="106"/>
  <c r="D7801" i="106"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G28"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L22" i="37"/>
  <c r="H33" i="118" l="1"/>
  <c r="F71" i="34"/>
  <c r="F37" i="108"/>
  <c r="F72" i="34"/>
  <c r="G14" i="4"/>
  <c r="B2609" i="106" s="1"/>
  <c r="D2609" i="106" s="1"/>
  <c r="F31" i="108"/>
  <c r="D69" i="36"/>
  <c r="J22" i="37"/>
  <c r="D22" i="37"/>
  <c r="N22" i="3"/>
  <c r="B283" i="106" s="1"/>
  <c r="D283" i="106" s="1"/>
  <c r="D68" i="36"/>
  <c r="F36" i="108"/>
  <c r="D36" i="108"/>
  <c r="B7078" i="106"/>
  <c r="D7078" i="106" s="1"/>
  <c r="B4211" i="106"/>
  <c r="D4211" i="106" s="1"/>
  <c r="F68" i="34"/>
  <c r="F38" i="34"/>
  <c r="G34" i="108"/>
  <c r="G33" i="108"/>
  <c r="B5246" i="106"/>
  <c r="D5246" i="106" s="1"/>
  <c r="E10" i="108"/>
  <c r="B3730" i="106" s="1"/>
  <c r="D3730" i="106" s="1"/>
  <c r="I210" i="29"/>
  <c r="B7071" i="106" s="1"/>
  <c r="D7071" i="106" s="1"/>
  <c r="J210" i="29"/>
  <c r="B7072" i="106" s="1"/>
  <c r="D7072" i="106" s="1"/>
  <c r="F36" i="34"/>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F66" i="34"/>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M23" i="3"/>
  <c r="B6297" i="106"/>
  <c r="D6297" i="106" s="1"/>
  <c r="J151" i="29"/>
  <c r="B7052" i="106" s="1"/>
  <c r="D7052" i="106" s="1"/>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175" i="34" l="1"/>
  <c r="F79" i="34"/>
  <c r="D10" i="146"/>
  <c r="B6215" i="106"/>
  <c r="D6215" i="106" s="1"/>
  <c r="J41" i="3"/>
  <c r="B3576" i="106"/>
  <c r="D3576" i="106" s="1"/>
  <c r="F8"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567" i="106"/>
  <c r="D3567" i="106" s="1"/>
  <c r="K41" i="3"/>
  <c r="B212" i="106"/>
  <c r="D212" i="106" s="1"/>
  <c r="H41" i="3"/>
  <c r="B123" i="106"/>
  <c r="D123" i="106" s="1"/>
  <c r="D41" i="3"/>
  <c r="B2912" i="106"/>
  <c r="D2912" i="106" s="1"/>
  <c r="I41" i="3"/>
  <c r="B6216" i="106"/>
  <c r="D6216" i="106" s="1"/>
  <c r="D51" i="36"/>
  <c r="B3239" i="106"/>
  <c r="D3239" i="106" s="1"/>
  <c r="F10" i="146"/>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5" i="36" l="1"/>
  <c r="B124" i="106"/>
  <c r="D124" i="106" s="1"/>
  <c r="B2913" i="106"/>
  <c r="D2913" i="106" s="1"/>
  <c r="D50" i="36"/>
  <c r="D76" i="36"/>
  <c r="B92" i="106"/>
  <c r="D92" i="106" s="1"/>
  <c r="C41" i="3"/>
  <c r="N21" i="3"/>
  <c r="B140" i="106"/>
  <c r="D140" i="106" s="1"/>
  <c r="E41" i="3"/>
  <c r="D49" i="36"/>
  <c r="B213" i="106"/>
  <c r="D213" i="106" s="1"/>
  <c r="B189" i="106"/>
  <c r="D189" i="106" s="1"/>
  <c r="G41" i="3"/>
  <c r="B3568" i="106"/>
  <c r="D3568" i="106" s="1"/>
  <c r="D52" i="36"/>
  <c r="B170" i="106"/>
  <c r="D170" i="106" s="1"/>
  <c r="F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N23" i="3"/>
  <c r="B93" i="106"/>
  <c r="D93" i="106" s="1"/>
  <c r="D44" i="36"/>
  <c r="B190" i="106"/>
  <c r="D190" i="106" s="1"/>
  <c r="D48" i="36"/>
  <c r="B171" i="106"/>
  <c r="D171" i="106" s="1"/>
  <c r="D47" i="36"/>
  <c r="B141" i="106"/>
  <c r="D141" i="106" s="1"/>
  <c r="D46"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<sst xmlns="http://schemas.openxmlformats.org/spreadsheetml/2006/main" count="5275" uniqueCount="2197">
  <si>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</si>
  <si>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</si>
  <si>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</si>
  <si>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</si>
  <si>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</si>
  <si>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</si>
  <si>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</si>
  <si>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</si>
  <si>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</si>
  <si>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</si>
  <si>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</si>
  <si>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</si>
  <si>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</si>
  <si>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</si>
  <si>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</si>
  <si>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</si>
  <si>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</si>
  <si>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</si>
  <si>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</si>
  <si>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</si>
  <si>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</si>
  <si>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</si>
  <si>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</si>
  <si>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</si>
  <si>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</si>
  <si>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</si>
  <si>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</si>
  <si>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</si>
  <si>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</si>
  <si>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</si>
  <si>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</si>
  <si>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</si>
  <si>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</si>
  <si>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</si>
  <si>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</si>
  <si>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</si>
  <si>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</si>
  <si>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</si>
  <si>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</si>
  <si>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</si>
  <si>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</si>
  <si>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</si>
  <si>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</si>
  <si>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</si>
  <si>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</si>
  <si>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</si>
  <si>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</si>
  <si>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</si>
  <si>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</si>
  <si>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</si>
  <si>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</si>
  <si>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</si>
  <si>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</si>
  <si>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</si>
  <si>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</si>
  <si>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</si>
  <si>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</si>
  <si>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</si>
  <si>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</si>
  <si>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</si>
  <si>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</si>
  <si>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</si>
  <si>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</si>
  <si>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</si>
  <si>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</si>
  <si>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</si>
  <si>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</si>
  <si>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</si>
  <si>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</si>
  <si>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</si>
  <si>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</si>
  <si>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</si>
  <si>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</si>
  <si>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</si>
  <si>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</si>
  <si>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</si>
  <si>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</si>
  <si>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</si>
  <si>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</si>
  <si>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</si>
  <si>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</si>
  <si>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</si>
  <si>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</si>
  <si>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</si>
  <si>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</si>
  <si>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</si>
  <si>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</si>
  <si>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</si>
  <si>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</si>
  <si>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</si>
  <si>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</si>
  <si>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</si>
  <si>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</si>
  <si>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</si>
  <si>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</si>
  <si>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</si>
  <si>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</si>
  <si>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</si>
  <si>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</si>
  <si>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</si>
  <si>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</si>
  <si>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</si>
  <si>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</si>
  <si>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</si>
  <si>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</si>
  <si>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</si>
  <si>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</si>
  <si>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</si>
  <si>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</si>
  <si>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</si>
  <si>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</si>
  <si>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</si>
  <si>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</si>
  <si>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</si>
  <si>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</si>
  <si>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</si>
  <si>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</si>
  <si>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</si>
  <si>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</si>
  <si>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</si>
  <si>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</si>
  <si>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</si>
  <si>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</si>
  <si>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</si>
  <si>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</si>
  <si>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</si>
  <si>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</si>
  <si>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</si>
  <si>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</si>
  <si>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</si>
  <si>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</si>
  <si>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</si>
  <si>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</si>
  <si>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</si>
  <si>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</si>
  <si>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</si>
  <si>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</si>
  <si>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</si>
  <si>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</si>
  <si>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</si>
  <si>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</si>
  <si>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</si>
  <si>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</si>
  <si>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</si>
  <si>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</si>
  <si>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</si>
  <si>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</si>
  <si>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</si>
  <si>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</si>
  <si>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</si>
  <si>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</si>
  <si>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</si>
  <si>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</si>
  <si>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</si>
  <si>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</si>
  <si>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</si>
  <si>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</si>
  <si>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</si>
  <si>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</si>
  <si>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</si>
  <si>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</si>
  <si>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</si>
  <si>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</si>
  <si>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</si>
  <si>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</si>
  <si>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</si>
  <si>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</si>
  <si>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</si>
  <si>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</si>
  <si>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</si>
  <si>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</si>
  <si>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</si>
  <si>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</si>
  <si>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</si>
  <si>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</si>
  <si>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</si>
  <si>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</si>
  <si>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</si>
  <si>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</si>
  <si>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</si>
  <si>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</si>
  <si>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</si>
  <si>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</si>
  <si>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</si>
  <si>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</si>
  <si>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</si>
  <si>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</si>
  <si>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</si>
  <si>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</si>
  <si>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</si>
  <si>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</si>
  <si>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</si>
  <si>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</si>
  <si>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</si>
  <si>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</si>
  <si>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</si>
  <si>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</si>
  <si>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</si>
  <si>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</si>
  <si>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</si>
  <si>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</si>
  <si>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</si>
  <si>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</si>
  <si>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</si>
  <si>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</si>
  <si>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</si>
  <si>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</si>
  <si>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</si>
  <si>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</si>
  <si>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</si>
  <si>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</si>
  <si>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</si>
  <si>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</si>
  <si>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</si>
  <si>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</si>
  <si>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</si>
  <si>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</si>
  <si>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</si>
  <si>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</si>
  <si>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</si>
  <si>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</si>
  <si>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</si>
  <si>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</si>
  <si>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</si>
  <si>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</si>
  <si>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</si>
  <si>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</si>
  <si>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</si>
  <si>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</si>
  <si>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</si>
  <si>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</si>
  <si>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</si>
  <si>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</si>
  <si>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</si>
  <si>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</si>
  <si>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</si>
  <si>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</si>
  <si>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</si>
  <si>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</si>
  <si>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</si>
  <si>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</si>
  <si>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</si>
  <si>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</si>
  <si>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</si>
  <si>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</si>
  <si>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</si>
  <si>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</si>
  <si>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</si>
  <si>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</si>
  <si>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</si>
  <si>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</si>
  <si>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</si>
  <si>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</si>
  <si>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</si>
  <si>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</si>
  <si>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</si>
  <si>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</si>
  <si>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</si>
  <si>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</si>
  <si>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</si>
  <si>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</si>
  <si>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</si>
  <si>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</si>
  <si>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</si>
  <si>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</si>
  <si>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</si>
  <si>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</si>
  <si>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</si>
  <si>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</si>
  <si>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</si>
  <si>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</si>
  <si>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</si>
  <si>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</si>
  <si>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</si>
  <si>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</si>
  <si>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</si>
  <si>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</si>
  <si>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</si>
  <si>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</si>
  <si>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</si>
  <si>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</si>
  <si>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</si>
  <si>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</si>
  <si>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</si>
  <si>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</si>
  <si>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</si>
  <si>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</si>
  <si>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</si>
  <si>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</si>
  <si>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</si>
  <si>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</si>
  <si>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</si>
  <si>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</si>
  <si>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</si>
  <si>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</si>
  <si>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</si>
  <si>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</si>
  <si>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</si>
  <si>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</si>
  <si>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</si>
  <si>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</si>
  <si>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</si>
  <si>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</si>
  <si>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</si>
  <si>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</si>
  <si>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</si>
  <si>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</si>
  <si>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</si>
  <si>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</si>
  <si>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</si>
  <si>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</si>
  <si>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</si>
  <si>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</si>
  <si>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</si>
  <si>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</si>
  <si>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</si>
  <si>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</si>
  <si>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</si>
  <si>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</si>
  <si>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</si>
  <si>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</si>
  <si>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</si>
  <si>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</si>
  <si>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</si>
  <si>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</si>
  <si>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</si>
  <si>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</si>
  <si>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</si>
  <si>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</si>
  <si>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</si>
  <si>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</si>
  <si>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</si>
  <si>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</si>
  <si>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</si>
  <si>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</si>
  <si>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</si>
  <si>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</si>
  <si>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</si>
  <si>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</si>
  <si>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</si>
  <si>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</si>
  <si>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</si>
  <si>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</si>
  <si>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</si>
  <si>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</si>
  <si>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</si>
  <si>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</si>
  <si>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</si>
  <si>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</si>
  <si>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</si>
  <si>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</si>
  <si>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</si>
  <si>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</si>
  <si>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</si>
  <si>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</si>
  <si>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</si>
  <si>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</si>
  <si>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</si>
  <si>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</si>
  <si>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</si>
  <si>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</si>
  <si>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</si>
  <si>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</si>
  <si>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</si>
  <si>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</si>
  <si>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</si>
  <si>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</si>
  <si>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</si>
  <si>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</si>
  <si>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</si>
  <si>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</si>
  <si>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</si>
  <si>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</si>
  <si>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</si>
  <si>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</si>
  <si>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</si>
  <si>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</si>
  <si>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</si>
  <si>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</si>
  <si>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</si>
  <si>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</si>
  <si>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</si>
  <si>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</si>
  <si>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</si>
  <si>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</si>
  <si>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</si>
  <si>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</si>
  <si>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</si>
  <si>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</si>
  <si>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</si>
  <si>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</si>
  <si>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</si>
  <si>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</si>
  <si>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</si>
  <si>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</si>
  <si>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</si>
  <si>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</si>
  <si>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</si>
  <si>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</si>
  <si>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</si>
  <si>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</si>
  <si>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</si>
  <si>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</si>
  <si>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</si>
  <si>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</si>
  <si>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</si>
  <si>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</si>
  <si>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</si>
  <si>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</si>
  <si>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</si>
  <si>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</si>
  <si>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</si>
  <si>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</si>
  <si>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</si>
  <si>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</si>
  <si>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</si>
  <si>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</si>
  <si>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</si>
  <si>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</si>
  <si>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</si>
  <si>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</si>
  <si>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</si>
  <si>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</si>
  <si>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</si>
  <si>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</si>
  <si>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</si>
  <si>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</si>
  <si>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</si>
  <si>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</si>
  <si>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</si>
  <si>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</si>
  <si>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</si>
  <si>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</si>
  <si>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</si>
  <si>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</si>
  <si>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</si>
  <si>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</si>
  <si>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</si>
  <si>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</si>
  <si>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</si>
  <si>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</si>
  <si>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</si>
  <si>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</si>
  <si>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</si>
  <si>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</si>
  <si>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</si>
  <si>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</si>
  <si>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</si>
  <si>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</si>
  <si>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</si>
  <si>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</si>
  <si>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</si>
  <si>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</si>
  <si>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</si>
  <si>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</si>
  <si>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</si>
  <si>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</si>
  <si>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</si>
  <si>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</si>
  <si>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</si>
  <si>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</si>
  <si>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</si>
  <si>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</si>
  <si>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</si>
  <si>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</si>
  <si>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</si>
  <si>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</si>
  <si>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</si>
  <si>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</si>
  <si>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</si>
  <si>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</si>
  <si>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</si>
  <si>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</si>
  <si>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</si>
  <si>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</si>
  <si>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</si>
  <si>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</si>
  <si>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</si>
  <si>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</si>
  <si>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</si>
  <si>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</si>
  <si>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</si>
  <si>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</si>
  <si>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</si>
  <si>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</si>
  <si>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</si>
  <si>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</si>
  <si>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</si>
  <si>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</si>
  <si>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</si>
  <si>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</si>
  <si>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</si>
  <si>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</si>
  <si>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</si>
  <si>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</si>
  <si>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</si>
  <si>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</si>
  <si>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</si>
  <si>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</si>
  <si>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</si>
  <si>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</si>
  <si>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</si>
  <si>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</si>
  <si>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</si>
  <si>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</si>
  <si>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</si>
  <si>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</si>
  <si>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</si>
  <si>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</si>
  <si>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</si>
  <si>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</si>
  <si>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</si>
  <si>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</si>
  <si>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</si>
  <si>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</si>
  <si>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</si>
  <si>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</si>
  <si>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</si>
  <si>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</si>
  <si>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</si>
  <si>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</si>
  <si>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</si>
  <si>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</si>
  <si>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</si>
  <si>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</si>
  <si>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</si>
  <si>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</si>
  <si>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</si>
  <si>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</si>
  <si>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</si>
  <si>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</si>
  <si>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</si>
  <si>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</si>
  <si>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</si>
  <si>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</si>
  <si>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</si>
  <si>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</si>
  <si>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</si>
  <si>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</si>
  <si>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</si>
  <si>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</si>
  <si>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</si>
  <si>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</si>
  <si>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</si>
  <si>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</si>
  <si>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</si>
  <si>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</si>
  <si>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</si>
  <si>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</si>
  <si>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</si>
  <si>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</si>
  <si>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</si>
  <si>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</si>
  <si>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</si>
  <si>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</si>
  <si>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</si>
  <si>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</si>
  <si>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</si>
  <si>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</si>
  <si>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</si>
  <si>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</si>
  <si>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</si>
  <si>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</si>
  <si>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</si>
  <si>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</si>
  <si>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</si>
  <si>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</si>
  <si>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</si>
  <si>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</si>
  <si>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</si>
  <si>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</si>
  <si>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</si>
  <si>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</si>
  <si>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</si>
  <si>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</si>
  <si>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</si>
  <si>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</si>
  <si>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</si>
  <si>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</si>
  <si>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</si>
  <si>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</si>
  <si>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</si>
  <si>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</si>
  <si>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</si>
  <si>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</si>
  <si>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</si>
  <si>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</si>
  <si>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</si>
  <si>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</si>
  <si>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</si>
  <si>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</si>
  <si>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</si>
  <si>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</si>
  <si>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</si>
  <si>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</si>
  <si>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</si>
  <si>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</si>
  <si>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</si>
  <si>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</si>
  <si>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</si>
  <si>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</si>
  <si>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</si>
  <si>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</si>
  <si>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</si>
  <si>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</si>
  <si>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</si>
  <si>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</si>
  <si>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</si>
  <si>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</si>
  <si>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</si>
  <si>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</si>
  <si>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</si>
  <si>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</si>
  <si>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</si>
  <si>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</si>
  <si>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</si>
  <si>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</si>
  <si>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</si>
  <si>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</si>
  <si>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</si>
  <si>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</si>
  <si>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</si>
  <si>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</si>
  <si>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</si>
  <si>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</si>
  <si>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</si>
  <si>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</si>
  <si>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</si>
  <si>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</si>
  <si>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</si>
  <si>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</si>
  <si>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</si>
  <si>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</si>
  <si>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</si>
  <si>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</si>
  <si>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</si>
  <si>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</si>
  <si>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</si>
  <si>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</si>
  <si>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</si>
  <si>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</si>
  <si>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</si>
  <si>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</si>
  <si>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</si>
  <si>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</si>
  <si>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</si>
  <si>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</si>
  <si>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</si>
  <si>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</si>
  <si>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</si>
  <si>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</si>
  <si>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</si>
  <si>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</si>
  <si>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</si>
  <si>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</si>
  <si>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</si>
  <si>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</si>
  <si>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</si>
  <si>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</si>
  <si>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</si>
  <si>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</si>
  <si>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</si>
  <si>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</si>
  <si>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</si>
  <si>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</si>
  <si>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</si>
  <si>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</si>
  <si>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</si>
  <si>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</si>
  <si>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</si>
  <si>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</si>
  <si>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</si>
  <si>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</si>
  <si>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</si>
  <si>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</si>
  <si>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</si>
  <si>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</si>
  <si>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</si>
  <si>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</si>
  <si>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</si>
  <si>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</si>
  <si>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</si>
  <si>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</si>
  <si>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</si>
  <si>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</si>
  <si>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</si>
  <si>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</si>
  <si>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</si>
  <si>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</si>
  <si>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</si>
  <si>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</si>
  <si>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</si>
  <si>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</si>
  <si>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</si>
  <si>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</si>
  <si>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</si>
  <si>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</si>
  <si>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</si>
  <si>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</si>
  <si>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</si>
  <si>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</si>
  <si>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</si>
  <si>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</si>
  <si>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</si>
  <si>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</si>
  <si>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</si>
  <si>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</si>
  <si>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</si>
  <si>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</si>
  <si>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</si>
  <si>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</si>
  <si>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</si>
  <si>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</si>
  <si>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</si>
  <si>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</si>
  <si>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</si>
  <si>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</si>
  <si>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</si>
  <si>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</si>
  <si>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</si>
  <si>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</si>
  <si>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</si>
  <si>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</si>
  <si>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</si>
  <si>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</si>
  <si>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</si>
  <si>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</si>
  <si>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</si>
  <si>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</si>
  <si>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</si>
  <si>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</si>
  <si>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</si>
  <si>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</si>
  <si>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</si>
  <si>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</si>
  <si>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</si>
  <si>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</si>
  <si>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</si>
  <si>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</si>
  <si>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</si>
  <si>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</si>
  <si>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</si>
  <si>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</si>
  <si>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</si>
  <si>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</si>
  <si>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</si>
  <si>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</si>
  <si>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</si>
  <si>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</si>
  <si>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</si>
  <si>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</si>
  <si>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</si>
  <si>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</si>
  <si>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</si>
  <si>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</si>
  <si>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</si>
  <si>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</si>
  <si>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</si>
  <si>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</si>
  <si>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</si>
  <si>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</si>
  <si>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</si>
  <si>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</si>
  <si>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</si>
  <si>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</si>
  <si>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</si>
  <si>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</si>
  <si>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</si>
  <si>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</si>
  <si>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</si>
  <si>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</si>
  <si>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</si>
  <si>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</si>
  <si>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</si>
  <si>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</si>
  <si>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</si>
  <si>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</si>
  <si>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</si>
  <si>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</si>
  <si>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</si>
  <si>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</si>
  <si>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</si>
  <si>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</si>
  <si>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</si>
  <si>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</si>
  <si>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</si>
  <si>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</si>
  <si>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</si>
  <si>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</si>
  <si>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</si>
  <si>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</si>
  <si>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</si>
  <si>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</si>
  <si>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</si>
  <si>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</si>
  <si>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</si>
  <si>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</si>
  <si>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</si>
  <si>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</si>
  <si>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</si>
  <si>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</si>
  <si>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</si>
  <si>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</si>
  <si>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</si>
  <si>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</si>
  <si>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</si>
  <si>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</si>
  <si>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</si>
  <si>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</si>
  <si>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</si>
  <si>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</si>
  <si>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</si>
  <si>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</si>
  <si>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</si>
  <si>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</si>
  <si>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</si>
  <si>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</si>
  <si>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</si>
  <si>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</si>
  <si>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</si>
  <si>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</si>
  <si>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</si>
  <si>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</si>
  <si>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</si>
  <si>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</si>
  <si>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</si>
  <si>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</si>
  <si>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</si>
  <si>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</si>
  <si>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</si>
  <si>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</si>
  <si>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</si>
  <si>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</si>
  <si>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</si>
  <si>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</si>
  <si>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</si>
  <si>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</si>
  <si>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</si>
  <si>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</si>
  <si>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</si>
  <si>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</si>
  <si>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</si>
  <si>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</si>
  <si>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</si>
  <si>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</si>
  <si>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</si>
  <si>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</si>
  <si>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</si>
  <si>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</si>
  <si>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</si>
  <si>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</si>
  <si>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</si>
  <si>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</si>
  <si>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</si>
  <si>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</si>
  <si>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</si>
  <si>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</si>
  <si>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</si>
  <si>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</si>
  <si>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</si>
  <si>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</si>
  <si>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</si>
  <si>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</si>
  <si>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</si>
  <si>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</si>
  <si>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</si>
  <si>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</si>
  <si>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</si>
  <si>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</si>
  <si>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</si>
  <si>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</si>
  <si>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</si>
  <si>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</si>
  <si>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</si>
  <si>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</si>
  <si>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</si>
  <si>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</si>
  <si>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</si>
  <si>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</si>
  <si>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</si>
  <si>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</si>
  <si>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</si>
  <si>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</si>
  <si>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</si>
  <si>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</si>
  <si>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</si>
  <si>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</si>
  <si>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</si>
  <si>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</si>
  <si>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</si>
  <si>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</si>
  <si>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</si>
  <si>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</si>
  <si>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</si>
  <si>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</si>
  <si>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</si>
  <si>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</si>
  <si>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</si>
  <si>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</si>
  <si>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</si>
  <si>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</si>
  <si>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</si>
  <si>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</si>
  <si>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</si>
  <si>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</si>
  <si>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</si>
  <si>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</si>
  <si>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</si>
  <si>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</si>
  <si>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</si>
  <si>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</si>
  <si>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</si>
  <si>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</si>
  <si>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</si>
  <si>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</si>
  <si>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</si>
  <si>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</si>
  <si>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</si>
  <si>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</si>
  <si>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</si>
  <si>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</si>
  <si>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</si>
  <si>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</si>
  <si>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</si>
  <si>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</si>
  <si>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</si>
  <si>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</si>
  <si>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</si>
  <si>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</si>
  <si>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</si>
  <si>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</si>
  <si>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</si>
  <si>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</si>
  <si>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</si>
  <si>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</si>
  <si>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</si>
  <si>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</si>
  <si>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</si>
  <si>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</si>
  <si>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</si>
  <si>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</si>
  <si>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</si>
  <si>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</si>
  <si>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</si>
  <si>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</si>
  <si>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</si>
  <si>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</si>
  <si>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</si>
  <si>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</si>
  <si>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</si>
  <si>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</si>
  <si>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</si>
  <si>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</si>
  <si>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</si>
  <si>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</si>
  <si>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</si>
  <si>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</si>
  <si>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</si>
  <si>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</si>
  <si>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</si>
  <si>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</si>
  <si>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</si>
  <si>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</si>
  <si>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</si>
  <si>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</si>
  <si>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</si>
  <si>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</si>
  <si>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</si>
  <si>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</si>
  <si>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</si>
  <si>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</si>
  <si>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</si>
  <si>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</si>
  <si>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</si>
  <si>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</si>
  <si>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</si>
  <si>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</si>
  <si>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</si>
  <si>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</si>
  <si>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</si>
  <si>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</si>
  <si>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</si>
  <si>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</si>
  <si>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</si>
  <si>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</si>
  <si>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</si>
  <si>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</si>
  <si>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</si>
  <si>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</si>
  <si>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</si>
  <si>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</si>
  <si>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</si>
  <si>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</si>
  <si>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</si>
  <si>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</si>
  <si>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</si>
  <si>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</si>
  <si>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</si>
  <si>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</si>
  <si>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</si>
  <si>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</si>
  <si>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</si>
  <si>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</si>
  <si>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</si>
  <si>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</si>
  <si>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</si>
  <si>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</si>
  <si>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</si>
  <si>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</si>
  <si>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</si>
  <si>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</si>
  <si>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</si>
  <si>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</si>
  <si>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</si>
  <si>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</si>
  <si>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</si>
  <si>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</si>
  <si>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</si>
  <si>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</si>
  <si>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</si>
  <si>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</si>
  <si>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</si>
  <si>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</si>
  <si>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</si>
  <si>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</si>
  <si>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</si>
  <si>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</si>
  <si>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</si>
  <si>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</si>
  <si>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</si>
  <si>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</si>
  <si>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</si>
  <si>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</si>
  <si>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</si>
  <si>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</si>
  <si>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</si>
  <si>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</si>
  <si>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</si>
  <si>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</si>
  <si>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</si>
  <si>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</si>
  <si>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</si>
  <si>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</si>
  <si>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</si>
  <si>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</si>
  <si>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</si>
  <si>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</si>
  <si>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</si>
  <si>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</si>
  <si>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</si>
  <si>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</si>
  <si>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</si>
  <si>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</si>
  <si>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</si>
  <si>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</si>
  <si>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</si>
  <si>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</si>
  <si>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</si>
  <si>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</si>
  <si>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</si>
  <si>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</si>
  <si>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</si>
  <si>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</si>
  <si>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</si>
  <si>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</si>
  <si>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</si>
  <si>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</si>
  <si>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</si>
  <si>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</si>
  <si>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</si>
  <si>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</si>
  <si>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</si>
  <si>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</si>
  <si>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</si>
  <si>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</si>
  <si>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</si>
  <si>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</si>
  <si>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</si>
  <si>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</si>
  <si>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</si>
  <si>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</si>
  <si>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</si>
  <si>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</si>
  <si>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</si>
  <si>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</si>
  <si>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</si>
  <si>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</si>
  <si>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</si>
  <si>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</si>
  <si>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</si>
  <si>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</si>
  <si>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</si>
  <si>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</si>
  <si>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</si>
  <si>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</si>
  <si>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</si>
  <si>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</si>
  <si>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</si>
  <si>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</si>
  <si>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</si>
  <si>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</si>
  <si>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</si>
  <si>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</si>
  <si>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</si>
  <si>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</si>
  <si>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</si>
  <si>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</si>
  <si>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</si>
  <si>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</si>
  <si>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</si>
  <si>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</si>
  <si>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</si>
  <si>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</si>
  <si>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</si>
  <si>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</si>
  <si>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</si>
  <si>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</si>
  <si>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</si>
  <si>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</si>
  <si>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</si>
  <si>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</si>
  <si>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</si>
  <si>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</si>
  <si>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</si>
  <si>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</si>
  <si>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</si>
  <si>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</si>
  <si>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</si>
  <si>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</si>
  <si>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</si>
  <si>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</si>
  <si>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</si>
  <si>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</si>
  <si>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</si>
  <si>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</si>
  <si>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</si>
  <si>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</si>
  <si>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</si>
  <si>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</si>
  <si>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</si>
  <si>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</si>
  <si>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</si>
  <si>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</si>
  <si>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</si>
  <si>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</si>
  <si>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</si>
  <si>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</si>
  <si>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</si>
  <si>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</si>
  <si>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</si>
  <si>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</si>
  <si>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</si>
  <si>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</si>
  <si>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</si>
  <si>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</si>
  <si>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</si>
  <si>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</si>
  <si>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</si>
  <si>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</si>
  <si>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</si>
  <si>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</si>
  <si>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</si>
  <si>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</si>
  <si>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</si>
  <si>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</si>
  <si>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</si>
  <si>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</si>
  <si>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</si>
  <si>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</si>
  <si>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</si>
  <si>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</si>
  <si>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</si>
  <si>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</si>
  <si>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</si>
  <si>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</si>
  <si>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</si>
  <si>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</si>
  <si>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</si>
  <si>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</si>
  <si>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</si>
  <si>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</si>
  <si>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</si>
  <si>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</si>
  <si>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</si>
  <si>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</si>
  <si>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</si>
  <si>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</si>
  <si>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</si>
  <si>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</si>
  <si>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</si>
  <si>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</si>
  <si>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</si>
  <si>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</si>
  <si>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</si>
  <si>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</si>
  <si>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</si>
  <si>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</si>
  <si>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</si>
  <si>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</si>
  <si>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</si>
  <si>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</si>
  <si>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</si>
  <si>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</si>
  <si>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</si>
  <si>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</si>
  <si>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</si>
  <si>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</si>
  <si>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</si>
  <si>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</si>
  <si>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</si>
  <si>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</si>
  <si>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</si>
  <si>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</si>
  <si>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</si>
  <si>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</si>
  <si>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</si>
  <si>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</si>
  <si>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</si>
  <si>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</si>
  <si>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</si>
  <si>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</si>
  <si>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</si>
  <si>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</si>
  <si>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</si>
  <si>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</si>
  <si>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</si>
  <si>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</si>
  <si>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</si>
  <si>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</si>
  <si>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</si>
  <si>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</si>
  <si>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</si>
  <si>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</si>
  <si>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</si>
  <si>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</si>
  <si>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</si>
  <si>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</si>
  <si>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</si>
  <si>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</si>
  <si>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</si>
  <si>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</si>
  <si>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</si>
  <si>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</si>
  <si>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</si>
  <si>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</si>
  <si>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</si>
  <si>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</si>
  <si>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</si>
  <si>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</si>
  <si>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</si>
  <si>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</si>
  <si>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</si>
  <si>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</si>
  <si>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</si>
  <si>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</si>
  <si>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</si>
  <si>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</si>
  <si>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</si>
  <si>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</si>
  <si>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</si>
  <si>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</si>
  <si>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</si>
  <si>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</si>
  <si>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</si>
  <si>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</si>
  <si>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</si>
  <si>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</si>
  <si>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</si>
  <si>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</si>
  <si>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</si>
  <si>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</si>
  <si>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</si>
  <si>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</si>
  <si>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</si>
  <si>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</si>
  <si>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</si>
  <si>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</si>
  <si>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</si>
  <si>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</si>
  <si>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</si>
  <si>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</si>
  <si>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</si>
  <si>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</si>
  <si>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</si>
  <si>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</si>
  <si>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</si>
  <si>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</si>
  <si>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</si>
  <si>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</si>
  <si>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</si>
  <si>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</si>
  <si>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</si>
  <si>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</si>
  <si>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</si>
  <si>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</si>
  <si>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</si>
  <si>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</si>
  <si>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</si>
  <si>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</si>
  <si>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</si>
  <si>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</si>
  <si>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</si>
  <si>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</si>
  <si>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</si>
  <si>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</si>
  <si>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</si>
  <si>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</si>
  <si>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</si>
  <si>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</si>
  <si>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</si>
  <si>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</si>
  <si>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</si>
  <si>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</si>
  <si>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</si>
  <si>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</si>
  <si>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</si>
  <si>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</si>
  <si>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</si>
  <si>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</si>
  <si>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</si>
  <si>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</si>
  <si>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</si>
  <si>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</si>
  <si>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</si>
  <si>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</si>
  <si>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</si>
  <si>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</si>
  <si>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</si>
  <si>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</si>
  <si>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</si>
  <si>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</si>
  <si>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</si>
  <si>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</si>
  <si>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</si>
  <si>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</si>
  <si>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</si>
  <si>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</si>
  <si>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</si>
  <si>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</si>
  <si>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</si>
  <si>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</si>
  <si>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</si>
  <si>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</si>
  <si>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</si>
  <si>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</si>
  <si>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</si>
  <si>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</si>
  <si>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</si>
  <si>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</si>
  <si>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</si>
  <si>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</si>
  <si>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</si>
  <si>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</si>
  <si>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</si>
  <si>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</si>
  <si>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</si>
  <si>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</si>
  <si>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</si>
  <si>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</si>
  <si>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</si>
  <si>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</si>
  <si>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</si>
  <si>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</si>
  <si>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</si>
  <si>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</si>
  <si>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</si>
  <si>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</si>
  <si>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</si>
  <si>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</si>
  <si>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</si>
  <si>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</si>
  <si>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</si>
  <si>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</si>
  <si>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</si>
  <si>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</si>
  <si>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</si>
  <si>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</si>
  <si>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</si>
  <si>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</si>
  <si>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</si>
  <si>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</si>
  <si>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</si>
  <si>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</si>
  <si>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</si>
  <si>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</si>
  <si>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</si>
  <si>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</si>
  <si>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</si>
  <si>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</si>
  <si>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</si>
  <si>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</si>
  <si>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</si>
  <si>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</si>
  <si>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</si>
  <si>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</si>
  <si>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</si>
  <si>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</si>
  <si>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</si>
  <si>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</si>
  <si>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</si>
  <si>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</si>
  <si>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</si>
  <si>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</si>
  <si>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</si>
  <si>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</si>
  <si>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</si>
  <si>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</si>
  <si>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</si>
  <si>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</si>
  <si>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</si>
  <si>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</si>
  <si>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</si>
  <si>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</si>
  <si>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</si>
  <si>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</si>
  <si>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</si>
  <si>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</si>
  <si>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</si>
  <si>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</si>
  <si>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</si>
  <si>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</si>
  <si>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</si>
  <si>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</si>
  <si>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</si>
  <si>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</si>
  <si>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</si>
  <si>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</si>
  <si>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</si>
  <si>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</si>
  <si>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</si>
  <si>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</si>
  <si>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</si>
  <si>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</si>
  <si>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</si>
  <si>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</si>
  <si>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</si>
  <si>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</si>
  <si>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</si>
  <si>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</si>
  <si>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</si>
  <si>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</si>
  <si>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</si>
  <si>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</si>
  <si>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</si>
  <si>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</si>
  <si>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</si>
  <si>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</si>
  <si>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</si>
  <si>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</si>
  <si>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</si>
  <si>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</si>
  <si>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</si>
  <si>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</si>
  <si>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</si>
  <si>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</si>
  <si>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</si>
  <si>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</si>
  <si>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</si>
  <si>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</si>
  <si>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</si>
  <si>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</si>
  <si>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</si>
  <si>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</si>
  <si>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</si>
  <si>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</si>
  <si>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</si>
  <si>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</si>
  <si>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</si>
  <si>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</si>
  <si>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</si>
  <si>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</si>
  <si>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</si>
  <si>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</si>
  <si>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</si>
  <si>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</si>
  <si>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</si>
  <si>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</si>
  <si>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</si>
  <si>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</si>
  <si>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</si>
  <si>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</si>
  <si>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</si>
  <si>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</si>
  <si>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</si>
  <si>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</si>
  <si>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</si>
  <si>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</si>
  <si>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</si>
  <si>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</si>
  <si>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</si>
  <si>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</si>
  <si>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</si>
  <si>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</si>
  <si>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</si>
  <si>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</si>
  <si>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</si>
  <si>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</si>
  <si>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</si>
  <si>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</si>
  <si>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</si>
  <si>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</si>
  <si>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</si>
  <si>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</si>
  <si>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</si>
  <si>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</si>
  <si>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</si>
  <si>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</si>
  <si>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</si>
  <si>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</si>
  <si>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</si>
  <si>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</si>
  <si>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</si>
  <si>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</si>
  <si>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</si>
  <si>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</si>
  <si>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</si>
  <si>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</si>
  <si>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</si>
  <si>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</si>
  <si>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</si>
  <si>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</si>
  <si>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</si>
  <si>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</si>
  <si>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</si>
  <si>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</si>
  <si>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</si>
  <si>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</si>
  <si>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</si>
  <si>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</si>
  <si>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</si>
  <si>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</si>
  <si>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</si>
  <si>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</si>
  <si>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</si>
  <si>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</si>
  <si>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</si>
  <si>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</si>
  <si>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</si>
  <si>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</si>
  <si>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</si>
  <si>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</si>
  <si>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</si>
  <si>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</si>
  <si>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</si>
  <si>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</si>
  <si>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</si>
  <si>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</si>
  <si>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</si>
  <si>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</si>
  <si>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</si>
  <si>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</si>
  <si>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</si>
  <si>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</si>
  <si>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</si>
  <si>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</si>
  <si>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</si>
  <si>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</si>
  <si>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</si>
  <si>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</si>
  <si>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</si>
  <si>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</si>
  <si>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</si>
  <si>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</si>
  <si>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</si>
  <si>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</si>
  <si>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</si>
  <si>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</si>
  <si>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</si>
  <si>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</si>
  <si>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</si>
  <si>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</si>
  <si>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</si>
  <si>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</si>
  <si>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</si>
  <si>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</si>
  <si>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</si>
  <si>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</si>
  <si>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</si>
  <si>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</si>
  <si>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</si>
  <si>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</si>
  <si>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</si>
  <si>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</si>
  <si>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</si>
  <si>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</si>
  <si>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</si>
  <si>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</si>
  <si>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</si>
  <si>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</si>
  <si>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</si>
  <si>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</si>
  <si>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</si>
  <si>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</si>
  <si>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</si>
  <si>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</si>
  <si>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</si>
  <si>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</si>
  <si>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</si>
  <si>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</si>
  <si>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</si>
  <si>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</si>
  <si>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</si>
  <si>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</si>
  <si>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</si>
  <si>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</si>
  <si>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</si>
  <si>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</si>
  <si>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</si>
  <si>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</si>
  <si>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</si>
  <si>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</si>
  <si>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</si>
  <si>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</si>
  <si>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</si>
  <si>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</si>
  <si>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</si>
  <si>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</si>
  <si>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</si>
  <si>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</si>
  <si>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</si>
  <si>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</si>
  <si>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</si>
  <si>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</si>
  <si>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</si>
  <si>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</si>
  <si>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</si>
  <si>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</si>
  <si>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</si>
  <si>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</si>
  <si>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</si>
  <si>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</si>
  <si>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</si>
  <si>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</si>
  <si>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</si>
  <si>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</si>
  <si>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</si>
  <si>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</si>
  <si>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</si>
  <si>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</si>
  <si>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</si>
  <si>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</si>
  <si>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</si>
  <si>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</si>
  <si>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</si>
  <si>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</si>
  <si>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</si>
  <si>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</si>
  <si>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</si>
  <si>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</si>
  <si>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</si>
  <si>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</si>
  <si>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</si>
  <si>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</si>
  <si>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</si>
  <si>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</si>
  <si>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</si>
  <si>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</si>
  <si>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</si>
  <si>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</si>
  <si>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</si>
  <si>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</si>
  <si>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</si>
  <si>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</si>
  <si>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</si>
  <si>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</si>
  <si>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</si>
  <si>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</si>
  <si>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</si>
  <si>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</si>
  <si>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</si>
  <si>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</si>
  <si>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</si>
  <si>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</si>
  <si>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</si>
  <si>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</si>
  <si>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</si>
  <si>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</si>
  <si>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</si>
  <si>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</si>
  <si>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</si>
  <si>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</si>
  <si>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</si>
  <si>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</si>
  <si>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</si>
  <si>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</si>
  <si>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</si>
  <si>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</si>
  <si>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</si>
  <si>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</si>
  <si>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</si>
  <si>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</si>
  <si>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</si>
  <si>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</si>
  <si>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</si>
  <si>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</si>
  <si>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</si>
  <si>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</si>
  <si>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</si>
  <si>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</si>
  <si>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</si>
  <si>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</si>
  <si>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</si>
  <si>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</si>
  <si>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</si>
  <si>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</si>
  <si>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</si>
  <si>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</si>
  <si>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</si>
  <si>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</si>
  <si>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</si>
  <si>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</si>
  <si>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</si>
  <si>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</si>
  <si>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</si>
  <si>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</si>
  <si>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</si>
  <si>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</si>
  <si>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</si>
  <si>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</si>
  <si>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</si>
  <si>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</si>
  <si>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</si>
  <si>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</si>
  <si>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</si>
  <si>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</si>
  <si>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</si>
  <si>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</si>
  <si>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</si>
  <si>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</si>
  <si>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</si>
  <si>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</si>
  <si>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</si>
  <si>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</si>
  <si>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</si>
  <si>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</si>
  <si>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</si>
  <si>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</si>
  <si>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</si>
  <si>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</si>
  <si>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</si>
  <si>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</si>
  <si>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</si>
  <si>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</si>
  <si>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</si>
  <si>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</si>
  <si>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</si>
  <si>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</si>
  <si>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</si>
  <si>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</si>
  <si>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</si>
  <si>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</si>
  <si>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</si>
  <si>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</si>
  <si>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</si>
  <si>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</si>
  <si>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</si>
  <si>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</si>
  <si>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</si>
  <si>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</si>
  <si>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</si>
  <si>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</si>
  <si>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</si>
  <si>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</si>
  <si>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</si>
  <si>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</si>
  <si>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</si>
  <si>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</si>
  <si>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</si>
  <si>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</si>
  <si>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</si>
  <si>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</si>
  <si>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</si>
  <si>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</si>
  <si>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</si>
  <si>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</si>
  <si>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</si>
  <si>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</si>
  <si>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</si>
  <si>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</si>
  <si>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</si>
  <si>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</si>
  <si>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</si>
  <si>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</si>
  <si>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</si>
  <si>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</si>
  <si>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</si>
  <si>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</si>
  <si>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</si>
  <si>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</si>
  <si>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</si>
  <si>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</si>
  <si>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</si>
  <si>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</si>
  <si>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</si>
  <si>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</si>
  <si>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</si>
  <si>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</si>
  <si>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</si>
  <si>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</si>
  <si>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</si>
  <si>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</si>
  <si>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</si>
  <si>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</si>
  <si>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</si>
  <si>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</si>
  <si>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</si>
  <si>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</si>
  <si>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</si>
  <si>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</si>
  <si>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</si>
  <si>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</si>
  <si>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</si>
  <si>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</si>
  <si>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</si>
  <si>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</si>
  <si>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</si>
  <si>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</si>
  <si>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</si>
  <si>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</si>
  <si>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</si>
  <si>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</si>
  <si>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</si>
  <si>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</si>
  <si>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</si>
  <si>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</si>
  <si>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</si>
  <si>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</si>
  <si>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</si>
  <si>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</si>
  <si>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</si>
  <si>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</si>
  <si>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</si>
  <si>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</si>
  <si>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</si>
  <si>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</si>
  <si>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</si>
  <si>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</si>
  <si>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</si>
  <si>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</si>
  <si>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</si>
  <si>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</si>
  <si>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</si>
  <si>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</si>
  <si>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</si>
  <si>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</si>
  <si>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</si>
  <si>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</si>
  <si>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</si>
  <si>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</si>
  <si>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</si>
  <si>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</si>
  <si>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</si>
  <si>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</si>
  <si>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</si>
  <si>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</si>
  <si>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</si>
  <si>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</si>
  <si>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</si>
  <si>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</si>
  <si>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</si>
  <si>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</si>
  <si>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</si>
  <si>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</si>
  <si>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</si>
  <si>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</si>
  <si>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</si>
  <si>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</si>
  <si>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</si>
  <si>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</si>
  <si>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</si>
  <si>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</si>
  <si>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</si>
  <si>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</si>
  <si>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</si>
  <si>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</si>
  <si>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</si>
  <si>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</si>
  <si>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</si>
  <si>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</si>
  <si>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</si>
  <si>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</si>
  <si>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</si>
  <si>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</si>
  <si>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</si>
  <si>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</si>
  <si>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</si>
  <si>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</si>
  <si>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</si>
  <si>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</si>
  <si>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</si>
  <si>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</si>
  <si>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</si>
  <si>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</si>
  <si>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</si>
  <si>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</si>
  <si>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</si>
  <si>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</si>
  <si>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</si>
  <si>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</si>
  <si>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</si>
  <si>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</si>
  <si>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</si>
  <si>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</si>
  <si>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</si>
  <si>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</si>
  <si>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</si>
  <si>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</si>
  <si>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</si>
  <si>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</si>
  <si>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</si>
  <si>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</si>
  <si>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</si>
  <si>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</si>
  <si>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</si>
  <si>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</si>
  <si>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</si>
  <si>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</si>
  <si>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</si>
  <si>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</si>
  <si>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</si>
  <si>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</si>
  <si>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</si>
  <si>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</si>
  <si>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</si>
  <si>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</si>
  <si>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</si>
  <si>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</si>
  <si>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</si>
  <si>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</si>
  <si>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</si>
  <si>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</si>
  <si>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</si>
  <si>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</si>
  <si>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</si>
  <si>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</si>
  <si>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</si>
  <si>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</si>
  <si>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</si>
  <si>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</si>
  <si>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</si>
  <si>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</si>
  <si>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</si>
  <si>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</si>
  <si>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</si>
  <si>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</si>
  <si>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</si>
  <si>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</si>
  <si>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</si>
  <si>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</si>
  <si>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</si>
  <si>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</si>
  <si>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</si>
  <si>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</si>
  <si>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</si>
  <si>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</si>
  <si>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</si>
  <si>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</si>
  <si>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</si>
  <si>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</si>
  <si>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</si>
  <si>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</si>
  <si>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</si>
  <si>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</si>
  <si>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</si>
  <si>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</si>
  <si>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</si>
  <si>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</si>
  <si>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</si>
  <si>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</si>
  <si>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</si>
  <si>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</si>
  <si>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</si>
  <si>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</si>
  <si>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</si>
  <si>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</si>
  <si>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</si>
  <si>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</si>
  <si>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</si>
  <si>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</si>
  <si>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</si>
  <si>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</si>
  <si>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</si>
  <si>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</si>
  <si>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</si>
  <si>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</si>
  <si>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</si>
  <si>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</si>
  <si>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</si>
  <si>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</si>
  <si>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</si>
  <si>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</si>
  <si>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</si>
  <si>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</si>
  <si>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</si>
  <si>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</si>
  <si>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</si>
  <si>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</si>
  <si>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</si>
  <si>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</si>
  <si>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</si>
  <si>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</si>
  <si>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</si>
  <si>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</si>
  <si>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</si>
  <si>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</si>
  <si>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</si>
  <si>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</si>
  <si>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</si>
  <si>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</si>
  <si>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</si>
  <si>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</si>
  <si>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</si>
  <si>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</si>
  <si>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</si>
  <si>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</si>
  <si>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</si>
  <si>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</si>
  <si>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</si>
  <si>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</si>
  <si>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</si>
  <si>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</si>
  <si>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</si>
  <si>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</si>
  <si>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</si>
  <si>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</si>
  <si>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</si>
  <si>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</si>
  <si>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</si>
  <si>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</si>
  <si>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</si>
  <si>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</si>
  <si>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</si>
  <si>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</si>
  <si>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</si>
  <si>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</si>
  <si>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</si>
  <si>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</si>
  <si>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</si>
  <si>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</si>
  <si>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</si>
  <si>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</si>
  <si>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</si>
  <si>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</si>
  <si>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</si>
  <si>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</si>
  <si>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</si>
  <si>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</si>
  <si>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</si>
  <si>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</si>
  <si>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</si>
  <si>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</si>
  <si>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</si>
  <si>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</si>
  <si>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</si>
  <si>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</si>
  <si>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</si>
  <si>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</si>
  <si>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</si>
  <si>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</si>
  <si>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</si>
  <si>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</si>
  <si>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</si>
  <si>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DuPage</t>
  </si>
  <si>
    <t>1000 W. Green Street</t>
  </si>
  <si>
    <t>Bensenville</t>
  </si>
  <si>
    <t>martin@fenton100.org</t>
  </si>
  <si>
    <t>Mathieson, Moyski, Austin &amp; Co., LLP</t>
  </si>
  <si>
    <t>Brett J. Mathieson</t>
  </si>
  <si>
    <t>211 South Wheaton Ave., Suite 400</t>
  </si>
  <si>
    <t>Wheaton</t>
  </si>
  <si>
    <t xml:space="preserve">IL </t>
  </si>
  <si>
    <t>630-653-1616</t>
  </si>
  <si>
    <t>630-653-1735</t>
  </si>
  <si>
    <t>bmathieson@mmaadvisors.com</t>
  </si>
  <si>
    <t>General Obligation Limited Tax Bonds, Series 2015</t>
  </si>
  <si>
    <t>General Obligation Limited Tax Bonds, Series 2016</t>
  </si>
  <si>
    <t>Fund balance related to prior issuances</t>
  </si>
  <si>
    <t>Coordinate with Bensenville District 2 &amp; Wood Dale Elem Districts</t>
  </si>
  <si>
    <t>Educational Benefits Cooperative (EBC)</t>
  </si>
  <si>
    <t>Illinois Gas Cooperative</t>
  </si>
  <si>
    <t>Contract Management (Arbor)</t>
  </si>
  <si>
    <t>Workers' Comp Pool (SELF) and Property/Casualty (CLIC)</t>
  </si>
  <si>
    <t>Illinois School District Asset Fund</t>
  </si>
  <si>
    <t>Bensenville &amp; Wood Dale Tax Consortium (Tax Appeals)</t>
  </si>
  <si>
    <t>DuPage ROE</t>
  </si>
  <si>
    <t>Collaborate with Benesnville 2 &amp; Wood Dale 7 Elem Districts</t>
  </si>
  <si>
    <t>North DuPage Special Ed Cooperative, DuPage/West Cook Spec Ed Cooperative</t>
  </si>
  <si>
    <t>Central Management System, U.S. Communities, BMO P-Card, ILTPP</t>
  </si>
  <si>
    <t>Illinois Learning Technology Purchase Program (ILTPP)</t>
  </si>
  <si>
    <t>North DuPage Spec Ed Cooperative, SepTran &amp; Bensenville 2</t>
  </si>
  <si>
    <t>Technology Center of DuPage (TCD)</t>
  </si>
  <si>
    <t>Intergovernmental Agreement w/ Village of Bensenville &amp; Park District</t>
  </si>
  <si>
    <t>Bensenville &amp; Wood Dale Community Newsletters</t>
  </si>
  <si>
    <t>ED-PURCHASED SERVICE</t>
  </si>
  <si>
    <t>10-1000-300</t>
  </si>
  <si>
    <t>ATI PHYSICAL THERAPY</t>
  </si>
  <si>
    <t>TRANSPORTATION-PURCHASED SERVICE</t>
  </si>
  <si>
    <t>10-2300-300</t>
  </si>
  <si>
    <t>10-2560-300</t>
  </si>
  <si>
    <t>40-2550-300</t>
  </si>
  <si>
    <t>MATHIESON, MOYSKI, AUSTIN &amp; CO.</t>
  </si>
  <si>
    <t>SODEXO</t>
  </si>
  <si>
    <t>SEPTRAN STUDENT TRANSPORTATION</t>
  </si>
  <si>
    <t>The accompanying Schedule of Expenditures of Federal Awards includes the federal grant activity of Fenton High School District No. 100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</si>
  <si>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Fenton High School District No. 100 provided federal awards to subrecipients as follows:</t>
  </si>
  <si>
    <t>None</t>
  </si>
  <si>
    <t>Unmodified</t>
  </si>
  <si>
    <t>Special Education Cluster</t>
  </si>
  <si>
    <t>84.027A</t>
  </si>
  <si>
    <t>Child Nutrition Cluster</t>
  </si>
  <si>
    <t>N/A</t>
  </si>
  <si>
    <r>
      <t xml:space="preserve">The following amounts were expended in the form of non-cash assistance by Fenton High School District No. 100 and </t>
    </r>
    <r>
      <rPr>
        <b/>
        <sz val="9"/>
        <rFont val="Calibri"/>
        <family val="2"/>
        <scheme val="minor"/>
      </rPr>
      <t>should be</t>
    </r>
    <r>
      <rPr>
        <sz val="9"/>
        <rFont val="Calibri"/>
        <family val="2"/>
        <scheme val="minor"/>
      </rPr>
      <t xml:space="preserve"> included in the Schedule of Expenditures of Federal Awards:</t>
    </r>
  </si>
  <si>
    <t>1) One person failed to file a Statement of Economic Interest for FY19.</t>
  </si>
  <si>
    <t>Fenton Community High School District 100</t>
  </si>
  <si>
    <t>19-22-1000-16</t>
  </si>
  <si>
    <t>ISBE</t>
  </si>
  <si>
    <t xml:space="preserve">  Federal Grantor/Pass-Through Grantor/</t>
  </si>
  <si>
    <t>Project Number</t>
  </si>
  <si>
    <t>Expenditure/Disbursements</t>
  </si>
  <si>
    <t>Number</t>
  </si>
  <si>
    <t>7-1-17 to</t>
  </si>
  <si>
    <t>7-1-18 to</t>
  </si>
  <si>
    <t>Year 7-1-17 to</t>
  </si>
  <si>
    <t>Final</t>
  </si>
  <si>
    <t>or Contract #</t>
  </si>
  <si>
    <t>6-30-18</t>
  </si>
  <si>
    <t>6-30-19</t>
  </si>
  <si>
    <t xml:space="preserve">Pass through to </t>
  </si>
  <si>
    <t>Department of Education:</t>
  </si>
  <si>
    <t>Illinois State Board of Education:</t>
  </si>
  <si>
    <t xml:space="preserve">Title I - Low Income </t>
  </si>
  <si>
    <t>84.010A</t>
  </si>
  <si>
    <t>18-4300-00</t>
  </si>
  <si>
    <t>19-4300-00</t>
  </si>
  <si>
    <t>Subtotal 84.010A</t>
  </si>
  <si>
    <t>84.367A</t>
  </si>
  <si>
    <t>18-4932-00</t>
  </si>
  <si>
    <t>19-4932-00</t>
  </si>
  <si>
    <t>Subtotal 84.367A</t>
  </si>
  <si>
    <t>Title III - LIPLEP</t>
  </si>
  <si>
    <t>84.365</t>
  </si>
  <si>
    <t>18-4909-00</t>
  </si>
  <si>
    <t>19-4909-00</t>
  </si>
  <si>
    <t>Subtotal 84.365</t>
  </si>
  <si>
    <t>North DuPage Special Education Cooperative (NDSEC):</t>
  </si>
  <si>
    <t>I.D.E.A. Part B Flowthrough (M)</t>
  </si>
  <si>
    <t>18-4620-00</t>
  </si>
  <si>
    <t>19-4620-00</t>
  </si>
  <si>
    <t>Subtotal 84.027A</t>
  </si>
  <si>
    <t>Illinois Dept. of Human Services</t>
  </si>
  <si>
    <t>STEP</t>
  </si>
  <si>
    <t>84.126</t>
  </si>
  <si>
    <t>46CWF00162</t>
  </si>
  <si>
    <t>46CTF00162</t>
  </si>
  <si>
    <t>Subtotal 84.126</t>
  </si>
  <si>
    <t>DuPage Area Occupational Educational Services (DAOES):</t>
  </si>
  <si>
    <t>Perkins</t>
  </si>
  <si>
    <t>84.048</t>
  </si>
  <si>
    <t>18-4770-00</t>
  </si>
  <si>
    <t>19-4770-00</t>
  </si>
  <si>
    <t>Subtotal 84.048</t>
  </si>
  <si>
    <t>TOTAL DEPARTMENT OF EDUCATION</t>
  </si>
  <si>
    <t>U.S. Department of Agriculture:</t>
  </si>
  <si>
    <t>(1)</t>
  </si>
  <si>
    <t>School Breakfast (M)</t>
  </si>
  <si>
    <t>10.553</t>
  </si>
  <si>
    <t>18-4220-00</t>
  </si>
  <si>
    <t>19-4220-00</t>
  </si>
  <si>
    <t>Subtotal 10.553</t>
  </si>
  <si>
    <t>School Lunch  (M)</t>
  </si>
  <si>
    <t>10.555</t>
  </si>
  <si>
    <t>18-4210-00</t>
  </si>
  <si>
    <t>19-4210-00</t>
  </si>
  <si>
    <t>18-4299-00</t>
  </si>
  <si>
    <t>19-4299-00</t>
  </si>
  <si>
    <t>FY2019</t>
  </si>
  <si>
    <t>FY2018</t>
  </si>
  <si>
    <t>Subtotal 10.555</t>
  </si>
  <si>
    <t>Child and Adult Care Food Program</t>
  </si>
  <si>
    <t>10.558</t>
  </si>
  <si>
    <t>19-4226-00</t>
  </si>
  <si>
    <t>Subtotal 10.558</t>
  </si>
  <si>
    <t>TOTAL U.S. DEPARTMENT OF AGRICULTURE</t>
  </si>
  <si>
    <t>Department of Health and Human Services:</t>
  </si>
  <si>
    <t>Illinois Dept. of Healthcare and Family Services</t>
  </si>
  <si>
    <t>Medicaid Administrative Outreach</t>
  </si>
  <si>
    <t>93.778</t>
  </si>
  <si>
    <t>18-4991-00</t>
  </si>
  <si>
    <t>19-4991-00</t>
  </si>
  <si>
    <t>Subtotal 93.778</t>
  </si>
  <si>
    <t>TOTAL DEPARTMENT OF HEALTH AND HUMAN SERVICES</t>
  </si>
  <si>
    <t>TOTAL FEDERAL FUNDING</t>
  </si>
  <si>
    <t xml:space="preserve"> (M) Program was audited as a major program as defined by §200.518.</t>
  </si>
  <si>
    <t>(1) Project ends September 30</t>
  </si>
  <si>
    <t>Non-Cash USDA Foods (M)</t>
  </si>
  <si>
    <t>Dept. of Defense - Fresh Fruit &amp; Vegatables (M)</t>
  </si>
  <si>
    <t>Fenton CHSD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</si>
</sst>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9"/>
      <name val="Helv"/>
    </font>
    <font>
      <sz val="8"/>
      <name val="Times New Roman"/>
      <family val="1"/>
    </font>
    <font>
      <b/>
      <sz val="8"/>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8"/>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style="thin">
        <color indexed="8"/>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style="thin">
        <color indexed="64"/>
      </right>
      <top/>
      <bottom style="thin">
        <color indexed="64"/>
      </bottom>
      <diagonal/>
    </border>
    <border>
      <left style="thin">
        <color indexed="8"/>
      </left>
      <right/>
      <top/>
      <bottom/>
      <diagonal/>
    </border>
    <border>
      <left/>
      <right style="thin">
        <color indexed="8"/>
      </right>
      <top style="thin">
        <color indexed="64"/>
      </top>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8"/>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right/>
      <top/>
      <bottom style="double">
        <color indexed="64"/>
      </bottom>
      <diagonal/>
    </border>
    <border>
      <left/>
      <right style="thin">
        <color indexed="8"/>
      </right>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37" fontId="137" fillId="0" borderId="0"/>
    <xf numFmtId="9" fontId="9" fillId="0" borderId="0" applyFont="0" applyFill="0" applyBorder="0" applyAlignment="0" applyProtection="0"/>
  </cellStyleXfs>
  <cellXfs count="264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6" xfId="17" applyNumberFormat="1" applyFill="1" applyBorder="1" applyAlignment="1">
      <alignment horizontal="right" vertical="top"/>
    </xf>
    <xf numFmtId="38" fontId="6" fillId="22"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5" xfId="17" applyFont="1" applyFill="1" applyBorder="1" applyAlignment="1">
      <alignment horizontal="center" vertical="center" wrapText="1"/>
    </xf>
    <xf numFmtId="38" fontId="124" fillId="23" borderId="155" xfId="17" applyNumberFormat="1" applyFont="1" applyFill="1" applyBorder="1" applyAlignment="1">
      <alignment horizontal="center" vertical="center" wrapText="1"/>
    </xf>
    <xf numFmtId="3" fontId="54" fillId="23" borderId="130" xfId="0" applyNumberFormat="1" applyFont="1" applyFill="1" applyBorder="1" applyAlignment="1">
      <alignment horizontal="center"/>
    </xf>
    <xf numFmtId="3" fontId="54" fillId="23" borderId="130" xfId="0" applyNumberFormat="1" applyFont="1" applyFill="1" applyBorder="1" applyAlignment="1">
      <alignment horizontal="right"/>
    </xf>
    <xf numFmtId="3" fontId="54" fillId="23" borderId="131"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4"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7" xfId="18" applyFont="1" applyFill="1" applyBorder="1" applyAlignment="1">
      <alignment horizontal="center" vertical="center" wrapText="1"/>
    </xf>
    <xf numFmtId="0" fontId="103" fillId="23"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37" fontId="139" fillId="0" borderId="0" xfId="20" applyFont="1" applyFill="1"/>
    <xf numFmtId="37" fontId="139" fillId="0" borderId="165" xfId="20" applyFont="1" applyFill="1" applyBorder="1"/>
    <xf numFmtId="37" fontId="139" fillId="0" borderId="166" xfId="20" applyFont="1" applyFill="1" applyBorder="1"/>
    <xf numFmtId="37" fontId="139" fillId="0" borderId="167" xfId="20" applyFont="1" applyFill="1" applyBorder="1"/>
    <xf numFmtId="37" fontId="139" fillId="0" borderId="168" xfId="20" applyFont="1" applyFill="1" applyBorder="1"/>
    <xf numFmtId="37" fontId="139" fillId="0" borderId="0" xfId="20" applyFont="1" applyFill="1" applyAlignment="1" applyProtection="1">
      <alignment horizontal="centerContinuous"/>
    </xf>
    <xf numFmtId="37" fontId="139" fillId="0" borderId="0" xfId="20" applyFont="1" applyFill="1" applyAlignment="1">
      <alignment horizontal="centerContinuous"/>
    </xf>
    <xf numFmtId="37" fontId="139" fillId="0" borderId="165" xfId="20" applyFont="1" applyFill="1" applyBorder="1" applyAlignment="1" applyProtection="1">
      <alignment horizontal="center"/>
    </xf>
    <xf numFmtId="37" fontId="139" fillId="0" borderId="166" xfId="20" applyFont="1" applyFill="1" applyBorder="1" applyAlignment="1" applyProtection="1">
      <alignment horizontal="centerContinuous"/>
    </xf>
    <xf numFmtId="37" fontId="139" fillId="0" borderId="169" xfId="20" applyFont="1" applyFill="1" applyBorder="1" applyAlignment="1" applyProtection="1">
      <alignment horizontal="centerContinuous"/>
    </xf>
    <xf numFmtId="37" fontId="139" fillId="0" borderId="170" xfId="20" applyFont="1" applyFill="1" applyBorder="1" applyAlignment="1">
      <alignment horizontal="centerContinuous"/>
    </xf>
    <xf numFmtId="37" fontId="139" fillId="0" borderId="166" xfId="20" applyFont="1" applyFill="1" applyBorder="1" applyAlignment="1">
      <alignment horizontal="centerContinuous"/>
    </xf>
    <xf numFmtId="37" fontId="139" fillId="0" borderId="166" xfId="20" quotePrefix="1" applyFont="1" applyFill="1" applyBorder="1" applyAlignment="1" applyProtection="1">
      <alignment horizontal="center"/>
    </xf>
    <xf numFmtId="37" fontId="139" fillId="0" borderId="171" xfId="20" quotePrefix="1" applyFont="1" applyFill="1" applyBorder="1" applyAlignment="1" applyProtection="1">
      <alignment horizontal="center"/>
    </xf>
    <xf numFmtId="37" fontId="139" fillId="0" borderId="166" xfId="20" applyFont="1" applyFill="1" applyBorder="1" applyAlignment="1" applyProtection="1">
      <alignment horizontal="center"/>
    </xf>
    <xf numFmtId="37" fontId="139" fillId="0" borderId="0" xfId="20" applyFont="1" applyFill="1" applyAlignment="1" applyProtection="1">
      <alignment horizontal="center"/>
    </xf>
    <xf numFmtId="37" fontId="139" fillId="0" borderId="172" xfId="20" applyFont="1" applyFill="1" applyBorder="1" applyAlignment="1">
      <alignment horizontal="center"/>
    </xf>
    <xf numFmtId="37" fontId="139" fillId="0" borderId="164" xfId="20" applyFont="1" applyFill="1" applyBorder="1" applyAlignment="1">
      <alignment horizontal="centerContinuous"/>
    </xf>
    <xf numFmtId="37" fontId="139" fillId="0" borderId="173" xfId="20" applyFont="1" applyFill="1" applyBorder="1" applyAlignment="1" applyProtection="1">
      <alignment horizontal="center"/>
    </xf>
    <xf numFmtId="37" fontId="139" fillId="0" borderId="174" xfId="20" applyFont="1" applyFill="1" applyBorder="1" applyAlignment="1" applyProtection="1">
      <alignment horizontal="centerContinuous"/>
    </xf>
    <xf numFmtId="37" fontId="139" fillId="0" borderId="174" xfId="20" applyFont="1" applyFill="1" applyBorder="1" applyAlignment="1" applyProtection="1">
      <alignment horizontal="center"/>
    </xf>
    <xf numFmtId="37" fontId="139" fillId="0" borderId="164" xfId="20" applyFont="1" applyFill="1" applyBorder="1" applyAlignment="1" applyProtection="1">
      <alignment horizontal="center"/>
    </xf>
    <xf numFmtId="9" fontId="140" fillId="0" borderId="78" xfId="21" applyFont="1" applyFill="1" applyBorder="1" applyAlignment="1">
      <alignment horizontal="left" indent="1"/>
    </xf>
    <xf numFmtId="9" fontId="139" fillId="0" borderId="78" xfId="21" applyFont="1" applyFill="1" applyBorder="1"/>
    <xf numFmtId="9" fontId="139" fillId="0" borderId="176" xfId="21" applyFont="1" applyFill="1" applyBorder="1"/>
    <xf numFmtId="9" fontId="139" fillId="0" borderId="176" xfId="21" quotePrefix="1" applyFont="1" applyFill="1" applyBorder="1" applyAlignment="1" applyProtection="1">
      <alignment horizontal="center"/>
    </xf>
    <xf numFmtId="9" fontId="139" fillId="0" borderId="176" xfId="21" applyFont="1" applyFill="1" applyBorder="1" applyProtection="1"/>
    <xf numFmtId="9" fontId="139" fillId="0" borderId="78" xfId="21" applyFont="1" applyFill="1" applyBorder="1" applyProtection="1"/>
    <xf numFmtId="9" fontId="139" fillId="0" borderId="98" xfId="21" applyFont="1" applyFill="1" applyBorder="1" applyAlignment="1" applyProtection="1">
      <alignment horizontal="center"/>
    </xf>
    <xf numFmtId="37" fontId="139" fillId="0" borderId="0" xfId="20" applyFont="1" applyFill="1" applyAlignment="1">
      <alignment horizontal="center"/>
    </xf>
    <xf numFmtId="37" fontId="139" fillId="0" borderId="166" xfId="20" applyFont="1" applyFill="1" applyBorder="1" applyAlignment="1">
      <alignment horizontal="center"/>
    </xf>
    <xf numFmtId="181" fontId="137" fillId="0" borderId="0" xfId="20" applyNumberFormat="1" applyFill="1" applyBorder="1"/>
    <xf numFmtId="37" fontId="137" fillId="0" borderId="0" xfId="20" applyFill="1"/>
    <xf numFmtId="37" fontId="137" fillId="0" borderId="164" xfId="20" applyFill="1" applyBorder="1" applyAlignment="1">
      <alignment horizontal="centerContinuous"/>
    </xf>
    <xf numFmtId="37" fontId="137" fillId="0" borderId="164" xfId="20" applyFill="1" applyBorder="1" applyAlignment="1" applyProtection="1">
      <alignment horizontal="left"/>
    </xf>
    <xf numFmtId="37" fontId="137" fillId="0" borderId="164" xfId="20" applyFill="1" applyBorder="1"/>
    <xf numFmtId="37" fontId="137" fillId="0" borderId="164" xfId="20" applyFill="1" applyBorder="1" applyAlignment="1">
      <alignment horizontal="center"/>
    </xf>
    <xf numFmtId="181" fontId="139" fillId="0" borderId="0" xfId="20" applyNumberFormat="1" applyFont="1" applyFill="1" applyBorder="1"/>
    <xf numFmtId="37" fontId="140" fillId="0" borderId="0" xfId="20" applyFont="1" applyFill="1" applyBorder="1" applyAlignment="1" applyProtection="1">
      <alignment horizontal="left"/>
    </xf>
    <xf numFmtId="37" fontId="140" fillId="0" borderId="169" xfId="20" applyFont="1" applyFill="1" applyBorder="1" applyAlignment="1" applyProtection="1">
      <alignment horizontal="left" indent="1"/>
    </xf>
    <xf numFmtId="37" fontId="139" fillId="0" borderId="169" xfId="20" applyFont="1" applyFill="1" applyBorder="1"/>
    <xf numFmtId="37" fontId="139" fillId="0" borderId="170" xfId="20" applyFont="1" applyFill="1" applyBorder="1"/>
    <xf numFmtId="37" fontId="139" fillId="0" borderId="169" xfId="20" applyFont="1" applyFill="1" applyBorder="1" applyAlignment="1">
      <alignment horizontal="center"/>
    </xf>
    <xf numFmtId="41" fontId="139" fillId="0" borderId="166" xfId="20" applyNumberFormat="1" applyFont="1" applyFill="1" applyBorder="1" applyAlignment="1">
      <alignment horizontal="center"/>
    </xf>
    <xf numFmtId="41" fontId="139" fillId="0" borderId="166" xfId="20" applyNumberFormat="1" applyFont="1" applyFill="1" applyBorder="1"/>
    <xf numFmtId="41" fontId="139" fillId="0" borderId="0" xfId="20" applyNumberFormat="1" applyFont="1" applyFill="1" applyBorder="1"/>
    <xf numFmtId="41" fontId="139" fillId="0" borderId="175" xfId="20" quotePrefix="1" applyNumberFormat="1" applyFont="1" applyFill="1" applyBorder="1" applyAlignment="1" applyProtection="1">
      <alignment horizontal="center"/>
    </xf>
    <xf numFmtId="41" fontId="139" fillId="0" borderId="0" xfId="20" quotePrefix="1" applyNumberFormat="1" applyFont="1" applyFill="1" applyBorder="1" applyAlignment="1" applyProtection="1">
      <alignment horizontal="center"/>
    </xf>
    <xf numFmtId="41" fontId="139" fillId="0" borderId="155" xfId="20" applyNumberFormat="1" applyFont="1" applyFill="1" applyBorder="1"/>
    <xf numFmtId="37" fontId="139" fillId="0" borderId="169" xfId="20" applyFont="1" applyFill="1" applyBorder="1" applyAlignment="1" applyProtection="1">
      <alignment horizontal="left"/>
    </xf>
    <xf numFmtId="37" fontId="139" fillId="0" borderId="170" xfId="20" quotePrefix="1" applyFont="1" applyFill="1" applyBorder="1" applyAlignment="1" applyProtection="1">
      <alignment horizontal="center"/>
    </xf>
    <xf numFmtId="41" fontId="139" fillId="0" borderId="157" xfId="20" applyNumberFormat="1" applyFont="1" applyFill="1" applyBorder="1" applyProtection="1"/>
    <xf numFmtId="41" fontId="139" fillId="0" borderId="176" xfId="20" applyNumberFormat="1" applyFont="1" applyFill="1" applyBorder="1" applyProtection="1"/>
    <xf numFmtId="41" fontId="139" fillId="0" borderId="177" xfId="20" applyNumberFormat="1" applyFont="1" applyFill="1" applyBorder="1" applyProtection="1"/>
    <xf numFmtId="41" fontId="139" fillId="0" borderId="170" xfId="20" applyNumberFormat="1" applyFont="1" applyFill="1" applyBorder="1" applyProtection="1"/>
    <xf numFmtId="41" fontId="139" fillId="0" borderId="169" xfId="20" applyNumberFormat="1" applyFont="1" applyFill="1" applyBorder="1" applyProtection="1"/>
    <xf numFmtId="41" fontId="139" fillId="0" borderId="78" xfId="20" applyNumberFormat="1" applyFont="1" applyFill="1" applyBorder="1" applyAlignment="1" applyProtection="1">
      <alignment horizontal="center"/>
    </xf>
    <xf numFmtId="181" fontId="139" fillId="0" borderId="0" xfId="20" quotePrefix="1" applyNumberFormat="1" applyFont="1" applyFill="1" applyBorder="1"/>
    <xf numFmtId="37" fontId="139" fillId="0" borderId="0" xfId="20" applyFont="1" applyFill="1" applyBorder="1" applyAlignment="1" applyProtection="1">
      <alignment horizontal="left"/>
    </xf>
    <xf numFmtId="37" fontId="139" fillId="0" borderId="0" xfId="20" applyFont="1" applyFill="1" applyBorder="1"/>
    <xf numFmtId="41" fontId="139" fillId="0" borderId="155" xfId="20" applyNumberFormat="1" applyFont="1" applyFill="1" applyBorder="1" applyProtection="1"/>
    <xf numFmtId="41" fontId="139" fillId="0" borderId="166" xfId="20" applyNumberFormat="1" applyFont="1" applyFill="1" applyBorder="1" applyProtection="1"/>
    <xf numFmtId="37" fontId="139" fillId="0" borderId="78" xfId="20" applyFont="1" applyFill="1" applyBorder="1" applyAlignment="1" applyProtection="1">
      <alignment horizontal="left"/>
    </xf>
    <xf numFmtId="37" fontId="139" fillId="0" borderId="78" xfId="20" applyFont="1" applyFill="1" applyBorder="1"/>
    <xf numFmtId="37" fontId="139" fillId="0" borderId="176" xfId="20" applyFont="1" applyFill="1" applyBorder="1"/>
    <xf numFmtId="37" fontId="139" fillId="0" borderId="0" xfId="20" quotePrefix="1" applyFont="1" applyFill="1" applyBorder="1" applyAlignment="1" applyProtection="1">
      <alignment horizontal="center"/>
    </xf>
    <xf numFmtId="41" fontId="139" fillId="0" borderId="0" xfId="20" applyNumberFormat="1" applyFont="1" applyFill="1" applyBorder="1" applyProtection="1"/>
    <xf numFmtId="41" fontId="139" fillId="0" borderId="139" xfId="20" applyNumberFormat="1" applyFont="1" applyFill="1" applyBorder="1" applyAlignment="1" applyProtection="1">
      <alignment horizontal="center"/>
    </xf>
    <xf numFmtId="41" fontId="139" fillId="0" borderId="178" xfId="20" applyNumberFormat="1" applyFont="1" applyFill="1" applyBorder="1" applyProtection="1"/>
    <xf numFmtId="41" fontId="139" fillId="0" borderId="96" xfId="20" applyNumberFormat="1" applyFont="1" applyFill="1" applyBorder="1" applyAlignment="1" applyProtection="1">
      <alignment horizontal="center"/>
    </xf>
    <xf numFmtId="37" fontId="139" fillId="0" borderId="169" xfId="20" quotePrefix="1" applyFont="1" applyFill="1" applyBorder="1" applyAlignment="1" applyProtection="1">
      <alignment horizontal="center"/>
    </xf>
    <xf numFmtId="41" fontId="139" fillId="0" borderId="98" xfId="20" applyNumberFormat="1" applyFont="1" applyFill="1" applyBorder="1" applyAlignment="1" applyProtection="1">
      <alignment horizontal="center"/>
    </xf>
    <xf numFmtId="37" fontId="139" fillId="0" borderId="0" xfId="20" quotePrefix="1" applyFont="1" applyFill="1"/>
    <xf numFmtId="41" fontId="139" fillId="0" borderId="172" xfId="20" quotePrefix="1" applyNumberFormat="1" applyFont="1" applyFill="1" applyBorder="1" applyAlignment="1" applyProtection="1">
      <alignment horizontal="center"/>
    </xf>
    <xf numFmtId="41" fontId="139" fillId="0" borderId="139" xfId="20" applyNumberFormat="1" applyFont="1" applyFill="1" applyBorder="1" applyAlignment="1">
      <alignment horizontal="center"/>
    </xf>
    <xf numFmtId="41" fontId="139" fillId="0" borderId="179" xfId="20" applyNumberFormat="1" applyFont="1" applyFill="1" applyBorder="1" applyProtection="1"/>
    <xf numFmtId="41" fontId="139" fillId="0" borderId="140" xfId="20" applyNumberFormat="1" applyFont="1" applyFill="1" applyBorder="1" applyAlignment="1" applyProtection="1">
      <alignment horizontal="center"/>
    </xf>
    <xf numFmtId="41" fontId="139" fillId="0" borderId="172" xfId="20" applyNumberFormat="1" applyFont="1" applyFill="1" applyBorder="1" applyProtection="1"/>
    <xf numFmtId="41" fontId="139" fillId="0" borderId="0" xfId="20" applyNumberFormat="1" applyFont="1" applyFill="1" applyBorder="1" applyAlignment="1" applyProtection="1">
      <alignment horizontal="center"/>
    </xf>
    <xf numFmtId="41" fontId="139" fillId="0" borderId="180" xfId="20" applyNumberFormat="1" applyFont="1" applyFill="1" applyBorder="1" applyProtection="1"/>
    <xf numFmtId="41" fontId="139" fillId="0" borderId="181" xfId="20" quotePrefix="1" applyNumberFormat="1" applyFont="1" applyFill="1" applyBorder="1" applyAlignment="1" applyProtection="1">
      <alignment horizontal="center"/>
    </xf>
    <xf numFmtId="41" fontId="139" fillId="0" borderId="166" xfId="20" quotePrefix="1" applyNumberFormat="1" applyFont="1" applyFill="1" applyBorder="1" applyAlignment="1">
      <alignment horizontal="center"/>
    </xf>
    <xf numFmtId="41" fontId="139" fillId="0" borderId="178" xfId="20" quotePrefix="1" applyNumberFormat="1" applyFont="1" applyFill="1" applyBorder="1" applyAlignment="1" applyProtection="1">
      <alignment horizontal="center"/>
    </xf>
    <xf numFmtId="41" fontId="139" fillId="0" borderId="96" xfId="20" quotePrefix="1" applyNumberFormat="1" applyFont="1" applyFill="1" applyBorder="1" applyAlignment="1" applyProtection="1">
      <alignment horizontal="center"/>
    </xf>
    <xf numFmtId="37" fontId="140" fillId="0" borderId="78" xfId="20" applyFont="1" applyFill="1" applyBorder="1" applyAlignment="1">
      <alignment horizontal="left" indent="1"/>
    </xf>
    <xf numFmtId="37" fontId="139" fillId="0" borderId="176" xfId="20" quotePrefix="1" applyFont="1" applyFill="1" applyBorder="1" applyAlignment="1">
      <alignment horizontal="center"/>
    </xf>
    <xf numFmtId="49" fontId="139" fillId="0" borderId="157" xfId="20" applyNumberFormat="1" applyFont="1" applyFill="1" applyBorder="1" applyAlignment="1" applyProtection="1">
      <alignment horizontal="center"/>
    </xf>
    <xf numFmtId="37" fontId="139" fillId="0" borderId="98" xfId="20" applyFont="1" applyFill="1" applyBorder="1" applyAlignment="1">
      <alignment horizontal="center"/>
    </xf>
    <xf numFmtId="37" fontId="139" fillId="0" borderId="0" xfId="20" quotePrefix="1" applyFont="1" applyFill="1" applyAlignment="1" applyProtection="1">
      <alignment horizontal="left"/>
    </xf>
    <xf numFmtId="37" fontId="139" fillId="0" borderId="166" xfId="20" quotePrefix="1" applyFont="1" applyFill="1" applyBorder="1" applyAlignment="1">
      <alignment horizontal="center"/>
    </xf>
    <xf numFmtId="49" fontId="139" fillId="0" borderId="166" xfId="20" applyNumberFormat="1" applyFont="1" applyFill="1" applyBorder="1" applyAlignment="1" applyProtection="1">
      <alignment horizontal="center"/>
    </xf>
    <xf numFmtId="41" fontId="139" fillId="0" borderId="169" xfId="20" applyNumberFormat="1" applyFont="1" applyFill="1" applyBorder="1" applyAlignment="1" applyProtection="1">
      <alignment horizontal="center"/>
    </xf>
    <xf numFmtId="37" fontId="139" fillId="0" borderId="176" xfId="20" quotePrefix="1" applyFont="1" applyFill="1" applyBorder="1" applyAlignment="1" applyProtection="1">
      <alignment horizontal="center"/>
    </xf>
    <xf numFmtId="37" fontId="139" fillId="0" borderId="170" xfId="20" applyFont="1" applyFill="1" applyBorder="1" applyAlignment="1" applyProtection="1">
      <alignment horizontal="center"/>
    </xf>
    <xf numFmtId="37" fontId="139" fillId="0" borderId="182" xfId="20" quotePrefix="1" applyFont="1" applyFill="1" applyBorder="1" applyAlignment="1" applyProtection="1">
      <alignment horizontal="center"/>
    </xf>
    <xf numFmtId="41" fontId="139" fillId="0" borderId="182" xfId="20" applyNumberFormat="1" applyFont="1" applyFill="1" applyBorder="1" applyProtection="1"/>
    <xf numFmtId="41" fontId="139" fillId="0" borderId="140" xfId="20" quotePrefix="1" applyNumberFormat="1" applyFont="1" applyFill="1" applyBorder="1" applyAlignment="1" applyProtection="1">
      <alignment horizontal="center"/>
    </xf>
    <xf numFmtId="37" fontId="140" fillId="0" borderId="0" xfId="20" applyFont="1" applyFill="1" applyBorder="1" applyAlignment="1" applyProtection="1">
      <alignment horizontal="left" indent="1"/>
    </xf>
    <xf numFmtId="37" fontId="140" fillId="0" borderId="78" xfId="20" applyFont="1" applyFill="1" applyBorder="1" applyAlignment="1" applyProtection="1">
      <alignment horizontal="left" indent="1"/>
    </xf>
    <xf numFmtId="37" fontId="139" fillId="0" borderId="140" xfId="20" applyFont="1" applyFill="1" applyBorder="1" applyAlignment="1" applyProtection="1">
      <alignment horizontal="left"/>
    </xf>
    <xf numFmtId="37" fontId="139" fillId="0" borderId="140" xfId="20" applyFont="1" applyFill="1" applyBorder="1"/>
    <xf numFmtId="37" fontId="139" fillId="0" borderId="182" xfId="20" applyFont="1" applyFill="1" applyBorder="1"/>
    <xf numFmtId="41" fontId="139" fillId="0" borderId="140" xfId="20" applyNumberFormat="1" applyFont="1" applyFill="1" applyBorder="1" applyProtection="1"/>
    <xf numFmtId="37" fontId="139" fillId="0" borderId="183" xfId="20" applyFont="1" applyFill="1" applyBorder="1" applyAlignment="1" applyProtection="1">
      <alignment horizontal="left"/>
    </xf>
    <xf numFmtId="37" fontId="139" fillId="0" borderId="183" xfId="20" applyFont="1" applyFill="1" applyBorder="1"/>
    <xf numFmtId="37" fontId="139" fillId="0" borderId="184" xfId="20" applyFont="1" applyFill="1" applyBorder="1"/>
    <xf numFmtId="37" fontId="139" fillId="0" borderId="184" xfId="20" quotePrefix="1" applyFont="1" applyFill="1" applyBorder="1" applyAlignment="1" applyProtection="1">
      <alignment horizontal="center"/>
    </xf>
    <xf numFmtId="41" fontId="139" fillId="0" borderId="184" xfId="20" applyNumberFormat="1" applyFont="1" applyFill="1" applyBorder="1" applyProtection="1"/>
    <xf numFmtId="41" fontId="139" fillId="0" borderId="183" xfId="20" applyNumberFormat="1" applyFont="1" applyFill="1" applyBorder="1" applyAlignment="1" applyProtection="1">
      <alignment horizontal="center"/>
    </xf>
    <xf numFmtId="41" fontId="139" fillId="0" borderId="0" xfId="20" applyNumberFormat="1" applyFont="1" applyFill="1" applyAlignment="1">
      <alignment horizontal="center"/>
    </xf>
    <xf numFmtId="37" fontId="140" fillId="0" borderId="185" xfId="20" applyFont="1" applyFill="1" applyBorder="1" applyAlignment="1" applyProtection="1">
      <alignment horizontal="left"/>
    </xf>
    <xf numFmtId="37" fontId="140" fillId="0" borderId="185" xfId="20" applyFont="1" applyFill="1" applyBorder="1"/>
    <xf numFmtId="37" fontId="140" fillId="0" borderId="186" xfId="20" applyFont="1" applyFill="1" applyBorder="1"/>
    <xf numFmtId="41" fontId="140" fillId="0" borderId="186" xfId="20" applyNumberFormat="1" applyFont="1" applyFill="1" applyBorder="1" applyProtection="1"/>
    <xf numFmtId="41" fontId="139" fillId="0" borderId="187" xfId="20" applyNumberFormat="1" applyFont="1" applyFill="1" applyBorder="1" applyAlignment="1" applyProtection="1">
      <alignment horizontal="center"/>
    </xf>
    <xf numFmtId="37" fontId="140" fillId="0" borderId="0" xfId="20" applyFont="1" applyFill="1" applyBorder="1"/>
    <xf numFmtId="37" fontId="140" fillId="0" borderId="166" xfId="20" applyFont="1" applyFill="1" applyBorder="1"/>
    <xf numFmtId="41" fontId="140" fillId="0" borderId="166" xfId="20" applyNumberFormat="1" applyFont="1" applyFill="1" applyBorder="1" applyProtection="1"/>
    <xf numFmtId="41" fontId="139" fillId="0" borderId="170" xfId="20" applyNumberFormat="1" applyFont="1" applyFill="1" applyBorder="1"/>
    <xf numFmtId="41" fontId="139" fillId="0" borderId="169" xfId="20" applyNumberFormat="1" applyFont="1" applyFill="1" applyBorder="1" applyAlignment="1">
      <alignment horizontal="center"/>
    </xf>
    <xf numFmtId="37" fontId="139" fillId="0" borderId="0" xfId="20" applyFont="1" applyFill="1" applyAlignment="1" applyProtection="1">
      <alignment horizontal="left"/>
    </xf>
    <xf numFmtId="41" fontId="139" fillId="0" borderId="188" xfId="20" applyNumberFormat="1" applyFont="1" applyFill="1" applyBorder="1" applyProtection="1"/>
    <xf numFmtId="41" fontId="139" fillId="0" borderId="169" xfId="20" applyNumberFormat="1" applyFont="1" applyFill="1" applyBorder="1"/>
    <xf numFmtId="37" fontId="139" fillId="0" borderId="189" xfId="20" applyFont="1" applyFill="1" applyBorder="1" applyAlignment="1" applyProtection="1">
      <alignment horizontal="left"/>
    </xf>
    <xf numFmtId="37" fontId="139" fillId="0" borderId="189" xfId="20" applyFont="1" applyFill="1" applyBorder="1"/>
    <xf numFmtId="37" fontId="139" fillId="0" borderId="190" xfId="20" applyFont="1" applyFill="1" applyBorder="1"/>
    <xf numFmtId="37" fontId="139" fillId="0" borderId="190" xfId="20" quotePrefix="1" applyFont="1" applyFill="1" applyBorder="1" applyAlignment="1" applyProtection="1">
      <alignment horizontal="center"/>
    </xf>
    <xf numFmtId="41" fontId="139" fillId="0" borderId="190" xfId="20" applyNumberFormat="1" applyFont="1" applyFill="1" applyBorder="1" applyProtection="1"/>
    <xf numFmtId="41" fontId="139" fillId="0" borderId="190" xfId="20" applyNumberFormat="1" applyFont="1" applyFill="1" applyBorder="1"/>
    <xf numFmtId="41" fontId="139" fillId="0" borderId="189" xfId="20" applyNumberFormat="1" applyFont="1" applyFill="1" applyBorder="1" applyAlignment="1" applyProtection="1">
      <alignment horizontal="center"/>
    </xf>
    <xf numFmtId="41" fontId="139" fillId="0" borderId="176" xfId="20" applyNumberFormat="1" applyFont="1" applyFill="1" applyBorder="1"/>
    <xf numFmtId="41" fontId="139" fillId="0" borderId="191" xfId="20" applyNumberFormat="1" applyFont="1" applyFill="1" applyBorder="1" applyAlignment="1" applyProtection="1">
      <alignment horizontal="center"/>
    </xf>
    <xf numFmtId="37" fontId="139" fillId="0" borderId="78" xfId="20" applyFont="1" applyFill="1" applyBorder="1" applyAlignment="1" applyProtection="1"/>
    <xf numFmtId="37" fontId="139" fillId="0" borderId="176" xfId="20" applyFont="1" applyFill="1" applyBorder="1" applyAlignment="1" applyProtection="1"/>
    <xf numFmtId="41" fontId="139" fillId="0" borderId="78" xfId="20" applyNumberFormat="1" applyFont="1" applyFill="1" applyBorder="1" applyProtection="1"/>
    <xf numFmtId="37" fontId="139" fillId="0" borderId="0" xfId="20" applyFont="1" applyFill="1" applyBorder="1" applyAlignment="1" applyProtection="1"/>
    <xf numFmtId="37" fontId="139" fillId="0" borderId="166" xfId="20" applyFont="1" applyFill="1" applyBorder="1" applyAlignment="1" applyProtection="1"/>
    <xf numFmtId="41" fontId="139" fillId="0" borderId="166" xfId="20" applyNumberFormat="1" applyFont="1" applyFill="1" applyBorder="1" applyAlignment="1" applyProtection="1">
      <alignment horizontal="center"/>
    </xf>
    <xf numFmtId="41" fontId="139" fillId="0" borderId="192" xfId="20" quotePrefix="1" applyNumberFormat="1" applyFont="1" applyFill="1" applyBorder="1" applyAlignment="1" applyProtection="1">
      <alignment horizontal="center"/>
    </xf>
    <xf numFmtId="41" fontId="139" fillId="0" borderId="193" xfId="20" quotePrefix="1" applyNumberFormat="1" applyFont="1" applyFill="1" applyBorder="1" applyAlignment="1" applyProtection="1">
      <alignment horizontal="center"/>
    </xf>
    <xf numFmtId="41" fontId="139" fillId="0" borderId="194" xfId="20" applyNumberFormat="1" applyFont="1" applyFill="1" applyBorder="1"/>
    <xf numFmtId="41" fontId="139" fillId="0" borderId="0" xfId="20" applyNumberFormat="1" applyFont="1" applyFill="1" applyBorder="1" applyAlignment="1">
      <alignment horizontal="center"/>
    </xf>
    <xf numFmtId="37" fontId="139" fillId="0" borderId="177" xfId="20" quotePrefix="1" applyFont="1" applyFill="1" applyBorder="1" applyAlignment="1" applyProtection="1">
      <alignment horizontal="center"/>
    </xf>
    <xf numFmtId="41" fontId="139" fillId="0" borderId="177" xfId="20" applyNumberFormat="1" applyFont="1" applyFill="1" applyBorder="1"/>
    <xf numFmtId="2" fontId="139" fillId="0" borderId="0" xfId="20" applyNumberFormat="1" applyFont="1" applyFill="1" applyBorder="1"/>
    <xf numFmtId="37" fontId="139" fillId="0" borderId="185" xfId="20" applyFont="1" applyFill="1" applyBorder="1" applyAlignment="1" applyProtection="1">
      <alignment horizontal="left"/>
    </xf>
    <xf numFmtId="37" fontId="139" fillId="0" borderId="185" xfId="20" applyFont="1" applyFill="1" applyBorder="1"/>
    <xf numFmtId="37" fontId="139" fillId="0" borderId="186" xfId="20" applyFont="1" applyFill="1" applyBorder="1"/>
    <xf numFmtId="37" fontId="139" fillId="0" borderId="186" xfId="20" applyFont="1" applyFill="1" applyBorder="1" applyAlignment="1" applyProtection="1">
      <alignment horizontal="center"/>
    </xf>
    <xf numFmtId="37" fontId="139" fillId="0" borderId="186" xfId="20" quotePrefix="1" applyFont="1" applyFill="1" applyBorder="1" applyAlignment="1" applyProtection="1">
      <alignment horizontal="center"/>
    </xf>
    <xf numFmtId="41" fontId="139" fillId="0" borderId="186" xfId="20" applyNumberFormat="1" applyFont="1" applyFill="1" applyBorder="1"/>
    <xf numFmtId="41" fontId="139" fillId="0" borderId="186" xfId="20" applyNumberFormat="1" applyFont="1" applyFill="1" applyBorder="1" applyProtection="1"/>
    <xf numFmtId="37" fontId="140" fillId="0" borderId="195" xfId="20" applyFont="1" applyFill="1" applyBorder="1" applyAlignment="1" applyProtection="1">
      <alignment horizontal="left"/>
    </xf>
    <xf numFmtId="37" fontId="140" fillId="0" borderId="195" xfId="20" applyFont="1" applyFill="1" applyBorder="1"/>
    <xf numFmtId="37" fontId="140" fillId="0" borderId="196" xfId="20" applyFont="1" applyFill="1" applyBorder="1"/>
    <xf numFmtId="41" fontId="140" fillId="0" borderId="196" xfId="20" applyNumberFormat="1" applyFont="1" applyFill="1" applyBorder="1" applyProtection="1"/>
    <xf numFmtId="37" fontId="140" fillId="0" borderId="195" xfId="20" applyFont="1" applyFill="1" applyBorder="1" applyAlignment="1">
      <alignment horizontal="center"/>
    </xf>
    <xf numFmtId="37" fontId="140" fillId="0" borderId="0" xfId="20" applyFont="1" applyFill="1"/>
    <xf numFmtId="37" fontId="140" fillId="0" borderId="0" xfId="20" quotePrefix="1" applyFont="1" applyFill="1" applyBorder="1" applyAlignment="1" applyProtection="1">
      <alignment horizontal="left"/>
    </xf>
    <xf numFmtId="37" fontId="139" fillId="0" borderId="0" xfId="20" applyFont="1" applyFill="1" applyBorder="1" applyAlignment="1">
      <alignment horizontal="center"/>
    </xf>
    <xf numFmtId="37" fontId="140" fillId="0" borderId="0" xfId="20" quotePrefix="1" applyFont="1" applyFill="1" applyBorder="1" applyAlignment="1" applyProtection="1">
      <alignment horizontal="left" indent="1"/>
    </xf>
    <xf numFmtId="37" fontId="140" fillId="0" borderId="0" xfId="20" quotePrefix="1" applyFont="1" applyFill="1" applyBorder="1" applyAlignment="1">
      <alignment horizontal="left" indent="1"/>
    </xf>
    <xf numFmtId="37" fontId="140" fillId="0" borderId="0" xfId="20" quotePrefix="1" applyFont="1" applyFill="1" applyBorder="1"/>
    <xf numFmtId="37" fontId="137" fillId="0" borderId="0" xfId="20" applyFill="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0"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37" fontId="138" fillId="0" borderId="0" xfId="20" applyFont="1" applyFill="1" applyAlignment="1">
      <alignment horizontal="center"/>
    </xf>
    <xf numFmtId="37" fontId="138" fillId="0" borderId="0" xfId="20" quotePrefix="1" applyFont="1" applyFill="1" applyAlignment="1">
      <alignment horizontal="center"/>
    </xf>
    <xf numFmtId="37" fontId="139" fillId="0" borderId="0" xfId="20" applyFont="1" applyFill="1" applyAlignment="1">
      <alignment horizontal="center"/>
    </xf>
    <xf numFmtId="37" fontId="139" fillId="0" borderId="166" xfId="20" applyFont="1" applyFill="1" applyBorder="1" applyAlignment="1">
      <alignment horizont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E1D230BA-A7C2-487F-AF9C-32EBE649E983}"/>
    <cellStyle name="Normal 5" xfId="17" xr:uid="{00000000-0005-0000-0000-000009000000}"/>
    <cellStyle name="Normal 6" xfId="19" xr:uid="{2AF6F2ED-5CBA-48E5-8614-7FAC94793AFB}"/>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Percent 2" xfId="21" xr:uid="{A71ABF27-8CAB-4956-ADA3-08F6E4F619A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0</xdr:row>
          <xdr:rowOff>142875</xdr:rowOff>
        </xdr:from>
        <xdr:to>
          <xdr:col>3</xdr:col>
          <xdr:colOff>400050</xdr:colOff>
          <xdr:row>5</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0</xdr:row>
          <xdr:rowOff>133350</xdr:rowOff>
        </xdr:from>
        <xdr:to>
          <xdr:col>1</xdr:col>
          <xdr:colOff>885825</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0</xdr:row>
          <xdr:rowOff>142875</xdr:rowOff>
        </xdr:from>
        <xdr:to>
          <xdr:col>1</xdr:col>
          <xdr:colOff>2914650</xdr:colOff>
          <xdr:row>5</xdr:row>
          <xdr:rowOff>19050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3038475</xdr:colOff>
          <xdr:row>0</xdr:row>
          <xdr:rowOff>142875</xdr:rowOff>
        </xdr:from>
        <xdr:to>
          <xdr:col>1</xdr:col>
          <xdr:colOff>3952875</xdr:colOff>
          <xdr:row>5</xdr:row>
          <xdr:rowOff>19050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142875</xdr:rowOff>
        </xdr:from>
        <xdr:to>
          <xdr:col>1</xdr:col>
          <xdr:colOff>1895475</xdr:colOff>
          <xdr:row>5</xdr:row>
          <xdr:rowOff>19050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166" t="s">
        <v>405</v>
      </c>
      <c r="J1" s="2167"/>
      <c r="K1" s="2167"/>
      <c r="L1" s="2167"/>
      <c r="M1" s="2167"/>
      <c r="N1" s="2167"/>
      <c r="O1" s="2167"/>
      <c r="P1" s="2167"/>
      <c r="Q1" s="2167"/>
      <c r="R1" s="2167"/>
      <c r="S1" s="2167"/>
    </row>
    <row r="2" spans="1:28" ht="12" customHeight="1" x14ac:dyDescent="0.2">
      <c r="A2" s="47" t="s">
        <v>1990</v>
      </c>
      <c r="D2" s="48"/>
      <c r="I2" s="2168" t="s">
        <v>979</v>
      </c>
      <c r="J2" s="2167"/>
      <c r="K2" s="2167"/>
      <c r="L2" s="2167"/>
      <c r="M2" s="2167"/>
      <c r="N2" s="2167"/>
      <c r="O2" s="2167"/>
      <c r="P2" s="2167"/>
      <c r="Q2" s="2167"/>
      <c r="R2" s="2167"/>
      <c r="S2" s="2167"/>
    </row>
    <row r="3" spans="1:28" ht="12" customHeight="1" x14ac:dyDescent="0.2">
      <c r="A3" s="155" t="s">
        <v>1942</v>
      </c>
      <c r="B3" s="156"/>
      <c r="C3" s="156"/>
      <c r="D3" s="157"/>
      <c r="I3" s="2168" t="s">
        <v>52</v>
      </c>
      <c r="J3" s="2167"/>
      <c r="K3" s="2167"/>
      <c r="L3" s="2167"/>
      <c r="M3" s="2167"/>
      <c r="N3" s="2167"/>
      <c r="O3" s="2167"/>
      <c r="P3" s="2167"/>
      <c r="Q3" s="2167"/>
      <c r="R3" s="2167"/>
      <c r="S3" s="2167"/>
    </row>
    <row r="4" spans="1:28" ht="12" customHeight="1" x14ac:dyDescent="0.2">
      <c r="A4" s="37"/>
      <c r="I4" s="2168" t="s">
        <v>524</v>
      </c>
      <c r="J4" s="2167"/>
      <c r="K4" s="2167"/>
      <c r="L4" s="2167"/>
      <c r="M4" s="2167"/>
      <c r="N4" s="2167"/>
      <c r="O4" s="2167"/>
      <c r="P4" s="2167"/>
      <c r="Q4" s="2167"/>
      <c r="R4" s="2167"/>
      <c r="S4" s="2167"/>
    </row>
    <row r="5" spans="1:28" ht="14.1" customHeight="1" x14ac:dyDescent="0.2">
      <c r="B5" s="104" t="s">
        <v>2061</v>
      </c>
      <c r="C5" s="26" t="s">
        <v>910</v>
      </c>
      <c r="D5" s="84"/>
      <c r="E5" s="84"/>
      <c r="H5" s="38"/>
      <c r="I5" s="2175" t="s">
        <v>680</v>
      </c>
      <c r="J5" s="2120"/>
      <c r="K5" s="2120"/>
      <c r="L5" s="2120"/>
      <c r="M5" s="2120"/>
      <c r="N5" s="2120"/>
      <c r="O5" s="2120"/>
      <c r="P5" s="2120"/>
      <c r="Q5" s="2120"/>
      <c r="R5" s="2120"/>
      <c r="S5" s="2120"/>
    </row>
    <row r="6" spans="1:28" ht="14.1" customHeight="1" x14ac:dyDescent="0.2">
      <c r="B6" s="104"/>
      <c r="C6" s="26" t="s">
        <v>911</v>
      </c>
      <c r="D6" s="84"/>
      <c r="E6" s="84"/>
      <c r="I6" s="2174" t="s">
        <v>883</v>
      </c>
      <c r="J6" s="2120"/>
      <c r="K6" s="2120"/>
      <c r="L6" s="2120"/>
      <c r="M6" s="2120"/>
      <c r="N6" s="2120"/>
      <c r="O6" s="2120"/>
      <c r="P6" s="2120"/>
      <c r="Q6" s="2120"/>
      <c r="R6" s="2120"/>
      <c r="S6" s="2120"/>
    </row>
    <row r="7" spans="1:28" ht="12.2" customHeight="1" x14ac:dyDescent="0.2">
      <c r="I7" s="2169">
        <v>43646</v>
      </c>
      <c r="J7" s="2170"/>
      <c r="K7" s="2170"/>
      <c r="L7" s="2170"/>
      <c r="M7" s="2170"/>
      <c r="N7" s="2170"/>
      <c r="O7" s="2170"/>
      <c r="P7" s="2170"/>
      <c r="Q7" s="2170"/>
      <c r="R7" s="2170"/>
      <c r="S7" s="21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71" t="s">
        <v>674</v>
      </c>
      <c r="J9" s="2172"/>
      <c r="K9" s="2172"/>
      <c r="L9" s="2172"/>
      <c r="M9" s="2172"/>
      <c r="N9" s="2172"/>
      <c r="O9" s="2172"/>
      <c r="P9" s="2172"/>
      <c r="Q9" s="2172"/>
      <c r="R9" s="2172"/>
      <c r="S9" s="2173"/>
      <c r="T9" s="2116" t="s">
        <v>533</v>
      </c>
      <c r="U9" s="2117"/>
      <c r="V9" s="2117"/>
      <c r="W9" s="2117"/>
      <c r="X9" s="2117"/>
      <c r="Y9" s="2117"/>
      <c r="Z9" s="2117"/>
      <c r="AA9" s="2118"/>
    </row>
    <row r="10" spans="1:28" ht="13.5" customHeight="1" x14ac:dyDescent="0.2">
      <c r="A10" s="2125" t="s">
        <v>675</v>
      </c>
      <c r="B10" s="2126"/>
      <c r="C10" s="2126"/>
      <c r="D10" s="2126"/>
      <c r="E10" s="2126"/>
      <c r="F10" s="2126"/>
      <c r="G10" s="2126"/>
      <c r="H10" s="2127"/>
      <c r="I10" s="29"/>
      <c r="J10" s="30"/>
      <c r="K10" s="28"/>
      <c r="R10" s="30"/>
      <c r="S10" s="30"/>
      <c r="T10" s="2119"/>
      <c r="U10" s="2120"/>
      <c r="V10" s="2120"/>
      <c r="W10" s="2120"/>
      <c r="X10" s="2120"/>
      <c r="Y10" s="2120"/>
      <c r="Z10" s="2120"/>
      <c r="AA10" s="2121"/>
    </row>
    <row r="11" spans="1:28" ht="14.25" customHeight="1" x14ac:dyDescent="0.2">
      <c r="A11" s="2128" t="s">
        <v>955</v>
      </c>
      <c r="B11" s="2129"/>
      <c r="C11" s="2129"/>
      <c r="D11" s="2129"/>
      <c r="E11" s="2129"/>
      <c r="F11" s="2129"/>
      <c r="G11" s="2129"/>
      <c r="H11" s="2130"/>
      <c r="I11" s="27"/>
      <c r="J11" s="74"/>
      <c r="K11" s="27"/>
      <c r="O11" s="148" t="s">
        <v>2061</v>
      </c>
      <c r="P11" s="100" t="s">
        <v>201</v>
      </c>
      <c r="Q11" s="30"/>
      <c r="R11" s="28"/>
      <c r="S11" s="27"/>
      <c r="T11" s="2122"/>
      <c r="U11" s="2123"/>
      <c r="V11" s="2123"/>
      <c r="W11" s="2123"/>
      <c r="X11" s="2123"/>
      <c r="Y11" s="2123"/>
      <c r="Z11" s="2123"/>
      <c r="AA11" s="212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36">
        <v>19022100016</v>
      </c>
      <c r="B13" s="2137"/>
      <c r="C13" s="2137"/>
      <c r="D13" s="2137"/>
      <c r="E13" s="2137"/>
      <c r="F13" s="2137"/>
      <c r="G13" s="2137"/>
      <c r="H13" s="2138"/>
      <c r="I13" s="31"/>
      <c r="J13" s="30"/>
      <c r="K13" s="28"/>
      <c r="L13" s="30"/>
      <c r="M13" s="30"/>
      <c r="N13" s="30"/>
      <c r="O13" s="30"/>
      <c r="P13" s="30"/>
      <c r="Q13" s="30"/>
      <c r="R13" s="30"/>
      <c r="S13" s="30"/>
      <c r="T13" s="2141" t="s">
        <v>2066</v>
      </c>
      <c r="U13" s="2142"/>
      <c r="V13" s="2142"/>
      <c r="W13" s="2142"/>
      <c r="X13" s="2142"/>
      <c r="Y13" s="2143"/>
      <c r="Z13" s="2143"/>
      <c r="AA13" s="21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34" t="s">
        <v>2062</v>
      </c>
      <c r="B15" s="2139"/>
      <c r="C15" s="2139"/>
      <c r="D15" s="2139"/>
      <c r="E15" s="2139"/>
      <c r="F15" s="2139"/>
      <c r="G15" s="2139"/>
      <c r="H15" s="2140"/>
      <c r="T15" s="2102" t="s">
        <v>2067</v>
      </c>
      <c r="U15" s="2103"/>
      <c r="V15" s="2103"/>
      <c r="W15" s="2103"/>
      <c r="X15" s="2103"/>
      <c r="Y15" s="2145"/>
      <c r="Z15" s="2145"/>
      <c r="AA15" s="214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94" t="s">
        <v>2196</v>
      </c>
      <c r="B17" s="2164"/>
      <c r="C17" s="2164"/>
      <c r="D17" s="2164"/>
      <c r="E17" s="2164"/>
      <c r="F17" s="2164"/>
      <c r="G17" s="2164"/>
      <c r="H17" s="2165"/>
      <c r="T17" s="2151" t="s">
        <v>2068</v>
      </c>
      <c r="U17" s="2152"/>
      <c r="V17" s="2152"/>
      <c r="W17" s="2152"/>
      <c r="X17" s="2152"/>
      <c r="Y17" s="2152"/>
      <c r="Z17" s="2152"/>
      <c r="AA17" s="2153"/>
    </row>
    <row r="18" spans="1:27" ht="13.5" customHeight="1" x14ac:dyDescent="0.2">
      <c r="A18" s="85" t="s">
        <v>530</v>
      </c>
      <c r="B18" s="76"/>
      <c r="C18" s="72"/>
      <c r="D18" s="76"/>
      <c r="E18" s="76"/>
      <c r="F18" s="76"/>
      <c r="G18" s="76"/>
      <c r="H18" s="56"/>
      <c r="I18" s="2161" t="s">
        <v>676</v>
      </c>
      <c r="J18" s="2162"/>
      <c r="K18" s="2162"/>
      <c r="L18" s="2162"/>
      <c r="M18" s="2162"/>
      <c r="N18" s="2162"/>
      <c r="O18" s="2162"/>
      <c r="P18" s="2162"/>
      <c r="Q18" s="2162"/>
      <c r="R18" s="2162"/>
      <c r="S18" s="2163"/>
      <c r="T18" s="85" t="s">
        <v>711</v>
      </c>
      <c r="U18" s="51"/>
      <c r="V18" s="72"/>
      <c r="W18" s="50"/>
      <c r="X18" s="85" t="s">
        <v>266</v>
      </c>
      <c r="Y18" s="81"/>
      <c r="Z18" s="159" t="s">
        <v>677</v>
      </c>
      <c r="AA18" s="46"/>
    </row>
    <row r="19" spans="1:27" ht="13.5" customHeight="1" x14ac:dyDescent="0.2">
      <c r="A19" s="2134" t="s">
        <v>2063</v>
      </c>
      <c r="B19" s="2135"/>
      <c r="C19" s="2135"/>
      <c r="D19" s="2135"/>
      <c r="E19" s="2135"/>
      <c r="F19" s="2135"/>
      <c r="G19" s="2135"/>
      <c r="H19" s="2133"/>
      <c r="I19" s="30"/>
      <c r="J19" s="99"/>
      <c r="K19" s="40"/>
      <c r="L19" s="38"/>
      <c r="M19" s="112" t="s">
        <v>315</v>
      </c>
      <c r="P19" s="27"/>
      <c r="Q19" s="27"/>
      <c r="R19" s="27"/>
      <c r="S19" s="31"/>
      <c r="T19" s="2134" t="s">
        <v>2069</v>
      </c>
      <c r="U19" s="2132"/>
      <c r="V19" s="2132"/>
      <c r="W19" s="2133"/>
      <c r="X19" s="2149" t="s">
        <v>2070</v>
      </c>
      <c r="Y19" s="2150"/>
      <c r="Z19" s="2147">
        <v>60187</v>
      </c>
      <c r="AA19" s="214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131" t="s">
        <v>2064</v>
      </c>
      <c r="B21" s="2132"/>
      <c r="C21" s="2132"/>
      <c r="D21" s="2132"/>
      <c r="E21" s="2132"/>
      <c r="F21" s="2132"/>
      <c r="G21" s="2132"/>
      <c r="H21" s="2133"/>
      <c r="I21" s="2157" t="s">
        <v>678</v>
      </c>
      <c r="J21" s="2120"/>
      <c r="K21" s="2120"/>
      <c r="L21" s="2120"/>
      <c r="M21" s="2120"/>
      <c r="N21" s="2120"/>
      <c r="O21" s="2120"/>
      <c r="P21" s="2120"/>
      <c r="Q21" s="2120"/>
      <c r="R21" s="2120"/>
      <c r="S21" s="2121"/>
      <c r="T21" s="2099" t="s">
        <v>2071</v>
      </c>
      <c r="U21" s="2100"/>
      <c r="V21" s="2100"/>
      <c r="W21" s="2100"/>
      <c r="X21" s="2113" t="s">
        <v>2072</v>
      </c>
      <c r="Y21" s="2114"/>
      <c r="Z21" s="2114"/>
      <c r="AA21" s="2115"/>
    </row>
    <row r="22" spans="1:27" ht="13.5" customHeight="1" x14ac:dyDescent="0.2">
      <c r="A22" s="87" t="s">
        <v>531</v>
      </c>
      <c r="B22" s="59"/>
      <c r="C22" s="59"/>
      <c r="D22" s="59"/>
      <c r="E22" s="59"/>
      <c r="F22" s="59"/>
      <c r="G22" s="59"/>
      <c r="H22" s="60"/>
      <c r="I22" s="2158" t="s">
        <v>1429</v>
      </c>
      <c r="J22" s="2159"/>
      <c r="K22" s="2159"/>
      <c r="L22" s="2159"/>
      <c r="M22" s="2159"/>
      <c r="N22" s="2159"/>
      <c r="O22" s="2159"/>
      <c r="P22" s="2159"/>
      <c r="Q22" s="2159"/>
      <c r="R22" s="2159"/>
      <c r="S22" s="2160"/>
      <c r="T22" s="85" t="s">
        <v>1516</v>
      </c>
      <c r="U22" s="51"/>
      <c r="V22" s="72"/>
      <c r="W22" s="51"/>
      <c r="X22" s="160" t="s">
        <v>1318</v>
      </c>
      <c r="Z22" s="45"/>
      <c r="AA22" s="46"/>
    </row>
    <row r="23" spans="1:27" ht="13.5" customHeight="1" x14ac:dyDescent="0.2">
      <c r="A23" s="2154" t="s">
        <v>2065</v>
      </c>
      <c r="B23" s="2155"/>
      <c r="C23" s="2155"/>
      <c r="D23" s="2155"/>
      <c r="E23" s="2155"/>
      <c r="F23" s="2155"/>
      <c r="G23" s="2155"/>
      <c r="H23" s="2156"/>
      <c r="T23" s="2094">
        <v>66003412</v>
      </c>
      <c r="U23" s="2095"/>
      <c r="V23" s="2095"/>
      <c r="W23" s="2095"/>
      <c r="X23" s="2110">
        <v>44530</v>
      </c>
      <c r="Y23" s="2111"/>
      <c r="Z23" s="2111"/>
      <c r="AA23" s="2112"/>
    </row>
    <row r="24" spans="1:27" ht="14.1" customHeight="1" x14ac:dyDescent="0.2">
      <c r="A24" s="88" t="s">
        <v>677</v>
      </c>
      <c r="B24" s="49"/>
      <c r="C24" s="49"/>
      <c r="D24" s="49"/>
      <c r="E24" s="49"/>
      <c r="F24" s="49"/>
      <c r="G24" s="49"/>
      <c r="H24" s="61"/>
      <c r="J24" s="2196">
        <f>IF(B5="x",IF(AUDITCHECK!D29="AFR form Incomplete.","",IF(AUDITCHECK!D29="Deficit reduction plan is required.","School District must complete a deficit reduction plan in the 2019-2020 Budget",)),"")</f>
        <v>0</v>
      </c>
      <c r="K24" s="2196"/>
      <c r="L24" s="2196"/>
      <c r="M24" s="2196"/>
      <c r="N24" s="2196"/>
      <c r="O24" s="2196"/>
      <c r="P24" s="2196"/>
      <c r="Q24" s="2196"/>
      <c r="R24" s="2196"/>
      <c r="S24" s="2197"/>
      <c r="T24" s="105" t="s">
        <v>531</v>
      </c>
      <c r="U24" s="106"/>
      <c r="V24" s="106"/>
      <c r="W24" s="106"/>
      <c r="X24" s="107"/>
      <c r="Y24" s="107"/>
      <c r="Z24" s="107"/>
      <c r="AA24" s="108"/>
    </row>
    <row r="25" spans="1:27" ht="14.1" customHeight="1" x14ac:dyDescent="0.2">
      <c r="A25" s="2131">
        <v>60106</v>
      </c>
      <c r="B25" s="2132"/>
      <c r="C25" s="2132"/>
      <c r="D25" s="2132"/>
      <c r="E25" s="2132"/>
      <c r="F25" s="2132"/>
      <c r="G25" s="2132"/>
      <c r="H25" s="2133"/>
      <c r="I25" s="113"/>
      <c r="J25" s="2198"/>
      <c r="K25" s="2198"/>
      <c r="L25" s="2198"/>
      <c r="M25" s="2198"/>
      <c r="N25" s="2198"/>
      <c r="O25" s="2198"/>
      <c r="P25" s="2198"/>
      <c r="Q25" s="2198"/>
      <c r="R25" s="2198"/>
      <c r="S25" s="2199"/>
      <c r="T25" s="2091" t="s">
        <v>2073</v>
      </c>
      <c r="U25" s="2092"/>
      <c r="V25" s="2092"/>
      <c r="W25" s="2092"/>
      <c r="X25" s="2092"/>
      <c r="Y25" s="2092"/>
      <c r="Z25" s="2092"/>
      <c r="AA25" s="209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89" t="s">
        <v>1511</v>
      </c>
      <c r="J27" s="2162"/>
      <c r="K27" s="2162"/>
      <c r="L27" s="2162"/>
      <c r="M27" s="2162"/>
      <c r="N27" s="2162"/>
      <c r="O27" s="2162"/>
      <c r="P27" s="2162"/>
      <c r="Q27" s="2162"/>
      <c r="R27" s="2162"/>
      <c r="S27" s="216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135"/>
      <c r="Q35" s="2132"/>
      <c r="R35" s="213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94"/>
      <c r="B38" s="2164"/>
      <c r="C38" s="2164"/>
      <c r="D38" s="2164"/>
      <c r="E38" s="2164"/>
      <c r="F38" s="2132"/>
      <c r="G38" s="2132"/>
      <c r="H38" s="2133"/>
      <c r="I38" s="2183"/>
      <c r="J38" s="2103"/>
      <c r="K38" s="2103"/>
      <c r="L38" s="2103"/>
      <c r="M38" s="2103"/>
      <c r="N38" s="2103"/>
      <c r="O38" s="2103"/>
      <c r="P38" s="2104"/>
      <c r="Q38" s="2104"/>
      <c r="R38" s="2104"/>
      <c r="S38" s="2105"/>
      <c r="T38" s="2102"/>
      <c r="U38" s="2103"/>
      <c r="V38" s="2103"/>
      <c r="W38" s="2103"/>
      <c r="X38" s="2104"/>
      <c r="Y38" s="2104"/>
      <c r="Z38" s="2104"/>
      <c r="AA38" s="2105"/>
    </row>
    <row r="39" spans="1:27" ht="12" customHeight="1" x14ac:dyDescent="0.2">
      <c r="A39" s="2187" t="s">
        <v>531</v>
      </c>
      <c r="B39" s="2188"/>
      <c r="C39" s="72"/>
      <c r="D39" s="69"/>
      <c r="E39" s="69"/>
      <c r="F39" s="79"/>
      <c r="G39" s="69"/>
      <c r="H39" s="56"/>
      <c r="I39" s="2187" t="s">
        <v>531</v>
      </c>
      <c r="J39" s="2188"/>
      <c r="K39" s="2188"/>
      <c r="L39" s="2188"/>
      <c r="M39" s="2188"/>
      <c r="N39" s="67"/>
      <c r="O39" s="72"/>
      <c r="P39" s="72"/>
      <c r="Q39" s="78"/>
      <c r="R39" s="72"/>
      <c r="S39" s="56"/>
      <c r="T39" s="72" t="s">
        <v>531</v>
      </c>
      <c r="U39" s="51"/>
      <c r="V39" s="72"/>
      <c r="W39" s="50"/>
      <c r="X39" s="78"/>
      <c r="Y39" s="45"/>
      <c r="Z39" s="45"/>
      <c r="AA39" s="46"/>
    </row>
    <row r="40" spans="1:27" ht="13.5" customHeight="1" x14ac:dyDescent="0.2">
      <c r="A40" s="2190"/>
      <c r="B40" s="2191"/>
      <c r="C40" s="2192"/>
      <c r="D40" s="2192"/>
      <c r="E40" s="2192"/>
      <c r="F40" s="2193"/>
      <c r="G40" s="2193"/>
      <c r="H40" s="2194"/>
      <c r="I40" s="2106"/>
      <c r="J40" s="2108"/>
      <c r="K40" s="2108"/>
      <c r="L40" s="2108"/>
      <c r="M40" s="2108"/>
      <c r="N40" s="2108"/>
      <c r="O40" s="2108"/>
      <c r="P40" s="2108"/>
      <c r="Q40" s="2108"/>
      <c r="R40" s="2108"/>
      <c r="S40" s="2109"/>
      <c r="T40" s="2106"/>
      <c r="U40" s="2107"/>
      <c r="V40" s="2108"/>
      <c r="W40" s="2108"/>
      <c r="X40" s="2108"/>
      <c r="Y40" s="2108"/>
      <c r="Z40" s="2108"/>
      <c r="AA40" s="210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80"/>
      <c r="B42" s="2181"/>
      <c r="C42" s="2182"/>
      <c r="D42" s="2195"/>
      <c r="E42" s="2181"/>
      <c r="F42" s="2181"/>
      <c r="G42" s="2181"/>
      <c r="H42" s="2182"/>
      <c r="I42" s="2101"/>
      <c r="J42" s="2097"/>
      <c r="K42" s="2097"/>
      <c r="L42" s="2097"/>
      <c r="M42" s="2097"/>
      <c r="N42" s="2097"/>
      <c r="O42" s="2098"/>
      <c r="P42" s="2096"/>
      <c r="Q42" s="2097"/>
      <c r="R42" s="2097"/>
      <c r="S42" s="2098"/>
      <c r="T42" s="2101"/>
      <c r="U42" s="2097"/>
      <c r="V42" s="2097"/>
      <c r="W42" s="2098"/>
      <c r="X42" s="2096"/>
      <c r="Y42" s="2097"/>
      <c r="Z42" s="2097"/>
      <c r="AA42" s="209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84"/>
      <c r="B44" s="2185"/>
      <c r="C44" s="2185"/>
      <c r="D44" s="2185"/>
      <c r="E44" s="2185"/>
      <c r="F44" s="2185"/>
      <c r="G44" s="2185"/>
      <c r="H44" s="2186"/>
      <c r="I44" s="2176"/>
      <c r="J44" s="2178"/>
      <c r="K44" s="2178"/>
      <c r="L44" s="2178"/>
      <c r="M44" s="2178"/>
      <c r="N44" s="2178"/>
      <c r="O44" s="2178"/>
      <c r="P44" s="2178"/>
      <c r="Q44" s="2178"/>
      <c r="R44" s="2178"/>
      <c r="S44" s="2179"/>
      <c r="T44" s="2176"/>
      <c r="U44" s="2177"/>
      <c r="V44" s="2177"/>
      <c r="W44" s="2177"/>
      <c r="X44" s="2177"/>
      <c r="Y44" s="2177"/>
      <c r="Z44" s="2178"/>
      <c r="AA44" s="217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topLeftCell="A19" zoomScale="60" zoomScaleNormal="110" workbookViewId="0">
      <selection activeCell="I13" sqref="I13:L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23" t="s">
        <v>1611</v>
      </c>
    </row>
    <row r="23" spans="1:5" x14ac:dyDescent="0.2">
      <c r="A23" s="168"/>
      <c r="B23" s="162" t="s">
        <v>1854</v>
      </c>
      <c r="D23" s="167" t="s">
        <v>637</v>
      </c>
      <c r="E23" s="182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203" t="s">
        <v>1065</v>
      </c>
      <c r="B35" s="2203"/>
      <c r="C35" s="2203"/>
      <c r="D35" s="2203"/>
      <c r="E35" s="22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00" t="s">
        <v>691</v>
      </c>
      <c r="B40" s="2200"/>
      <c r="C40" s="2200"/>
      <c r="D40" s="2200"/>
      <c r="E40" s="2200"/>
    </row>
    <row r="41" spans="1:5" x14ac:dyDescent="0.2">
      <c r="A41" s="2201" t="s">
        <v>1608</v>
      </c>
      <c r="B41" s="2201"/>
      <c r="C41" s="2201"/>
      <c r="D41" s="2201"/>
      <c r="E41" s="2201"/>
    </row>
    <row r="42" spans="1:5" ht="12.75" customHeight="1" x14ac:dyDescent="0.2">
      <c r="A42" s="2202" t="s">
        <v>1022</v>
      </c>
      <c r="B42" s="2202"/>
      <c r="C42" s="2202"/>
      <c r="D42" s="2202"/>
      <c r="E42" s="2202"/>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2" t="s">
        <v>1773</v>
      </c>
    </row>
    <row r="60" spans="1:3" x14ac:dyDescent="0.2">
      <c r="A60" s="196"/>
      <c r="B60" s="147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3" colorId="8" zoomScale="80" zoomScaleNormal="8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04" t="s">
        <v>1168</v>
      </c>
      <c r="B2" s="2204"/>
      <c r="C2" s="2204"/>
      <c r="D2" s="2204"/>
      <c r="E2" s="2204"/>
      <c r="F2" s="2204"/>
      <c r="G2" s="2204"/>
      <c r="H2" s="2204"/>
      <c r="I2" s="2204"/>
      <c r="J2" s="220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2061</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218" t="s">
        <v>1633</v>
      </c>
      <c r="B35" s="2219"/>
      <c r="C35" s="2219"/>
      <c r="D35" s="2219"/>
      <c r="E35" s="2220"/>
      <c r="F35" s="2220"/>
      <c r="G35" s="2220"/>
      <c r="H35" s="2220"/>
      <c r="I35" s="222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18" t="s">
        <v>313</v>
      </c>
      <c r="B47" s="2221"/>
      <c r="C47" s="2221"/>
      <c r="D47" s="2221"/>
      <c r="E47" s="2222"/>
      <c r="F47" s="2222"/>
      <c r="G47" s="2222"/>
      <c r="H47" s="2222"/>
      <c r="I47" s="222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25"/>
      <c r="C57" s="2226"/>
      <c r="D57" s="2226"/>
      <c r="E57" s="2226"/>
      <c r="F57" s="2226"/>
      <c r="G57" s="2226"/>
      <c r="H57" s="2226"/>
      <c r="I57" s="2226"/>
      <c r="J57" s="2227"/>
    </row>
    <row r="58" spans="1:10" s="181" customFormat="1" x14ac:dyDescent="0.2">
      <c r="A58" s="253"/>
      <c r="B58" s="2228"/>
      <c r="C58" s="2229"/>
      <c r="D58" s="2229"/>
      <c r="E58" s="2229"/>
      <c r="F58" s="2229"/>
      <c r="G58" s="2229"/>
      <c r="H58" s="2229"/>
      <c r="I58" s="2229"/>
      <c r="J58" s="2230"/>
    </row>
    <row r="59" spans="1:10" s="181" customFormat="1" x14ac:dyDescent="0.2">
      <c r="A59" s="253"/>
      <c r="B59" s="2228"/>
      <c r="C59" s="2229"/>
      <c r="D59" s="2229"/>
      <c r="E59" s="2229"/>
      <c r="F59" s="2229"/>
      <c r="G59" s="2229"/>
      <c r="H59" s="2229"/>
      <c r="I59" s="2229"/>
      <c r="J59" s="2230"/>
    </row>
    <row r="60" spans="1:10" s="181" customFormat="1" x14ac:dyDescent="0.2">
      <c r="A60" s="253"/>
      <c r="B60" s="2228"/>
      <c r="C60" s="2229"/>
      <c r="D60" s="2229"/>
      <c r="E60" s="2229"/>
      <c r="F60" s="2229"/>
      <c r="G60" s="2229"/>
      <c r="H60" s="2229"/>
      <c r="I60" s="2229"/>
      <c r="J60" s="2230"/>
    </row>
    <row r="61" spans="1:10" s="181" customFormat="1" x14ac:dyDescent="0.2">
      <c r="A61" s="253"/>
      <c r="B61" s="2228"/>
      <c r="C61" s="2229"/>
      <c r="D61" s="2229"/>
      <c r="E61" s="2229"/>
      <c r="F61" s="2229"/>
      <c r="G61" s="2229"/>
      <c r="H61" s="2229"/>
      <c r="I61" s="2229"/>
      <c r="J61" s="2230"/>
    </row>
    <row r="62" spans="1:10" s="181" customFormat="1" x14ac:dyDescent="0.2">
      <c r="A62" s="253"/>
      <c r="B62" s="2228"/>
      <c r="C62" s="2229"/>
      <c r="D62" s="2229"/>
      <c r="E62" s="2229"/>
      <c r="F62" s="2229"/>
      <c r="G62" s="2229"/>
      <c r="H62" s="2229"/>
      <c r="I62" s="2229"/>
      <c r="J62" s="2230"/>
    </row>
    <row r="63" spans="1:10" s="181" customFormat="1" x14ac:dyDescent="0.2">
      <c r="A63" s="253"/>
      <c r="B63" s="2228"/>
      <c r="C63" s="2229"/>
      <c r="D63" s="2229"/>
      <c r="E63" s="2229"/>
      <c r="F63" s="2229"/>
      <c r="G63" s="2229"/>
      <c r="H63" s="2229"/>
      <c r="I63" s="2229"/>
      <c r="J63" s="2230"/>
    </row>
    <row r="64" spans="1:10" s="181" customFormat="1" x14ac:dyDescent="0.2">
      <c r="A64" s="253"/>
      <c r="B64" s="2228"/>
      <c r="C64" s="2229"/>
      <c r="D64" s="2229"/>
      <c r="E64" s="2229"/>
      <c r="F64" s="2229"/>
      <c r="G64" s="2229"/>
      <c r="H64" s="2229"/>
      <c r="I64" s="2229"/>
      <c r="J64" s="2230"/>
    </row>
    <row r="65" spans="1:10" s="181" customFormat="1" x14ac:dyDescent="0.2">
      <c r="A65" s="253"/>
      <c r="B65" s="2228"/>
      <c r="C65" s="2229"/>
      <c r="D65" s="2229"/>
      <c r="E65" s="2229"/>
      <c r="F65" s="2229"/>
      <c r="G65" s="2229"/>
      <c r="H65" s="2229"/>
      <c r="I65" s="2229"/>
      <c r="J65" s="2230"/>
    </row>
    <row r="66" spans="1:10" s="181" customFormat="1" x14ac:dyDescent="0.2">
      <c r="A66" s="253"/>
      <c r="B66" s="2228"/>
      <c r="C66" s="2229"/>
      <c r="D66" s="2229"/>
      <c r="E66" s="2229"/>
      <c r="F66" s="2229"/>
      <c r="G66" s="2229"/>
      <c r="H66" s="2229"/>
      <c r="I66" s="2229"/>
      <c r="J66" s="2230"/>
    </row>
    <row r="67" spans="1:10" s="181" customFormat="1" ht="9" customHeight="1" x14ac:dyDescent="0.2">
      <c r="A67" s="254"/>
      <c r="B67" s="2231"/>
      <c r="C67" s="2232"/>
      <c r="D67" s="2232"/>
      <c r="E67" s="2232"/>
      <c r="F67" s="2232"/>
      <c r="G67" s="2232"/>
      <c r="H67" s="2232"/>
      <c r="I67" s="2232"/>
      <c r="J67" s="22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18" t="s">
        <v>1323</v>
      </c>
      <c r="B70" s="2221"/>
      <c r="C70" s="2221"/>
      <c r="D70" s="2221"/>
      <c r="E70" s="2222"/>
      <c r="F70" s="2222"/>
      <c r="G70" s="2222"/>
      <c r="H70" s="2222"/>
      <c r="I70" s="222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23" t="s">
        <v>1320</v>
      </c>
      <c r="B83" s="2223"/>
      <c r="C83" s="2223"/>
      <c r="D83" s="222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205" t="s">
        <v>2112</v>
      </c>
      <c r="C102" s="2206"/>
      <c r="D102" s="2206"/>
      <c r="E102" s="2206"/>
      <c r="F102" s="2206"/>
      <c r="G102" s="2206"/>
      <c r="H102" s="2206"/>
      <c r="I102" s="2207"/>
    </row>
    <row r="103" spans="1:9" s="181" customFormat="1" ht="11.25" customHeight="1" x14ac:dyDescent="0.2">
      <c r="A103" s="316"/>
      <c r="B103" s="2208"/>
      <c r="C103" s="2209"/>
      <c r="D103" s="2209"/>
      <c r="E103" s="2209"/>
      <c r="F103" s="2209"/>
      <c r="G103" s="2209"/>
      <c r="H103" s="2209"/>
      <c r="I103" s="2210"/>
    </row>
    <row r="104" spans="1:9" s="181" customFormat="1" ht="11.25" customHeight="1" x14ac:dyDescent="0.2">
      <c r="A104" s="316"/>
      <c r="B104" s="2208"/>
      <c r="C104" s="2209"/>
      <c r="D104" s="2209"/>
      <c r="E104" s="2209"/>
      <c r="F104" s="2209"/>
      <c r="G104" s="2209"/>
      <c r="H104" s="2209"/>
      <c r="I104" s="2210"/>
    </row>
    <row r="105" spans="1:9" s="181" customFormat="1" x14ac:dyDescent="0.2">
      <c r="A105" s="316"/>
      <c r="B105" s="2208"/>
      <c r="C105" s="2209"/>
      <c r="D105" s="2209"/>
      <c r="E105" s="2209"/>
      <c r="F105" s="2209"/>
      <c r="G105" s="2209"/>
      <c r="H105" s="2209"/>
      <c r="I105" s="2210"/>
    </row>
    <row r="106" spans="1:9" s="181" customFormat="1" ht="11.25" customHeight="1" x14ac:dyDescent="0.2">
      <c r="A106" s="316"/>
      <c r="B106" s="2208"/>
      <c r="C106" s="2209"/>
      <c r="D106" s="2209"/>
      <c r="E106" s="2209"/>
      <c r="F106" s="2209"/>
      <c r="G106" s="2209"/>
      <c r="H106" s="2209"/>
      <c r="I106" s="2210"/>
    </row>
    <row r="107" spans="1:9" s="181" customFormat="1" ht="11.25" customHeight="1" x14ac:dyDescent="0.2">
      <c r="A107" s="316"/>
      <c r="B107" s="2208"/>
      <c r="C107" s="2209"/>
      <c r="D107" s="2209"/>
      <c r="E107" s="2209"/>
      <c r="F107" s="2209"/>
      <c r="G107" s="2209"/>
      <c r="H107" s="2209"/>
      <c r="I107" s="2210"/>
    </row>
    <row r="108" spans="1:9" s="181" customFormat="1" ht="11.25" customHeight="1" x14ac:dyDescent="0.2">
      <c r="A108" s="316"/>
      <c r="B108" s="2208"/>
      <c r="C108" s="2209"/>
      <c r="D108" s="2209"/>
      <c r="E108" s="2209"/>
      <c r="F108" s="2209"/>
      <c r="G108" s="2209"/>
      <c r="H108" s="2209"/>
      <c r="I108" s="2210"/>
    </row>
    <row r="109" spans="1:9" s="181" customFormat="1" ht="11.25" customHeight="1" x14ac:dyDescent="0.2">
      <c r="A109" s="316"/>
      <c r="B109" s="2208"/>
      <c r="C109" s="2209"/>
      <c r="D109" s="2209"/>
      <c r="E109" s="2209"/>
      <c r="F109" s="2209"/>
      <c r="G109" s="2209"/>
      <c r="H109" s="2209"/>
      <c r="I109" s="2210"/>
    </row>
    <row r="110" spans="1:9" s="181" customFormat="1" ht="11.25" customHeight="1" x14ac:dyDescent="0.2">
      <c r="A110" s="316"/>
      <c r="B110" s="2208"/>
      <c r="C110" s="2209"/>
      <c r="D110" s="2209"/>
      <c r="E110" s="2209"/>
      <c r="F110" s="2209"/>
      <c r="G110" s="2209"/>
      <c r="H110" s="2209"/>
      <c r="I110" s="2210"/>
    </row>
    <row r="111" spans="1:9" s="181" customFormat="1" ht="11.25" customHeight="1" x14ac:dyDescent="0.2">
      <c r="A111" s="316"/>
      <c r="B111" s="2208"/>
      <c r="C111" s="2209"/>
      <c r="D111" s="2209"/>
      <c r="E111" s="2209"/>
      <c r="F111" s="2209"/>
      <c r="G111" s="2209"/>
      <c r="H111" s="2209"/>
      <c r="I111" s="2210"/>
    </row>
    <row r="112" spans="1:9" s="181" customFormat="1" ht="11.25" customHeight="1" x14ac:dyDescent="0.2">
      <c r="A112" s="316"/>
      <c r="B112" s="2211"/>
      <c r="C112" s="2212"/>
      <c r="D112" s="2212"/>
      <c r="E112" s="2212"/>
      <c r="F112" s="2212"/>
      <c r="G112" s="2212"/>
      <c r="H112" s="2212"/>
      <c r="I112" s="22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14" t="s">
        <v>2066</v>
      </c>
      <c r="D114" s="221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15" t="s">
        <v>1330</v>
      </c>
      <c r="D117" s="2216"/>
      <c r="E117" s="2217"/>
      <c r="F117" s="2217"/>
      <c r="G117" s="2217"/>
      <c r="H117" s="2217"/>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1903</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7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13" sqref="I13:L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34" t="s">
        <v>386</v>
      </c>
      <c r="B1" s="2234"/>
      <c r="C1" s="2234"/>
      <c r="D1" s="2234"/>
      <c r="E1" s="2234"/>
      <c r="F1" s="2234"/>
      <c r="G1" s="2234"/>
      <c r="H1" s="2234"/>
      <c r="I1" s="2234"/>
      <c r="J1" s="2234"/>
      <c r="K1" s="2234"/>
      <c r="L1" s="2234"/>
      <c r="M1" s="223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1247512706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1.6660000000000001E-2</v>
      </c>
      <c r="E10" s="356" t="s">
        <v>1005</v>
      </c>
      <c r="F10" s="355">
        <v>1.8339999999999999E-3</v>
      </c>
      <c r="G10" s="356" t="s">
        <v>1005</v>
      </c>
      <c r="H10" s="355">
        <v>5.1599999999999997E-4</v>
      </c>
      <c r="I10" s="356" t="s">
        <v>1006</v>
      </c>
      <c r="J10" s="1719">
        <f>ROUND(D10+F10+H10,5)</f>
        <v>1.9009999999999999E-2</v>
      </c>
      <c r="K10" s="222"/>
      <c r="L10" s="355">
        <v>0</v>
      </c>
      <c r="M10" s="222"/>
    </row>
    <row r="11" spans="1:14" ht="7.5" customHeight="1" x14ac:dyDescent="0.2">
      <c r="B11" s="222"/>
      <c r="C11" s="222"/>
      <c r="D11" s="2244" t="str">
        <f>IF(SUM(J10)&lt;=0.0999999,"","Enter the Tax Rates by moving the decimal two places to the left.")</f>
        <v/>
      </c>
      <c r="E11" s="2245"/>
      <c r="F11" s="2245"/>
      <c r="G11" s="2245"/>
      <c r="H11" s="2245"/>
      <c r="I11" s="2245"/>
      <c r="J11" s="22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29874708</v>
      </c>
      <c r="E16" s="356"/>
      <c r="F16" s="1720">
        <f>SUM('Acct Summary 7-8'!C17,'Acct Summary 7-8'!D17,'Acct Summary 7-8'!F17)</f>
        <v>28203399</v>
      </c>
      <c r="G16" s="356"/>
      <c r="H16" s="1720">
        <f>SUM(D16-F16)</f>
        <v>1671309</v>
      </c>
      <c r="I16" s="222"/>
      <c r="J16" s="1720">
        <f>SUM('Acct Summary 7-8'!C81,'Acct Summary 7-8'!D81,'Acct Summary 7-8'!F81,'Acct Summary 7-8'!I81)</f>
        <v>22197400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722">
        <f>IF(B31="X",(J7*0.069),IF(B32="X",(J7*0.138),"Enter x in a.or b."))</f>
        <v>86078376.714000002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9895000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35"/>
      <c r="C54" s="2236"/>
      <c r="D54" s="2236"/>
      <c r="E54" s="2236"/>
      <c r="F54" s="2236"/>
      <c r="G54" s="2236"/>
      <c r="H54" s="2236"/>
      <c r="I54" s="2236"/>
      <c r="J54" s="2236"/>
      <c r="K54" s="2236"/>
      <c r="L54" s="2237"/>
      <c r="M54" s="380"/>
    </row>
    <row r="55" spans="1:13" ht="12.75" customHeight="1" x14ac:dyDescent="0.2">
      <c r="B55" s="2238"/>
      <c r="C55" s="2239"/>
      <c r="D55" s="2239"/>
      <c r="E55" s="2239"/>
      <c r="F55" s="2239"/>
      <c r="G55" s="2239"/>
      <c r="H55" s="2239"/>
      <c r="I55" s="2239"/>
      <c r="J55" s="2239"/>
      <c r="K55" s="2239"/>
      <c r="L55" s="2240"/>
      <c r="M55" s="380"/>
    </row>
    <row r="56" spans="1:13" ht="12.75" customHeight="1" x14ac:dyDescent="0.2">
      <c r="B56" s="2238"/>
      <c r="C56" s="2239"/>
      <c r="D56" s="2239"/>
      <c r="E56" s="2239"/>
      <c r="F56" s="2239"/>
      <c r="G56" s="2239"/>
      <c r="H56" s="2239"/>
      <c r="I56" s="2239"/>
      <c r="J56" s="2239"/>
      <c r="K56" s="2239"/>
      <c r="L56" s="2240"/>
      <c r="M56" s="222"/>
    </row>
    <row r="57" spans="1:13" ht="12.75" customHeight="1" x14ac:dyDescent="0.2">
      <c r="B57" s="2238"/>
      <c r="C57" s="2239"/>
      <c r="D57" s="2239"/>
      <c r="E57" s="2239"/>
      <c r="F57" s="2239"/>
      <c r="G57" s="2239"/>
      <c r="H57" s="2239"/>
      <c r="I57" s="2239"/>
      <c r="J57" s="2239"/>
      <c r="K57" s="2239"/>
      <c r="L57" s="2240"/>
      <c r="M57" s="222"/>
    </row>
    <row r="58" spans="1:13" x14ac:dyDescent="0.2">
      <c r="B58" s="2241"/>
      <c r="C58" s="2242"/>
      <c r="D58" s="2242"/>
      <c r="E58" s="2242"/>
      <c r="F58" s="2242"/>
      <c r="G58" s="2242"/>
      <c r="H58" s="2242"/>
      <c r="I58" s="2242"/>
      <c r="J58" s="2242"/>
      <c r="K58" s="2242"/>
      <c r="L58" s="22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46"/>
      <c r="D61" s="22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I13" sqref="I13:L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49"/>
      <c r="B1" s="2250"/>
      <c r="C1" s="2250"/>
      <c r="D1" s="384"/>
      <c r="E1" s="384"/>
      <c r="F1" s="384"/>
      <c r="G1" s="384"/>
      <c r="H1" s="384"/>
      <c r="I1" s="384"/>
      <c r="J1" s="384"/>
      <c r="K1" s="384"/>
      <c r="L1" s="384"/>
      <c r="M1" s="384"/>
      <c r="N1" s="384"/>
      <c r="O1" s="2249"/>
      <c r="P1" s="2250"/>
      <c r="Q1" s="2250"/>
    </row>
    <row r="2" spans="1:18" ht="15" x14ac:dyDescent="0.2">
      <c r="A2" s="2253" t="s">
        <v>556</v>
      </c>
      <c r="B2" s="2253"/>
      <c r="C2" s="2253"/>
      <c r="D2" s="2253"/>
      <c r="E2" s="2253"/>
      <c r="F2" s="2253"/>
      <c r="G2" s="2253"/>
      <c r="H2" s="2253"/>
      <c r="I2" s="2253"/>
      <c r="J2" s="2253"/>
      <c r="K2" s="2253"/>
      <c r="L2" s="2253"/>
      <c r="M2" s="2253"/>
      <c r="N2" s="2253"/>
      <c r="O2" s="2253"/>
      <c r="P2" s="2253"/>
      <c r="Q2" s="2253"/>
      <c r="R2" s="2253"/>
    </row>
    <row r="3" spans="1:18" ht="12.75" x14ac:dyDescent="0.2">
      <c r="A3" s="2254" t="s">
        <v>1413</v>
      </c>
      <c r="B3" s="2254"/>
      <c r="C3" s="2254"/>
      <c r="D3" s="2254"/>
      <c r="E3" s="2254"/>
      <c r="F3" s="2254"/>
      <c r="G3" s="2254"/>
      <c r="H3" s="2254"/>
      <c r="I3" s="2254"/>
      <c r="J3" s="2254"/>
      <c r="K3" s="2254"/>
      <c r="L3" s="2254"/>
      <c r="M3" s="2254"/>
      <c r="N3" s="2254"/>
      <c r="O3" s="2254"/>
      <c r="P3" s="2254"/>
      <c r="Q3" s="2254"/>
      <c r="R3" s="2254"/>
    </row>
    <row r="4" spans="1:18" x14ac:dyDescent="0.2">
      <c r="A4" s="2255" t="s">
        <v>1554</v>
      </c>
      <c r="B4" s="2255"/>
      <c r="C4" s="2255"/>
      <c r="D4" s="2255"/>
      <c r="E4" s="2255"/>
      <c r="F4" s="2255"/>
      <c r="G4" s="2255"/>
      <c r="H4" s="2255"/>
      <c r="I4" s="2255"/>
      <c r="J4" s="2255"/>
      <c r="K4" s="2255"/>
      <c r="L4" s="2255"/>
      <c r="M4" s="2255"/>
      <c r="N4" s="2255"/>
      <c r="O4" s="2255"/>
      <c r="P4" s="2255"/>
      <c r="Q4" s="2255"/>
      <c r="R4" s="22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Fenton CHSD 100</v>
      </c>
      <c r="E7" s="391"/>
      <c r="G7" s="252"/>
      <c r="H7" s="387"/>
      <c r="I7" s="387"/>
      <c r="J7" s="387"/>
      <c r="K7" s="387"/>
      <c r="L7" s="329"/>
      <c r="M7" s="329"/>
      <c r="N7" s="329"/>
      <c r="O7" s="329"/>
      <c r="P7" s="329"/>
    </row>
    <row r="8" spans="1:18" ht="12.75" x14ac:dyDescent="0.2">
      <c r="A8" s="329"/>
      <c r="B8" s="329"/>
      <c r="C8" s="389" t="s">
        <v>1125</v>
      </c>
      <c r="D8" s="392">
        <f>COVER!A13</f>
        <v>19022100016</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22197400</v>
      </c>
      <c r="I12" s="404"/>
      <c r="J12" s="404"/>
      <c r="K12" s="405">
        <f>TRUNC((H12/H13*100000),5)/100000</f>
        <v>0.74301646729999993</v>
      </c>
      <c r="L12" s="406"/>
      <c r="M12" s="360" t="s">
        <v>1144</v>
      </c>
      <c r="N12" s="360"/>
      <c r="O12" s="407">
        <v>0.35</v>
      </c>
      <c r="P12" s="218"/>
      <c r="Q12" s="218"/>
    </row>
    <row r="13" spans="1:18" s="408" customFormat="1" ht="12.75" x14ac:dyDescent="0.2">
      <c r="A13" s="218"/>
      <c r="B13" s="401"/>
      <c r="C13" s="2251" t="s">
        <v>1324</v>
      </c>
      <c r="D13" s="2252"/>
      <c r="E13" s="218"/>
      <c r="F13" s="409" t="s">
        <v>793</v>
      </c>
      <c r="G13" s="402"/>
      <c r="H13" s="403">
        <f>SUM('Acct Summary 7-8'!C8+'Acct Summary 7-8'!D8+'Acct Summary 7-8'!F8+'Acct Summary 7-8'!I8)+H14</f>
        <v>29874708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28203399</v>
      </c>
      <c r="I17" s="404"/>
      <c r="J17" s="416"/>
      <c r="K17" s="405">
        <f>TRUNC((H17/H18*100000),5)/100000</f>
        <v>0.94405605569999995</v>
      </c>
      <c r="L17" s="406"/>
      <c r="M17" s="417" t="s">
        <v>1171</v>
      </c>
      <c r="O17" s="418" t="str">
        <f>IF(AND(O16="2", J20 &gt; 2),"1",IF(AND(O16 = "1", J20 &gt; 2),"2",IF(AND(O16="1", J20 &gt;1),"1","0")))</f>
        <v>0</v>
      </c>
      <c r="P17" s="218"/>
    </row>
    <row r="18" spans="1:18" s="408" customFormat="1" ht="11.25" x14ac:dyDescent="0.2">
      <c r="A18" s="218"/>
      <c r="B18" s="401"/>
      <c r="C18" s="2251" t="s">
        <v>1317</v>
      </c>
      <c r="D18" s="2252"/>
      <c r="E18" s="218"/>
      <c r="F18" s="419" t="s">
        <v>794</v>
      </c>
      <c r="G18" s="402"/>
      <c r="H18" s="403">
        <f>SUM('Acct Summary 7-8'!C8+'Acct Summary 7-8'!D8+'Acct Summary 7-8'!F8+'Acct Summary 7-8'!I8)+H19</f>
        <v>29874708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248" t="s">
        <v>1412</v>
      </c>
      <c r="D24" s="2248"/>
      <c r="E24" s="218"/>
      <c r="F24" s="218" t="s">
        <v>445</v>
      </c>
      <c r="G24" s="402"/>
      <c r="H24" s="403">
        <f>SUM('Assets-Liab 5-6'!C4+'Assets-Liab 5-6'!D4+'Assets-Liab 5-6'!F4+'Assets-Liab 5-6'!I4+'Assets-Liab 5-6'!C5+'Assets-Liab 5-6'!D5+'Assets-Liab 5-6'!F5+'Assets-Liab 5-6'!I5)</f>
        <v>22197400</v>
      </c>
      <c r="I24" s="422"/>
      <c r="J24" s="422"/>
      <c r="K24" s="423">
        <f>TRUNC(((H24/H25*100000)/100000),2)</f>
        <v>283.33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78342.774999999994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20157934.059900001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9895000</v>
      </c>
      <c r="I32" s="420"/>
      <c r="J32" s="420"/>
      <c r="K32" s="423">
        <f>TRUNC(100-((((H32/H33*100))*100)/100),2)</f>
        <v>88.5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86078376.714000002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70" zoomScaleNormal="80" zoomScaleSheetLayoutView="70" workbookViewId="0">
      <pane ySplit="2" topLeftCell="A3" activePane="bottomLeft" state="frozen"/>
      <selection activeCell="I13" sqref="I13:L13"/>
      <selection pane="bottomLeft" activeCell="F5" sqref="F5"/>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25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25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58" t="s">
        <v>973</v>
      </c>
      <c r="B3" s="2259"/>
      <c r="C3" s="1546"/>
      <c r="D3" s="1547"/>
      <c r="E3" s="1547"/>
      <c r="F3" s="1547"/>
      <c r="G3" s="1547"/>
      <c r="H3" s="1547"/>
      <c r="I3" s="1547"/>
      <c r="J3" s="1547"/>
      <c r="K3" s="1547"/>
      <c r="L3" s="1547"/>
      <c r="M3" s="1548"/>
      <c r="N3" s="1549"/>
    </row>
    <row r="4" spans="1:14" ht="13.5" customHeight="1" x14ac:dyDescent="0.2">
      <c r="A4" s="463" t="s">
        <v>1651</v>
      </c>
      <c r="B4" s="464"/>
      <c r="C4" s="465">
        <v>13683146</v>
      </c>
      <c r="D4" s="465">
        <v>0</v>
      </c>
      <c r="E4" s="465">
        <v>0</v>
      </c>
      <c r="F4" s="465">
        <v>0</v>
      </c>
      <c r="G4" s="465">
        <v>0</v>
      </c>
      <c r="H4" s="465">
        <v>0</v>
      </c>
      <c r="I4" s="465">
        <v>723</v>
      </c>
      <c r="J4" s="465">
        <v>0</v>
      </c>
      <c r="K4" s="465">
        <v>0</v>
      </c>
      <c r="L4" s="465">
        <v>136180</v>
      </c>
      <c r="M4" s="468"/>
      <c r="N4" s="469"/>
    </row>
    <row r="5" spans="1:14" x14ac:dyDescent="0.2">
      <c r="A5" s="463" t="s">
        <v>992</v>
      </c>
      <c r="B5" s="470">
        <v>120</v>
      </c>
      <c r="C5" s="465">
        <v>2037044</v>
      </c>
      <c r="D5" s="465">
        <v>1879842</v>
      </c>
      <c r="E5" s="465">
        <v>272715</v>
      </c>
      <c r="F5" s="465">
        <v>331094</v>
      </c>
      <c r="G5" s="465">
        <v>802583</v>
      </c>
      <c r="H5" s="465">
        <v>135147</v>
      </c>
      <c r="I5" s="465">
        <v>4265551</v>
      </c>
      <c r="J5" s="465">
        <v>0</v>
      </c>
      <c r="K5" s="465">
        <v>138</v>
      </c>
      <c r="L5" s="465">
        <v>0</v>
      </c>
      <c r="M5" s="468"/>
      <c r="N5" s="469"/>
    </row>
    <row r="6" spans="1:14" ht="13.5" customHeight="1" x14ac:dyDescent="0.2">
      <c r="A6" s="471" t="s">
        <v>417</v>
      </c>
      <c r="B6" s="470">
        <v>130</v>
      </c>
      <c r="C6" s="465">
        <v>0</v>
      </c>
      <c r="D6" s="465">
        <v>0</v>
      </c>
      <c r="E6" s="465">
        <v>0</v>
      </c>
      <c r="F6" s="465">
        <v>0</v>
      </c>
      <c r="G6" s="465">
        <v>0</v>
      </c>
      <c r="H6" s="465">
        <v>0</v>
      </c>
      <c r="I6" s="465">
        <v>0</v>
      </c>
      <c r="J6" s="465">
        <v>0</v>
      </c>
      <c r="K6" s="465">
        <v>0</v>
      </c>
      <c r="L6" s="472"/>
      <c r="M6" s="468"/>
      <c r="N6" s="469"/>
    </row>
    <row r="7" spans="1:14" ht="13.5" customHeight="1" x14ac:dyDescent="0.2">
      <c r="A7" s="471" t="s">
        <v>418</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269</v>
      </c>
      <c r="B8" s="470">
        <v>150</v>
      </c>
      <c r="C8" s="465">
        <v>0</v>
      </c>
      <c r="D8" s="465">
        <v>0</v>
      </c>
      <c r="E8" s="465">
        <v>0</v>
      </c>
      <c r="F8" s="465">
        <v>0</v>
      </c>
      <c r="G8" s="465">
        <v>0</v>
      </c>
      <c r="H8" s="465">
        <v>0</v>
      </c>
      <c r="I8" s="465">
        <v>0</v>
      </c>
      <c r="J8" s="465">
        <v>0</v>
      </c>
      <c r="K8" s="465">
        <v>0</v>
      </c>
      <c r="L8" s="476"/>
      <c r="M8" s="468"/>
      <c r="N8" s="469"/>
    </row>
    <row r="9" spans="1:14" ht="13.5" customHeight="1" x14ac:dyDescent="0.2">
      <c r="A9" s="471"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1" t="s">
        <v>991</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271</v>
      </c>
      <c r="B11" s="470">
        <v>180</v>
      </c>
      <c r="C11" s="465">
        <v>0</v>
      </c>
      <c r="D11" s="465">
        <v>0</v>
      </c>
      <c r="E11" s="465">
        <v>0</v>
      </c>
      <c r="F11" s="465">
        <v>0</v>
      </c>
      <c r="G11" s="465">
        <v>0</v>
      </c>
      <c r="H11" s="465">
        <v>0</v>
      </c>
      <c r="I11" s="465">
        <v>0</v>
      </c>
      <c r="J11" s="465">
        <v>0</v>
      </c>
      <c r="K11" s="465">
        <v>0</v>
      </c>
      <c r="L11" s="465">
        <v>0</v>
      </c>
      <c r="M11" s="469"/>
      <c r="N11" s="469"/>
    </row>
    <row r="12" spans="1:14" ht="13.5" customHeight="1" x14ac:dyDescent="0.2">
      <c r="A12" s="471"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23" t="s">
        <v>644</v>
      </c>
      <c r="B13" s="1696"/>
      <c r="C13" s="1724">
        <f>SUM(C4:C12)</f>
        <v>15720190</v>
      </c>
      <c r="D13" s="1724">
        <f t="shared" ref="D13:L13" si="0">SUM(D4:D12)</f>
        <v>1879842</v>
      </c>
      <c r="E13" s="1724">
        <f t="shared" si="0"/>
        <v>272715</v>
      </c>
      <c r="F13" s="1724">
        <f t="shared" si="0"/>
        <v>331094</v>
      </c>
      <c r="G13" s="1724">
        <f t="shared" si="0"/>
        <v>802583</v>
      </c>
      <c r="H13" s="1724">
        <f t="shared" si="0"/>
        <v>135147</v>
      </c>
      <c r="I13" s="1724">
        <f t="shared" si="0"/>
        <v>4266274</v>
      </c>
      <c r="J13" s="1724">
        <f t="shared" si="0"/>
        <v>0</v>
      </c>
      <c r="K13" s="1724">
        <f t="shared" si="0"/>
        <v>138</v>
      </c>
      <c r="L13" s="1724">
        <f t="shared" si="0"/>
        <v>136180</v>
      </c>
      <c r="M13" s="468"/>
      <c r="N13" s="469"/>
    </row>
    <row r="14" spans="1:14" ht="18" customHeight="1" thickTop="1" x14ac:dyDescent="0.2">
      <c r="A14" s="2260" t="s">
        <v>147</v>
      </c>
      <c r="B14" s="2261"/>
      <c r="C14" s="1550"/>
      <c r="D14" s="1551"/>
      <c r="E14" s="1551"/>
      <c r="F14" s="1551"/>
      <c r="G14" s="1551"/>
      <c r="H14" s="1551"/>
      <c r="I14" s="1551"/>
      <c r="J14" s="1551"/>
      <c r="K14" s="1551"/>
      <c r="L14" s="1551"/>
      <c r="M14" s="1552"/>
      <c r="N14" s="1553"/>
    </row>
    <row r="15" spans="1:14" s="481" customFormat="1" ht="12.75" customHeight="1" x14ac:dyDescent="0.2">
      <c r="A15" s="478" t="s">
        <v>1401</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1402</v>
      </c>
      <c r="B16" s="479">
        <v>220</v>
      </c>
      <c r="C16" s="473"/>
      <c r="D16" s="473"/>
      <c r="E16" s="473"/>
      <c r="F16" s="473"/>
      <c r="G16" s="473"/>
      <c r="H16" s="473"/>
      <c r="I16" s="473"/>
      <c r="J16" s="473"/>
      <c r="K16" s="473"/>
      <c r="L16" s="473"/>
      <c r="M16" s="467">
        <f>'Cap Outlay Deprec 26'!F5+'Cap Outlay Deprec 26'!F6</f>
        <v>459795</v>
      </c>
      <c r="N16" s="480"/>
    </row>
    <row r="17" spans="1:14" s="481" customFormat="1" ht="12.75" customHeight="1" x14ac:dyDescent="0.2">
      <c r="A17" s="478" t="s">
        <v>1403</v>
      </c>
      <c r="B17" s="479">
        <v>230</v>
      </c>
      <c r="C17" s="473"/>
      <c r="D17" s="473"/>
      <c r="E17" s="473"/>
      <c r="F17" s="473"/>
      <c r="G17" s="473"/>
      <c r="H17" s="473"/>
      <c r="I17" s="473"/>
      <c r="J17" s="473"/>
      <c r="K17" s="473"/>
      <c r="L17" s="473"/>
      <c r="M17" s="467">
        <f>'Cap Outlay Deprec 26'!F8+'Cap Outlay Deprec 26'!F9</f>
        <v>46162905</v>
      </c>
      <c r="N17" s="480"/>
    </row>
    <row r="18" spans="1:14" s="481" customFormat="1" ht="12.75" customHeight="1" x14ac:dyDescent="0.2">
      <c r="A18" s="478" t="s">
        <v>1404</v>
      </c>
      <c r="B18" s="479">
        <v>240</v>
      </c>
      <c r="C18" s="473"/>
      <c r="D18" s="473"/>
      <c r="E18" s="473"/>
      <c r="F18" s="473"/>
      <c r="G18" s="473"/>
      <c r="H18" s="473"/>
      <c r="I18" s="473"/>
      <c r="J18" s="473"/>
      <c r="K18" s="473"/>
      <c r="L18" s="473"/>
      <c r="M18" s="467">
        <f>'Cap Outlay Deprec 26'!F10</f>
        <v>3238686</v>
      </c>
      <c r="N18" s="480"/>
    </row>
    <row r="19" spans="1:14" s="481" customFormat="1" ht="12.75" customHeight="1" x14ac:dyDescent="0.2">
      <c r="A19" s="478" t="s">
        <v>1405</v>
      </c>
      <c r="B19" s="479">
        <v>250</v>
      </c>
      <c r="C19" s="473"/>
      <c r="D19" s="473"/>
      <c r="E19" s="473"/>
      <c r="F19" s="473"/>
      <c r="G19" s="473"/>
      <c r="H19" s="473"/>
      <c r="I19" s="473"/>
      <c r="J19" s="473"/>
      <c r="K19" s="473"/>
      <c r="L19" s="473"/>
      <c r="M19" s="467">
        <f>'Cap Outlay Deprec 26'!F12+'Cap Outlay Deprec 26'!F13+'Cap Outlay Deprec 26'!F14</f>
        <v>6882712</v>
      </c>
      <c r="N19" s="480"/>
    </row>
    <row r="20" spans="1:14" s="481" customFormat="1" ht="12.75" customHeight="1" x14ac:dyDescent="0.2">
      <c r="A20" s="478" t="s">
        <v>1406</v>
      </c>
      <c r="B20" s="479">
        <v>260</v>
      </c>
      <c r="C20" s="473"/>
      <c r="D20" s="473"/>
      <c r="E20" s="473"/>
      <c r="F20" s="473"/>
      <c r="G20" s="473"/>
      <c r="H20" s="473"/>
      <c r="I20" s="473"/>
      <c r="J20" s="473"/>
      <c r="K20" s="473"/>
      <c r="L20" s="473"/>
      <c r="M20" s="467">
        <f>'Cap Outlay Deprec 26'!F15</f>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467">
        <f>E38+E39</f>
        <v>272715</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9622285</v>
      </c>
    </row>
    <row r="23" spans="1:14" ht="13.5" customHeight="1" thickBot="1" x14ac:dyDescent="0.25">
      <c r="A23" s="1723" t="s">
        <v>643</v>
      </c>
      <c r="B23" s="1728"/>
      <c r="C23" s="468"/>
      <c r="D23" s="468"/>
      <c r="E23" s="468"/>
      <c r="F23" s="468"/>
      <c r="G23" s="468"/>
      <c r="H23" s="468"/>
      <c r="I23" s="468"/>
      <c r="J23" s="468"/>
      <c r="K23" s="468"/>
      <c r="L23" s="468"/>
      <c r="M23" s="1675">
        <f>SUM(M15:M22)</f>
        <v>56744098</v>
      </c>
      <c r="N23" s="1675">
        <f>SUM(N21:N22)</f>
        <v>9895000</v>
      </c>
    </row>
    <row r="24" spans="1:14" ht="18" customHeight="1" thickTop="1" x14ac:dyDescent="0.2">
      <c r="A24" s="2262" t="s">
        <v>598</v>
      </c>
      <c r="B24" s="2263"/>
      <c r="C24" s="1555"/>
      <c r="D24" s="1552"/>
      <c r="E24" s="1552"/>
      <c r="F24" s="1552"/>
      <c r="G24" s="1552"/>
      <c r="H24" s="1552"/>
      <c r="I24" s="1552"/>
      <c r="J24" s="1552"/>
      <c r="K24" s="1552"/>
      <c r="L24" s="1552"/>
      <c r="M24" s="1551"/>
      <c r="N24" s="1556"/>
    </row>
    <row r="25" spans="1:14" x14ac:dyDescent="0.2">
      <c r="A25" s="471" t="s">
        <v>645</v>
      </c>
      <c r="B25" s="470">
        <v>410</v>
      </c>
      <c r="C25" s="465">
        <v>0</v>
      </c>
      <c r="D25" s="465">
        <v>0</v>
      </c>
      <c r="E25" s="465">
        <v>0</v>
      </c>
      <c r="F25" s="465">
        <v>0</v>
      </c>
      <c r="G25" s="465">
        <v>0</v>
      </c>
      <c r="H25" s="465">
        <v>0</v>
      </c>
      <c r="I25" s="468"/>
      <c r="J25" s="465">
        <v>0</v>
      </c>
      <c r="K25" s="465">
        <v>0</v>
      </c>
      <c r="L25" s="468"/>
      <c r="M25" s="468"/>
      <c r="N25" s="468"/>
    </row>
    <row r="26" spans="1:14" x14ac:dyDescent="0.2">
      <c r="A26" s="471"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1"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1"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1"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650</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1" t="s">
        <v>651</v>
      </c>
      <c r="B31" s="470">
        <v>480</v>
      </c>
      <c r="C31" s="465">
        <v>0</v>
      </c>
      <c r="D31" s="465">
        <v>0</v>
      </c>
      <c r="E31" s="465">
        <v>0</v>
      </c>
      <c r="F31" s="465">
        <v>0</v>
      </c>
      <c r="G31" s="465">
        <v>23068</v>
      </c>
      <c r="H31" s="465">
        <v>0</v>
      </c>
      <c r="I31" s="465">
        <v>0</v>
      </c>
      <c r="J31" s="465">
        <v>0</v>
      </c>
      <c r="K31" s="465">
        <v>0</v>
      </c>
      <c r="L31" s="468"/>
      <c r="M31" s="468"/>
      <c r="N31" s="468"/>
    </row>
    <row r="32" spans="1:14" ht="13.5" customHeight="1" x14ac:dyDescent="0.2">
      <c r="A32" s="485" t="s">
        <v>652</v>
      </c>
      <c r="B32" s="486">
        <v>490</v>
      </c>
      <c r="C32" s="465">
        <v>0</v>
      </c>
      <c r="D32" s="465">
        <v>0</v>
      </c>
      <c r="E32" s="465">
        <v>0</v>
      </c>
      <c r="F32" s="465">
        <v>0</v>
      </c>
      <c r="G32" s="465">
        <v>0</v>
      </c>
      <c r="H32" s="465">
        <v>0</v>
      </c>
      <c r="I32" s="465">
        <v>0</v>
      </c>
      <c r="J32" s="465">
        <v>0</v>
      </c>
      <c r="K32" s="465">
        <v>0</v>
      </c>
      <c r="L32" s="468"/>
      <c r="M32" s="468"/>
      <c r="N32" s="468"/>
    </row>
    <row r="33" spans="1:14" ht="13.5" customHeight="1" x14ac:dyDescent="0.2">
      <c r="A33" s="488" t="s">
        <v>303</v>
      </c>
      <c r="B33" s="486">
        <v>493</v>
      </c>
      <c r="C33" s="465">
        <v>0</v>
      </c>
      <c r="D33" s="465">
        <v>0</v>
      </c>
      <c r="E33" s="465">
        <v>0</v>
      </c>
      <c r="F33" s="465">
        <v>0</v>
      </c>
      <c r="G33" s="465">
        <v>0</v>
      </c>
      <c r="H33" s="465">
        <v>0</v>
      </c>
      <c r="I33" s="465">
        <v>0</v>
      </c>
      <c r="J33" s="465">
        <v>0</v>
      </c>
      <c r="K33" s="465">
        <v>0</v>
      </c>
      <c r="L33" s="465">
        <v>136180</v>
      </c>
      <c r="M33" s="468"/>
      <c r="N33" s="469"/>
    </row>
    <row r="34" spans="1:14" ht="13.5" customHeight="1" thickBot="1" x14ac:dyDescent="0.25">
      <c r="A34" s="1725" t="s">
        <v>654</v>
      </c>
      <c r="B34" s="1726"/>
      <c r="C34" s="1727">
        <f>SUM(C25:C33)</f>
        <v>0</v>
      </c>
      <c r="D34" s="1727">
        <f t="shared" ref="D34:K34" si="1">SUM(D25:D33)</f>
        <v>0</v>
      </c>
      <c r="E34" s="1727">
        <f t="shared" si="1"/>
        <v>0</v>
      </c>
      <c r="F34" s="1727">
        <f t="shared" si="1"/>
        <v>0</v>
      </c>
      <c r="G34" s="1727">
        <f t="shared" si="1"/>
        <v>23068</v>
      </c>
      <c r="H34" s="1727">
        <f t="shared" si="1"/>
        <v>0</v>
      </c>
      <c r="I34" s="1727">
        <f t="shared" si="1"/>
        <v>0</v>
      </c>
      <c r="J34" s="1727">
        <f t="shared" si="1"/>
        <v>0</v>
      </c>
      <c r="K34" s="1727">
        <f t="shared" si="1"/>
        <v>0</v>
      </c>
      <c r="L34" s="1708">
        <f>SUM(L33)</f>
        <v>136180</v>
      </c>
      <c r="M34" s="468"/>
      <c r="N34" s="476"/>
    </row>
    <row r="35" spans="1:14" ht="18" customHeight="1" thickTop="1" x14ac:dyDescent="0.2">
      <c r="A35" s="2264" t="s">
        <v>529</v>
      </c>
      <c r="B35" s="2265"/>
      <c r="C35" s="1557"/>
      <c r="D35" s="1558"/>
      <c r="E35" s="1558"/>
      <c r="F35" s="1558"/>
      <c r="G35" s="1558"/>
      <c r="H35" s="1558"/>
      <c r="I35" s="1558"/>
      <c r="J35" s="1558"/>
      <c r="K35" s="1558"/>
      <c r="L35" s="1558"/>
      <c r="M35" s="1552"/>
      <c r="N35" s="1556"/>
    </row>
    <row r="36" spans="1:14" x14ac:dyDescent="0.2">
      <c r="A36" s="489" t="s">
        <v>1</v>
      </c>
      <c r="B36" s="470">
        <v>511</v>
      </c>
      <c r="C36" s="473"/>
      <c r="D36" s="473"/>
      <c r="E36" s="473"/>
      <c r="F36" s="473"/>
      <c r="G36" s="473"/>
      <c r="H36" s="473"/>
      <c r="I36" s="473"/>
      <c r="J36" s="473"/>
      <c r="K36" s="473"/>
      <c r="L36" s="468"/>
      <c r="M36" s="468"/>
      <c r="N36" s="490">
        <f>'Short-Term Long-Term Debt 24'!I49</f>
        <v>9895000</v>
      </c>
    </row>
    <row r="37" spans="1:14" ht="13.5" thickBot="1" x14ac:dyDescent="0.25">
      <c r="A37" s="1723" t="s">
        <v>653</v>
      </c>
      <c r="B37" s="1728"/>
      <c r="C37" s="473"/>
      <c r="D37" s="473"/>
      <c r="E37" s="473"/>
      <c r="F37" s="473"/>
      <c r="G37" s="473"/>
      <c r="H37" s="473"/>
      <c r="I37" s="473"/>
      <c r="J37" s="473"/>
      <c r="K37" s="473"/>
      <c r="L37" s="476"/>
      <c r="M37" s="468"/>
      <c r="N37" s="1675">
        <f>SUM(N36:N36)</f>
        <v>9895000</v>
      </c>
    </row>
    <row r="38" spans="1:14" s="329" customFormat="1" ht="13.5" customHeight="1" thickTop="1" x14ac:dyDescent="0.2">
      <c r="A38" s="491" t="s">
        <v>420</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342</v>
      </c>
      <c r="B39" s="479">
        <v>730</v>
      </c>
      <c r="C39" s="465">
        <f>+'Acct Summary 7-8'!C81</f>
        <v>15720190</v>
      </c>
      <c r="D39" s="465">
        <f>+'Acct Summary 7-8'!D81</f>
        <v>1879842</v>
      </c>
      <c r="E39" s="465">
        <f>+'Acct Summary 7-8'!E81</f>
        <v>272715</v>
      </c>
      <c r="F39" s="465">
        <f>+'Acct Summary 7-8'!F81</f>
        <v>331094</v>
      </c>
      <c r="G39" s="465">
        <f>+'Acct Summary 7-8'!G81</f>
        <v>779515</v>
      </c>
      <c r="H39" s="465">
        <f>+'Acct Summary 7-8'!H81</f>
        <v>135147</v>
      </c>
      <c r="I39" s="465">
        <f>+'Acct Summary 7-8'!I81</f>
        <v>4266274</v>
      </c>
      <c r="J39" s="465">
        <f>+'Acct Summary 7-8'!J81</f>
        <v>0</v>
      </c>
      <c r="K39" s="465">
        <f>+'Acct Summary 7-8'!K81</f>
        <v>138</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56744098</v>
      </c>
      <c r="N40" s="492"/>
    </row>
    <row r="41" spans="1:14" ht="13.5" customHeight="1" thickBot="1" x14ac:dyDescent="0.25">
      <c r="A41" s="1723" t="s">
        <v>655</v>
      </c>
      <c r="B41" s="1693"/>
      <c r="C41" s="1675">
        <f>(SUM(C34,C37,C38,C39))</f>
        <v>15720190</v>
      </c>
      <c r="D41" s="1675">
        <f t="shared" ref="D41:L41" si="2">SUM(D34,D37,D38:D39)</f>
        <v>1879842</v>
      </c>
      <c r="E41" s="1675">
        <f t="shared" si="2"/>
        <v>272715</v>
      </c>
      <c r="F41" s="1675">
        <f t="shared" si="2"/>
        <v>331094</v>
      </c>
      <c r="G41" s="1675">
        <f t="shared" si="2"/>
        <v>802583</v>
      </c>
      <c r="H41" s="1675">
        <f t="shared" si="2"/>
        <v>135147</v>
      </c>
      <c r="I41" s="1675">
        <f t="shared" si="2"/>
        <v>4266274</v>
      </c>
      <c r="J41" s="1675">
        <f t="shared" si="2"/>
        <v>0</v>
      </c>
      <c r="K41" s="1675">
        <f t="shared" si="2"/>
        <v>138</v>
      </c>
      <c r="L41" s="1675">
        <f t="shared" si="2"/>
        <v>136180</v>
      </c>
      <c r="M41" s="1675">
        <f>SUM(M40)</f>
        <v>56744098</v>
      </c>
      <c r="N41" s="1675">
        <f>SUM(N37)</f>
        <v>9895000</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72" activePane="bottomLeft" state="frozen"/>
      <selection activeCell="I13" sqref="I13:L13"/>
      <selection pane="bottomLeft" activeCell="I13" sqref="I13:L13"/>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274" t="s">
        <v>1652</v>
      </c>
      <c r="B1" s="452"/>
      <c r="C1" s="499" t="s">
        <v>425</v>
      </c>
      <c r="D1" s="499" t="s">
        <v>426</v>
      </c>
      <c r="E1" s="499" t="s">
        <v>427</v>
      </c>
      <c r="F1" s="499" t="s">
        <v>428</v>
      </c>
      <c r="G1" s="499" t="s">
        <v>429</v>
      </c>
      <c r="H1" s="499" t="s">
        <v>430</v>
      </c>
      <c r="I1" s="499" t="s">
        <v>431</v>
      </c>
      <c r="J1" s="499" t="s">
        <v>432</v>
      </c>
      <c r="K1" s="499" t="s">
        <v>756</v>
      </c>
      <c r="L1" s="496"/>
    </row>
    <row r="2" spans="1:13" s="500" customFormat="1" ht="37.5" customHeight="1" x14ac:dyDescent="0.2">
      <c r="A2" s="2275"/>
      <c r="B2" s="458" t="s">
        <v>378</v>
      </c>
      <c r="C2" s="459" t="s">
        <v>1155</v>
      </c>
      <c r="D2" s="459" t="s">
        <v>870</v>
      </c>
      <c r="E2" s="459" t="s">
        <v>438</v>
      </c>
      <c r="F2" s="459" t="s">
        <v>155</v>
      </c>
      <c r="G2" s="459" t="s">
        <v>989</v>
      </c>
      <c r="H2" s="459" t="s">
        <v>437</v>
      </c>
      <c r="I2" s="459" t="s">
        <v>407</v>
      </c>
      <c r="J2" s="459" t="s">
        <v>436</v>
      </c>
      <c r="K2" s="459" t="s">
        <v>157</v>
      </c>
      <c r="L2" s="497"/>
    </row>
    <row r="3" spans="1:13" s="502" customFormat="1" ht="16.7" customHeight="1" x14ac:dyDescent="0.2">
      <c r="A3" s="2286" t="s">
        <v>1175</v>
      </c>
      <c r="B3" s="2287"/>
      <c r="C3" s="1560"/>
      <c r="D3" s="1561"/>
      <c r="E3" s="1561"/>
      <c r="F3" s="1561"/>
      <c r="G3" s="1561"/>
      <c r="H3" s="1561"/>
      <c r="I3" s="1561"/>
      <c r="J3" s="1561"/>
      <c r="K3" s="1562"/>
      <c r="L3" s="501"/>
    </row>
    <row r="4" spans="1:13" ht="15.75" customHeight="1" x14ac:dyDescent="0.2">
      <c r="A4" s="1915" t="s">
        <v>1499</v>
      </c>
      <c r="B4" s="1916">
        <v>1000</v>
      </c>
      <c r="C4" s="1729">
        <f>'Revenues 9-14'!C109</f>
        <v>23315160</v>
      </c>
      <c r="D4" s="1729">
        <f>'Revenues 9-14'!D109</f>
        <v>2379882</v>
      </c>
      <c r="E4" s="1729">
        <f>'Revenues 9-14'!E109</f>
        <v>723549</v>
      </c>
      <c r="F4" s="1729">
        <f>'Revenues 9-14'!F109</f>
        <v>681693</v>
      </c>
      <c r="G4" s="1729">
        <f>'Revenues 9-14'!G109</f>
        <v>1030275</v>
      </c>
      <c r="H4" s="1729">
        <f>'Revenues 9-14'!H109</f>
        <v>2678</v>
      </c>
      <c r="I4" s="1729">
        <f>'Revenues 9-14'!I109</f>
        <v>85065</v>
      </c>
      <c r="J4" s="1729">
        <f>'Revenues 9-14'!J109</f>
        <v>0</v>
      </c>
      <c r="K4" s="1729">
        <f>'Revenues 9-14'!K109</f>
        <v>3</v>
      </c>
      <c r="L4" s="347"/>
    </row>
    <row r="5" spans="1:13" ht="15.75" customHeight="1" x14ac:dyDescent="0.2">
      <c r="A5" s="1563" t="s">
        <v>1500</v>
      </c>
      <c r="B5" s="1564">
        <v>2000</v>
      </c>
      <c r="C5" s="1730">
        <f>'Revenues 9-14'!C114</f>
        <v>0</v>
      </c>
      <c r="D5" s="1730">
        <f>'Revenues 9-14'!D114</f>
        <v>0</v>
      </c>
      <c r="E5" s="503"/>
      <c r="F5" s="1730">
        <f>'Revenues 9-14'!F114</f>
        <v>0</v>
      </c>
      <c r="G5" s="1730">
        <f>'Revenues 9-14'!G114</f>
        <v>0</v>
      </c>
      <c r="H5" s="504" t="s">
        <v>1169</v>
      </c>
      <c r="I5" s="505" t="s">
        <v>1169</v>
      </c>
      <c r="J5" s="506" t="s">
        <v>1169</v>
      </c>
      <c r="K5" s="507" t="s">
        <v>1169</v>
      </c>
      <c r="L5" s="347"/>
    </row>
    <row r="6" spans="1:13" ht="15.75" customHeight="1" x14ac:dyDescent="0.2">
      <c r="A6" s="1563" t="s">
        <v>1501</v>
      </c>
      <c r="B6" s="1565">
        <v>3000</v>
      </c>
      <c r="C6" s="1730">
        <f>'Revenues 9-14'!C170</f>
        <v>2009303</v>
      </c>
      <c r="D6" s="1730">
        <f>'Revenues 9-14'!D170</f>
        <v>0</v>
      </c>
      <c r="E6" s="1730">
        <f>'Revenues 9-14'!E170</f>
        <v>0</v>
      </c>
      <c r="F6" s="1730">
        <f>'Revenues 9-14'!F170</f>
        <v>356996</v>
      </c>
      <c r="G6" s="1730">
        <f>'Revenues 9-14'!G170</f>
        <v>0</v>
      </c>
      <c r="H6" s="1730">
        <f>'Revenues 9-14'!H170</f>
        <v>0</v>
      </c>
      <c r="I6" s="1730">
        <f>'Revenues 9-14'!I170</f>
        <v>0</v>
      </c>
      <c r="J6" s="1730">
        <f>'Revenues 9-14'!J170</f>
        <v>0</v>
      </c>
      <c r="K6" s="1730">
        <f>'Revenues 9-14'!K170</f>
        <v>0</v>
      </c>
      <c r="L6" s="347"/>
      <c r="M6" s="508"/>
    </row>
    <row r="7" spans="1:13" ht="15.75" customHeight="1" x14ac:dyDescent="0.2">
      <c r="A7" s="1563" t="s">
        <v>1502</v>
      </c>
      <c r="B7" s="1565">
        <v>4000</v>
      </c>
      <c r="C7" s="1730">
        <f>'Revenues 9-14'!C267</f>
        <v>1046609</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08"/>
    </row>
    <row r="8" spans="1:13" ht="13.5" thickBot="1" x14ac:dyDescent="0.25">
      <c r="A8" s="1723" t="s">
        <v>1172</v>
      </c>
      <c r="B8" s="1696"/>
      <c r="C8" s="1675">
        <f>SUM(C4:C7)</f>
        <v>26371072</v>
      </c>
      <c r="D8" s="1675">
        <f t="shared" ref="D8:K8" si="0">SUM(D4:D7)</f>
        <v>2379882</v>
      </c>
      <c r="E8" s="1675">
        <f t="shared" si="0"/>
        <v>723549</v>
      </c>
      <c r="F8" s="1675">
        <f t="shared" si="0"/>
        <v>1038689</v>
      </c>
      <c r="G8" s="1675">
        <f t="shared" si="0"/>
        <v>1030275</v>
      </c>
      <c r="H8" s="1675">
        <f t="shared" si="0"/>
        <v>2678</v>
      </c>
      <c r="I8" s="1675">
        <f t="shared" si="0"/>
        <v>85065</v>
      </c>
      <c r="J8" s="1675">
        <f t="shared" si="0"/>
        <v>0</v>
      </c>
      <c r="K8" s="1675">
        <f t="shared" si="0"/>
        <v>3</v>
      </c>
      <c r="L8" s="347"/>
    </row>
    <row r="9" spans="1:13" ht="15.75" thickTop="1" x14ac:dyDescent="0.2">
      <c r="A9" s="509" t="s">
        <v>1653</v>
      </c>
      <c r="B9" s="510">
        <v>3998</v>
      </c>
      <c r="C9" s="477">
        <v>10187482</v>
      </c>
      <c r="D9" s="511">
        <v>0</v>
      </c>
      <c r="E9" s="477">
        <v>0</v>
      </c>
      <c r="F9" s="477">
        <v>0</v>
      </c>
      <c r="G9" s="512">
        <v>0</v>
      </c>
      <c r="H9" s="477">
        <v>0</v>
      </c>
      <c r="I9" s="504" t="s">
        <v>1169</v>
      </c>
      <c r="J9" s="474">
        <v>0</v>
      </c>
      <c r="K9" s="477">
        <v>0</v>
      </c>
      <c r="L9" s="347"/>
    </row>
    <row r="10" spans="1:13" s="514" customFormat="1" ht="13.5" thickBot="1" x14ac:dyDescent="0.25">
      <c r="A10" s="1723" t="s">
        <v>1173</v>
      </c>
      <c r="B10" s="1696"/>
      <c r="C10" s="1675">
        <f>SUM(C8:C9)</f>
        <v>36558554</v>
      </c>
      <c r="D10" s="1675">
        <f t="shared" ref="D10:K10" si="1">SUM(D8:D9)</f>
        <v>2379882</v>
      </c>
      <c r="E10" s="1675">
        <f t="shared" si="1"/>
        <v>723549</v>
      </c>
      <c r="F10" s="1675">
        <f t="shared" si="1"/>
        <v>1038689</v>
      </c>
      <c r="G10" s="1675">
        <f t="shared" si="1"/>
        <v>1030275</v>
      </c>
      <c r="H10" s="1675">
        <f t="shared" si="1"/>
        <v>2678</v>
      </c>
      <c r="I10" s="1675">
        <f t="shared" si="1"/>
        <v>85065</v>
      </c>
      <c r="J10" s="1675">
        <f t="shared" si="1"/>
        <v>0</v>
      </c>
      <c r="K10" s="1675">
        <f t="shared" si="1"/>
        <v>3</v>
      </c>
      <c r="L10" s="513"/>
    </row>
    <row r="11" spans="1:13" s="514" customFormat="1" ht="16.7" customHeight="1" thickTop="1" x14ac:dyDescent="0.2">
      <c r="A11" s="2260" t="s">
        <v>1176</v>
      </c>
      <c r="B11" s="2261"/>
      <c r="C11" s="1557"/>
      <c r="D11" s="1558"/>
      <c r="E11" s="1558"/>
      <c r="F11" s="1558"/>
      <c r="G11" s="1558"/>
      <c r="H11" s="1558"/>
      <c r="I11" s="1558"/>
      <c r="J11" s="1558"/>
      <c r="K11" s="1559"/>
      <c r="L11" s="513"/>
    </row>
    <row r="12" spans="1:13" ht="15.75" customHeight="1" x14ac:dyDescent="0.2">
      <c r="A12" s="1563" t="s">
        <v>456</v>
      </c>
      <c r="B12" s="1565">
        <v>1000</v>
      </c>
      <c r="C12" s="1729">
        <f>'Expenditures 15-22'!K33</f>
        <v>15600800</v>
      </c>
      <c r="D12" s="515" t="s">
        <v>1169</v>
      </c>
      <c r="E12" s="468" t="s">
        <v>1169</v>
      </c>
      <c r="F12" s="468" t="s">
        <v>1169</v>
      </c>
      <c r="G12" s="1729">
        <f>'Expenditures 15-22'!K229</f>
        <v>275088</v>
      </c>
      <c r="H12" s="516"/>
      <c r="I12" s="468" t="s">
        <v>1169</v>
      </c>
      <c r="J12" s="468" t="s">
        <v>1169</v>
      </c>
      <c r="K12" s="516" t="s">
        <v>1169</v>
      </c>
      <c r="L12" s="347"/>
    </row>
    <row r="13" spans="1:13" ht="15.75" customHeight="1" x14ac:dyDescent="0.2">
      <c r="A13" s="1563" t="s">
        <v>457</v>
      </c>
      <c r="B13" s="1565">
        <v>2000</v>
      </c>
      <c r="C13" s="1730">
        <f>'Expenditures 15-22'!K74</f>
        <v>7142700</v>
      </c>
      <c r="D13" s="1730">
        <f>'Expenditures 15-22'!K129</f>
        <v>2577757</v>
      </c>
      <c r="E13" s="469" t="s">
        <v>1169</v>
      </c>
      <c r="F13" s="1730">
        <f>'Expenditures 15-22'!K184</f>
        <v>1390778</v>
      </c>
      <c r="G13" s="1730">
        <f>'Expenditures 15-22'!K279</f>
        <v>663821</v>
      </c>
      <c r="H13" s="1730">
        <f>'Expenditures 15-22'!K303</f>
        <v>0</v>
      </c>
      <c r="I13" s="468" t="s">
        <v>1169</v>
      </c>
      <c r="J13" s="1730">
        <f>'Expenditures 15-22'!K330</f>
        <v>0</v>
      </c>
      <c r="K13" s="1734">
        <f>'Expenditures 15-22'!K352</f>
        <v>0</v>
      </c>
      <c r="L13" s="347"/>
    </row>
    <row r="14" spans="1:13" ht="15.75" customHeight="1" x14ac:dyDescent="0.2">
      <c r="A14" s="1563" t="s">
        <v>449</v>
      </c>
      <c r="B14" s="1565">
        <v>3000</v>
      </c>
      <c r="C14" s="1730">
        <f>'Expenditures 15-22'!K75</f>
        <v>3264</v>
      </c>
      <c r="D14" s="1730">
        <f>'Expenditures 15-22'!K130</f>
        <v>0</v>
      </c>
      <c r="E14" s="515" t="s">
        <v>1169</v>
      </c>
      <c r="F14" s="1730">
        <f>'Expenditures 15-22'!K185</f>
        <v>0</v>
      </c>
      <c r="G14" s="1730">
        <f>'Expenditures 15-22'!K280</f>
        <v>0</v>
      </c>
      <c r="H14" s="507"/>
      <c r="I14" s="468" t="s">
        <v>1169</v>
      </c>
      <c r="J14" s="468" t="s">
        <v>1169</v>
      </c>
      <c r="K14" s="507" t="s">
        <v>1169</v>
      </c>
      <c r="L14" s="347"/>
    </row>
    <row r="15" spans="1:13" ht="15.75" customHeight="1" x14ac:dyDescent="0.2">
      <c r="A15" s="1563" t="s">
        <v>107</v>
      </c>
      <c r="B15" s="1565">
        <v>4000</v>
      </c>
      <c r="C15" s="1730">
        <f>'Expenditures 15-22'!K102</f>
        <v>1467546</v>
      </c>
      <c r="D15" s="1730">
        <f>'Expenditures 15-22'!K139</f>
        <v>20554</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706225</v>
      </c>
      <c r="F16" s="1730">
        <f>'Expenditures 15-22'!K208</f>
        <v>0</v>
      </c>
      <c r="G16" s="1730">
        <f>'Expenditures 15-22'!K293</f>
        <v>0</v>
      </c>
      <c r="H16" s="518"/>
      <c r="I16" s="468" t="s">
        <v>1169</v>
      </c>
      <c r="J16" s="1735">
        <f>'Expenditures 15-22'!K340</f>
        <v>0</v>
      </c>
      <c r="K16" s="1730">
        <f>'Expenditures 15-22'!K365</f>
        <v>0</v>
      </c>
      <c r="L16" s="347"/>
    </row>
    <row r="17" spans="1:12" ht="13.5" thickBot="1" x14ac:dyDescent="0.25">
      <c r="A17" s="1695" t="s">
        <v>48</v>
      </c>
      <c r="B17" s="1696"/>
      <c r="C17" s="1675">
        <f t="shared" ref="C17:H17" si="2">SUM(C12:C16)</f>
        <v>24214310</v>
      </c>
      <c r="D17" s="1675">
        <f t="shared" si="2"/>
        <v>2598311</v>
      </c>
      <c r="E17" s="1675">
        <f t="shared" si="2"/>
        <v>706225</v>
      </c>
      <c r="F17" s="1675">
        <f t="shared" si="2"/>
        <v>1390778</v>
      </c>
      <c r="G17" s="1675">
        <f t="shared" si="2"/>
        <v>938909</v>
      </c>
      <c r="H17" s="1675">
        <f t="shared" si="2"/>
        <v>0</v>
      </c>
      <c r="I17" s="468"/>
      <c r="J17" s="1675">
        <f>SUM(J12:J16)</f>
        <v>0</v>
      </c>
      <c r="K17" s="1675">
        <f>SUM(K12:K16)</f>
        <v>0</v>
      </c>
      <c r="L17" s="347"/>
    </row>
    <row r="18" spans="1:12" ht="15" customHeight="1" thickTop="1" x14ac:dyDescent="0.2">
      <c r="A18" s="1731" t="s">
        <v>1654</v>
      </c>
      <c r="B18" s="1732">
        <v>4180</v>
      </c>
      <c r="C18" s="1729">
        <f t="shared" ref="C18:H18" si="3">C9</f>
        <v>10187482</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34401792</v>
      </c>
      <c r="D19" s="1675">
        <f t="shared" si="4"/>
        <v>2598311</v>
      </c>
      <c r="E19" s="1675">
        <f t="shared" si="4"/>
        <v>706225</v>
      </c>
      <c r="F19" s="1675">
        <f t="shared" si="4"/>
        <v>1390778</v>
      </c>
      <c r="G19" s="1675">
        <f t="shared" si="4"/>
        <v>938909</v>
      </c>
      <c r="H19" s="1675">
        <f t="shared" si="4"/>
        <v>0</v>
      </c>
      <c r="I19" s="468"/>
      <c r="J19" s="1675">
        <f>SUM(J17:J18)</f>
        <v>0</v>
      </c>
      <c r="K19" s="1675">
        <f>SUM(K17:K18)</f>
        <v>0</v>
      </c>
      <c r="L19" s="347"/>
    </row>
    <row r="20" spans="1:12" ht="16.5" thickTop="1" thickBot="1" x14ac:dyDescent="0.25">
      <c r="A20" s="2276" t="s">
        <v>1655</v>
      </c>
      <c r="B20" s="2277"/>
      <c r="C20" s="1733">
        <f>C8-C17</f>
        <v>2156762</v>
      </c>
      <c r="D20" s="1733">
        <f t="shared" ref="D20:K20" si="5">D8-D17</f>
        <v>-218429</v>
      </c>
      <c r="E20" s="1733">
        <f t="shared" si="5"/>
        <v>17324</v>
      </c>
      <c r="F20" s="1733">
        <f t="shared" si="5"/>
        <v>-352089</v>
      </c>
      <c r="G20" s="1733">
        <f t="shared" si="5"/>
        <v>91366</v>
      </c>
      <c r="H20" s="1733">
        <f t="shared" si="5"/>
        <v>2678</v>
      </c>
      <c r="I20" s="1733">
        <f t="shared" si="5"/>
        <v>85065</v>
      </c>
      <c r="J20" s="1733">
        <f t="shared" si="5"/>
        <v>0</v>
      </c>
      <c r="K20" s="1733">
        <f t="shared" si="5"/>
        <v>3</v>
      </c>
      <c r="L20" s="347"/>
    </row>
    <row r="21" spans="1:12" ht="16.7" customHeight="1" thickTop="1" x14ac:dyDescent="0.2">
      <c r="A21" s="2288" t="s">
        <v>595</v>
      </c>
      <c r="B21" s="2289"/>
      <c r="C21" s="1557"/>
      <c r="D21" s="1558"/>
      <c r="E21" s="1558"/>
      <c r="F21" s="1558"/>
      <c r="G21" s="1558"/>
      <c r="H21" s="1558"/>
      <c r="I21" s="1558"/>
      <c r="J21" s="1558"/>
      <c r="K21" s="1559"/>
      <c r="L21" s="519"/>
    </row>
    <row r="22" spans="1:12" ht="15.75" customHeight="1" collapsed="1" x14ac:dyDescent="0.2">
      <c r="A22" s="2284" t="s">
        <v>596</v>
      </c>
      <c r="B22" s="2285"/>
      <c r="C22" s="473"/>
      <c r="D22" s="473"/>
      <c r="E22" s="473"/>
      <c r="F22" s="473"/>
      <c r="G22" s="473"/>
      <c r="H22" s="473"/>
      <c r="I22" s="473"/>
      <c r="J22" s="473"/>
      <c r="K22" s="473"/>
      <c r="L22" s="347"/>
    </row>
    <row r="23" spans="1:12" s="481" customFormat="1" ht="15.75" customHeight="1" x14ac:dyDescent="0.2">
      <c r="A23" s="2280" t="s">
        <v>293</v>
      </c>
      <c r="B23" s="2281"/>
      <c r="C23" s="476"/>
      <c r="D23" s="473"/>
      <c r="E23" s="473"/>
      <c r="F23" s="473"/>
      <c r="G23" s="473"/>
      <c r="H23" s="473"/>
      <c r="I23" s="473"/>
      <c r="J23" s="473"/>
      <c r="K23" s="473"/>
      <c r="L23" s="519"/>
    </row>
    <row r="24" spans="1:12" s="481" customFormat="1" ht="13.5" customHeight="1" x14ac:dyDescent="0.2">
      <c r="A24" s="1476" t="s">
        <v>1656</v>
      </c>
      <c r="B24" s="520">
        <v>7110</v>
      </c>
      <c r="C24" s="467">
        <v>0</v>
      </c>
      <c r="D24" s="473"/>
      <c r="E24" s="473"/>
      <c r="F24" s="473"/>
      <c r="G24" s="473"/>
      <c r="H24" s="473"/>
      <c r="I24" s="473"/>
      <c r="J24" s="473"/>
      <c r="K24" s="473"/>
      <c r="L24" s="519"/>
    </row>
    <row r="25" spans="1:12" s="481" customFormat="1" ht="13.5" customHeight="1" x14ac:dyDescent="0.2">
      <c r="A25" s="1476" t="s">
        <v>1657</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76"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76" t="s">
        <v>185</v>
      </c>
      <c r="B27" s="479">
        <v>7130</v>
      </c>
      <c r="C27" s="467">
        <v>0</v>
      </c>
      <c r="D27" s="467">
        <v>0</v>
      </c>
      <c r="E27" s="521"/>
      <c r="F27" s="467">
        <v>0</v>
      </c>
      <c r="G27" s="476"/>
      <c r="H27" s="476"/>
      <c r="I27" s="476"/>
      <c r="J27" s="476"/>
      <c r="K27" s="476"/>
      <c r="L27" s="519"/>
    </row>
    <row r="28" spans="1:12" s="481" customFormat="1" ht="13.5" customHeight="1" x14ac:dyDescent="0.2">
      <c r="A28" s="1476" t="s">
        <v>1398</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76" t="s">
        <v>294</v>
      </c>
      <c r="B29" s="479">
        <v>7150</v>
      </c>
      <c r="C29" s="472"/>
      <c r="D29" s="467">
        <v>0</v>
      </c>
      <c r="E29" s="472"/>
      <c r="F29" s="472"/>
      <c r="G29" s="472"/>
      <c r="H29" s="472"/>
      <c r="I29" s="472"/>
      <c r="J29" s="472"/>
      <c r="K29" s="472"/>
      <c r="L29" s="519"/>
    </row>
    <row r="30" spans="1:12" s="481" customFormat="1" ht="26.25" x14ac:dyDescent="0.2">
      <c r="A30" s="1476" t="s">
        <v>1791</v>
      </c>
      <c r="B30" s="522">
        <v>7160</v>
      </c>
      <c r="C30" s="473"/>
      <c r="D30" s="467">
        <v>0</v>
      </c>
      <c r="E30" s="473"/>
      <c r="F30" s="473"/>
      <c r="G30" s="473"/>
      <c r="H30" s="473"/>
      <c r="I30" s="473"/>
      <c r="J30" s="473"/>
      <c r="K30" s="473"/>
      <c r="L30" s="519"/>
    </row>
    <row r="31" spans="1:12" s="481" customFormat="1" ht="26.25" x14ac:dyDescent="0.2">
      <c r="A31" s="1476" t="s">
        <v>1795</v>
      </c>
      <c r="B31" s="522">
        <v>7170</v>
      </c>
      <c r="C31" s="473"/>
      <c r="D31" s="473"/>
      <c r="E31" s="467">
        <v>0</v>
      </c>
      <c r="F31" s="473"/>
      <c r="G31" s="473"/>
      <c r="H31" s="473"/>
      <c r="I31" s="473"/>
      <c r="J31" s="473"/>
      <c r="K31" s="473"/>
      <c r="L31" s="519"/>
    </row>
    <row r="32" spans="1:12" s="481" customFormat="1" ht="15.75" customHeight="1" x14ac:dyDescent="0.2">
      <c r="A32" s="2282" t="s">
        <v>981</v>
      </c>
      <c r="B32" s="2283"/>
      <c r="C32" s="473"/>
      <c r="D32" s="473"/>
      <c r="E32" s="472"/>
      <c r="F32" s="473"/>
      <c r="G32" s="473"/>
      <c r="H32" s="473"/>
      <c r="I32" s="473"/>
      <c r="J32" s="473"/>
      <c r="K32" s="473"/>
      <c r="L32" s="519"/>
    </row>
    <row r="33" spans="1:12" s="481" customFormat="1" x14ac:dyDescent="0.2">
      <c r="A33" s="1476" t="s">
        <v>412</v>
      </c>
      <c r="B33" s="520">
        <v>7210</v>
      </c>
      <c r="C33" s="467">
        <v>0</v>
      </c>
      <c r="D33" s="467">
        <v>0</v>
      </c>
      <c r="E33" s="467">
        <v>0</v>
      </c>
      <c r="F33" s="467">
        <v>0</v>
      </c>
      <c r="G33" s="473"/>
      <c r="H33" s="467">
        <v>0</v>
      </c>
      <c r="I33" s="467">
        <v>0</v>
      </c>
      <c r="J33" s="467">
        <v>0</v>
      </c>
      <c r="K33" s="467">
        <v>0</v>
      </c>
      <c r="L33" s="519"/>
    </row>
    <row r="34" spans="1:12" s="481" customFormat="1" x14ac:dyDescent="0.2">
      <c r="A34" s="1476" t="s">
        <v>1001</v>
      </c>
      <c r="B34" s="520">
        <v>7220</v>
      </c>
      <c r="C34" s="467">
        <v>0</v>
      </c>
      <c r="D34" s="467">
        <v>0</v>
      </c>
      <c r="E34" s="467">
        <v>0</v>
      </c>
      <c r="F34" s="467">
        <v>0</v>
      </c>
      <c r="G34" s="473"/>
      <c r="H34" s="467">
        <v>0</v>
      </c>
      <c r="I34" s="467">
        <v>0</v>
      </c>
      <c r="J34" s="467">
        <v>0</v>
      </c>
      <c r="K34" s="467">
        <v>0</v>
      </c>
      <c r="L34" s="519"/>
    </row>
    <row r="35" spans="1:12" s="481" customFormat="1" x14ac:dyDescent="0.2">
      <c r="A35" s="1476" t="s">
        <v>990</v>
      </c>
      <c r="B35" s="520">
        <v>7230</v>
      </c>
      <c r="C35" s="467">
        <v>0</v>
      </c>
      <c r="D35" s="467">
        <v>0</v>
      </c>
      <c r="E35" s="467">
        <v>0</v>
      </c>
      <c r="F35" s="467">
        <v>0</v>
      </c>
      <c r="G35" s="476"/>
      <c r="H35" s="467">
        <v>0</v>
      </c>
      <c r="I35" s="467">
        <v>0</v>
      </c>
      <c r="J35" s="467">
        <v>0</v>
      </c>
      <c r="K35" s="467">
        <v>0</v>
      </c>
      <c r="L35" s="519"/>
    </row>
    <row r="36" spans="1:12" s="481" customFormat="1" ht="15" x14ac:dyDescent="0.2">
      <c r="A36" s="1476" t="s">
        <v>1658</v>
      </c>
      <c r="B36" s="520">
        <v>7300</v>
      </c>
      <c r="C36" s="467">
        <v>0</v>
      </c>
      <c r="D36" s="467">
        <v>0</v>
      </c>
      <c r="E36" s="467">
        <v>0</v>
      </c>
      <c r="F36" s="467">
        <v>0</v>
      </c>
      <c r="G36" s="467">
        <v>0</v>
      </c>
      <c r="H36" s="467">
        <v>0</v>
      </c>
      <c r="I36" s="472"/>
      <c r="J36" s="467">
        <v>0</v>
      </c>
      <c r="K36" s="467">
        <v>0</v>
      </c>
      <c r="L36" s="519"/>
    </row>
    <row r="37" spans="1:12" s="481" customFormat="1" x14ac:dyDescent="0.2">
      <c r="A37" s="1476" t="s">
        <v>441</v>
      </c>
      <c r="B37" s="520">
        <v>7400</v>
      </c>
      <c r="C37" s="472"/>
      <c r="D37" s="472"/>
      <c r="E37" s="1730">
        <f>SUM(C54:D57,H54:H57)</f>
        <v>0</v>
      </c>
      <c r="F37" s="472"/>
      <c r="G37" s="472"/>
      <c r="H37" s="472"/>
      <c r="I37" s="473"/>
      <c r="J37" s="472"/>
      <c r="K37" s="472"/>
      <c r="L37" s="519"/>
    </row>
    <row r="38" spans="1:12" s="481" customFormat="1" x14ac:dyDescent="0.2">
      <c r="A38" s="1476" t="s">
        <v>442</v>
      </c>
      <c r="B38" s="520">
        <v>7500</v>
      </c>
      <c r="C38" s="473"/>
      <c r="D38" s="473"/>
      <c r="E38" s="1730">
        <f>SUM(C58:D61,H58:H61)</f>
        <v>0</v>
      </c>
      <c r="F38" s="473"/>
      <c r="G38" s="473"/>
      <c r="H38" s="473"/>
      <c r="I38" s="473"/>
      <c r="J38" s="473"/>
      <c r="K38" s="473"/>
      <c r="L38" s="519"/>
    </row>
    <row r="39" spans="1:12" s="481" customFormat="1" x14ac:dyDescent="0.2">
      <c r="A39" s="1476" t="s">
        <v>443</v>
      </c>
      <c r="B39" s="520">
        <v>7600</v>
      </c>
      <c r="C39" s="473"/>
      <c r="D39" s="473"/>
      <c r="E39" s="1730">
        <f>SUM(C62:D65)</f>
        <v>0</v>
      </c>
      <c r="F39" s="473"/>
      <c r="G39" s="473"/>
      <c r="H39" s="473"/>
      <c r="I39" s="473"/>
      <c r="J39" s="473"/>
      <c r="K39" s="473"/>
      <c r="L39" s="519"/>
    </row>
    <row r="40" spans="1:12" s="481" customFormat="1" ht="13.5" customHeight="1" x14ac:dyDescent="0.2">
      <c r="A40" s="1476" t="s">
        <v>642</v>
      </c>
      <c r="B40" s="479">
        <v>7700</v>
      </c>
      <c r="C40" s="473"/>
      <c r="D40" s="473"/>
      <c r="E40" s="1730">
        <f>SUM(C66:D69)</f>
        <v>0</v>
      </c>
      <c r="F40" s="473"/>
      <c r="G40" s="473"/>
      <c r="H40" s="476"/>
      <c r="I40" s="473"/>
      <c r="J40" s="473"/>
      <c r="K40" s="473"/>
      <c r="L40" s="519"/>
    </row>
    <row r="41" spans="1:12" s="481" customFormat="1" ht="13.5" customHeight="1" x14ac:dyDescent="0.2">
      <c r="A41" s="1476" t="s">
        <v>640</v>
      </c>
      <c r="B41" s="479">
        <v>7800</v>
      </c>
      <c r="C41" s="476"/>
      <c r="D41" s="476"/>
      <c r="E41" s="521"/>
      <c r="F41" s="476"/>
      <c r="G41" s="476"/>
      <c r="H41" s="1730">
        <f>SUM(C70:D73)</f>
        <v>0</v>
      </c>
      <c r="I41" s="473"/>
      <c r="J41" s="473"/>
      <c r="K41" s="476"/>
      <c r="L41" s="519"/>
    </row>
    <row r="42" spans="1:12" s="481" customFormat="1" ht="13.5" customHeight="1" x14ac:dyDescent="0.2">
      <c r="A42" s="1476" t="s">
        <v>641</v>
      </c>
      <c r="B42" s="479">
        <v>7900</v>
      </c>
      <c r="C42" s="467">
        <v>0</v>
      </c>
      <c r="D42" s="467">
        <v>0</v>
      </c>
      <c r="E42" s="467">
        <v>0</v>
      </c>
      <c r="F42" s="467">
        <v>0</v>
      </c>
      <c r="G42" s="467">
        <v>0</v>
      </c>
      <c r="H42" s="467">
        <v>0</v>
      </c>
      <c r="I42" s="476"/>
      <c r="J42" s="476"/>
      <c r="K42" s="467">
        <v>0</v>
      </c>
      <c r="L42" s="519"/>
    </row>
    <row r="43" spans="1:12" s="481" customFormat="1" ht="13.5" customHeight="1" x14ac:dyDescent="0.2">
      <c r="A43" s="1476" t="s">
        <v>373</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290" t="s">
        <v>374</v>
      </c>
      <c r="B44" s="2291"/>
      <c r="C44" s="1690">
        <f>SUM(C24:C43)</f>
        <v>0</v>
      </c>
      <c r="D44" s="1690">
        <f t="shared" ref="D44:K44" si="6">SUM(D24:D43)</f>
        <v>0</v>
      </c>
      <c r="E44" s="1690">
        <f t="shared" si="6"/>
        <v>0</v>
      </c>
      <c r="F44" s="1690">
        <f t="shared" si="6"/>
        <v>0</v>
      </c>
      <c r="G44" s="1690">
        <f t="shared" si="6"/>
        <v>0</v>
      </c>
      <c r="H44" s="1690">
        <f t="shared" si="6"/>
        <v>0</v>
      </c>
      <c r="I44" s="1690">
        <f t="shared" si="6"/>
        <v>0</v>
      </c>
      <c r="J44" s="1690">
        <f t="shared" si="6"/>
        <v>0</v>
      </c>
      <c r="K44" s="1690">
        <f t="shared" si="6"/>
        <v>0</v>
      </c>
      <c r="L44" s="519"/>
    </row>
    <row r="45" spans="1:12" ht="15.75" customHeight="1" thickTop="1" x14ac:dyDescent="0.2">
      <c r="A45" s="2284" t="s">
        <v>108</v>
      </c>
      <c r="B45" s="2285"/>
      <c r="C45" s="523"/>
      <c r="D45" s="523"/>
      <c r="E45" s="523"/>
      <c r="F45" s="523"/>
      <c r="G45" s="523"/>
      <c r="H45" s="523"/>
      <c r="I45" s="523"/>
      <c r="J45" s="523"/>
      <c r="K45" s="523"/>
      <c r="L45" s="347"/>
    </row>
    <row r="46" spans="1:12" s="481" customFormat="1" ht="15.75" customHeight="1" x14ac:dyDescent="0.2">
      <c r="A46" s="2292" t="s">
        <v>109</v>
      </c>
      <c r="B46" s="2293"/>
      <c r="C46" s="473"/>
      <c r="D46" s="473"/>
      <c r="E46" s="473"/>
      <c r="F46" s="473"/>
      <c r="G46" s="473"/>
      <c r="H46" s="473"/>
      <c r="I46" s="476"/>
      <c r="J46" s="473"/>
      <c r="K46" s="473"/>
      <c r="L46" s="524"/>
    </row>
    <row r="47" spans="1:12" s="481" customFormat="1" ht="15" x14ac:dyDescent="0.2">
      <c r="A47" s="1477" t="s">
        <v>1659</v>
      </c>
      <c r="B47" s="479">
        <v>8110</v>
      </c>
      <c r="C47" s="473"/>
      <c r="D47" s="473"/>
      <c r="E47" s="473"/>
      <c r="F47" s="473"/>
      <c r="G47" s="473"/>
      <c r="H47" s="473"/>
      <c r="I47" s="1730">
        <f>SUM(C24,C25:H25,J25:K25)</f>
        <v>0</v>
      </c>
      <c r="J47" s="473"/>
      <c r="K47" s="473"/>
      <c r="L47" s="524"/>
    </row>
    <row r="48" spans="1:12" s="481" customFormat="1" ht="15" x14ac:dyDescent="0.2">
      <c r="A48" s="1477" t="s">
        <v>1660</v>
      </c>
      <c r="B48" s="479">
        <v>8120</v>
      </c>
      <c r="C48" s="476"/>
      <c r="D48" s="476"/>
      <c r="E48" s="473"/>
      <c r="F48" s="476"/>
      <c r="G48" s="473"/>
      <c r="H48" s="473"/>
      <c r="I48" s="1730">
        <f>SUM(C26:H26,J26,K26)</f>
        <v>0</v>
      </c>
      <c r="J48" s="473"/>
      <c r="K48" s="473"/>
      <c r="L48" s="524"/>
    </row>
    <row r="49" spans="1:12" s="481" customFormat="1" x14ac:dyDescent="0.2">
      <c r="A49" s="1477" t="s">
        <v>185</v>
      </c>
      <c r="B49" s="479">
        <v>8130</v>
      </c>
      <c r="C49" s="467">
        <v>0</v>
      </c>
      <c r="D49" s="467">
        <v>0</v>
      </c>
      <c r="E49" s="476"/>
      <c r="F49" s="467">
        <v>0</v>
      </c>
      <c r="G49" s="476"/>
      <c r="H49" s="476"/>
      <c r="I49" s="473"/>
      <c r="J49" s="476"/>
      <c r="K49" s="473"/>
      <c r="L49" s="519"/>
    </row>
    <row r="50" spans="1:12" s="481" customFormat="1" x14ac:dyDescent="0.2">
      <c r="A50" s="1477" t="s">
        <v>1398</v>
      </c>
      <c r="B50" s="479">
        <v>8140</v>
      </c>
      <c r="C50" s="467">
        <v>0</v>
      </c>
      <c r="D50" s="467">
        <v>0</v>
      </c>
      <c r="E50" s="467">
        <v>0</v>
      </c>
      <c r="F50" s="467">
        <v>0</v>
      </c>
      <c r="G50" s="467">
        <v>0</v>
      </c>
      <c r="H50" s="467">
        <v>0</v>
      </c>
      <c r="I50" s="473"/>
      <c r="J50" s="467">
        <v>0</v>
      </c>
      <c r="K50" s="473"/>
      <c r="L50" s="519"/>
    </row>
    <row r="51" spans="1:12" s="481" customFormat="1" x14ac:dyDescent="0.2">
      <c r="A51" s="1477" t="s">
        <v>294</v>
      </c>
      <c r="B51" s="479">
        <v>8150</v>
      </c>
      <c r="C51" s="472"/>
      <c r="D51" s="472"/>
      <c r="E51" s="472"/>
      <c r="F51" s="472"/>
      <c r="G51" s="472"/>
      <c r="H51" s="1730">
        <f>SUM(D29)</f>
        <v>0</v>
      </c>
      <c r="I51" s="473"/>
      <c r="J51" s="472"/>
      <c r="K51" s="476"/>
      <c r="L51" s="519"/>
    </row>
    <row r="52" spans="1:12" s="481" customFormat="1" ht="26.25" x14ac:dyDescent="0.2">
      <c r="A52" s="1477" t="s">
        <v>1794</v>
      </c>
      <c r="B52" s="479">
        <v>8160</v>
      </c>
      <c r="C52" s="473"/>
      <c r="D52" s="473"/>
      <c r="E52" s="473"/>
      <c r="F52" s="473"/>
      <c r="G52" s="473"/>
      <c r="H52" s="473"/>
      <c r="I52" s="473"/>
      <c r="J52" s="473"/>
      <c r="K52" s="1730">
        <f>D30</f>
        <v>0</v>
      </c>
      <c r="L52" s="519"/>
    </row>
    <row r="53" spans="1:12" s="481" customFormat="1" ht="26.25" x14ac:dyDescent="0.2">
      <c r="A53" s="1477" t="s">
        <v>1793</v>
      </c>
      <c r="B53" s="479">
        <v>8170</v>
      </c>
      <c r="C53" s="476"/>
      <c r="D53" s="476"/>
      <c r="E53" s="473"/>
      <c r="F53" s="473"/>
      <c r="G53" s="473"/>
      <c r="H53" s="476"/>
      <c r="I53" s="473"/>
      <c r="J53" s="473"/>
      <c r="K53" s="1730">
        <f>E31</f>
        <v>0</v>
      </c>
      <c r="L53" s="519"/>
    </row>
    <row r="54" spans="1:12" s="481" customFormat="1" ht="13.5" thickBot="1" x14ac:dyDescent="0.25">
      <c r="A54" s="1477" t="s">
        <v>692</v>
      </c>
      <c r="B54" s="479">
        <v>8410</v>
      </c>
      <c r="C54" s="525">
        <v>0</v>
      </c>
      <c r="D54" s="525">
        <v>0</v>
      </c>
      <c r="E54" s="473"/>
      <c r="F54" s="473"/>
      <c r="G54" s="473"/>
      <c r="H54" s="525">
        <v>0</v>
      </c>
      <c r="I54" s="473"/>
      <c r="J54" s="473"/>
      <c r="K54" s="472"/>
      <c r="L54" s="519"/>
    </row>
    <row r="55" spans="1:12" s="481" customFormat="1" ht="14.25" thickTop="1" thickBot="1" x14ac:dyDescent="0.25">
      <c r="A55" s="1478" t="s">
        <v>693</v>
      </c>
      <c r="B55" s="479">
        <v>8420</v>
      </c>
      <c r="C55" s="526">
        <v>0</v>
      </c>
      <c r="D55" s="526">
        <v>0</v>
      </c>
      <c r="E55" s="473"/>
      <c r="F55" s="473"/>
      <c r="G55" s="473"/>
      <c r="H55" s="526">
        <v>0</v>
      </c>
      <c r="I55" s="473"/>
      <c r="J55" s="473"/>
      <c r="K55" s="473"/>
      <c r="L55" s="519"/>
    </row>
    <row r="56" spans="1:12" s="481" customFormat="1" ht="14.25" thickTop="1" thickBot="1" x14ac:dyDescent="0.25">
      <c r="A56" s="1477" t="s">
        <v>581</v>
      </c>
      <c r="B56" s="479">
        <v>8430</v>
      </c>
      <c r="C56" s="526">
        <v>0</v>
      </c>
      <c r="D56" s="526">
        <v>0</v>
      </c>
      <c r="E56" s="473"/>
      <c r="F56" s="473"/>
      <c r="G56" s="473"/>
      <c r="H56" s="526">
        <v>0</v>
      </c>
      <c r="I56" s="473"/>
      <c r="J56" s="473"/>
      <c r="K56" s="473"/>
      <c r="L56" s="519"/>
    </row>
    <row r="57" spans="1:12" s="481" customFormat="1" ht="14.25" thickTop="1" thickBot="1" x14ac:dyDescent="0.25">
      <c r="A57" s="1478" t="s">
        <v>578</v>
      </c>
      <c r="B57" s="479">
        <v>8440</v>
      </c>
      <c r="C57" s="526">
        <v>0</v>
      </c>
      <c r="D57" s="526">
        <v>0</v>
      </c>
      <c r="E57" s="473"/>
      <c r="F57" s="473"/>
      <c r="G57" s="473"/>
      <c r="H57" s="526">
        <v>0</v>
      </c>
      <c r="I57" s="473"/>
      <c r="J57" s="473"/>
      <c r="K57" s="473"/>
      <c r="L57" s="519"/>
    </row>
    <row r="58" spans="1:12" s="481" customFormat="1" ht="14.25" thickTop="1" thickBot="1" x14ac:dyDescent="0.25">
      <c r="A58" s="1477" t="s">
        <v>579</v>
      </c>
      <c r="B58" s="479">
        <v>8510</v>
      </c>
      <c r="C58" s="526">
        <v>0</v>
      </c>
      <c r="D58" s="526">
        <v>0</v>
      </c>
      <c r="E58" s="473"/>
      <c r="F58" s="473"/>
      <c r="G58" s="473"/>
      <c r="H58" s="526">
        <v>0</v>
      </c>
      <c r="I58" s="473"/>
      <c r="J58" s="473"/>
      <c r="K58" s="473"/>
      <c r="L58" s="519"/>
    </row>
    <row r="59" spans="1:12" s="481" customFormat="1" ht="14.25" thickTop="1" thickBot="1" x14ac:dyDescent="0.25">
      <c r="A59" s="1479" t="s">
        <v>694</v>
      </c>
      <c r="B59" s="479">
        <v>8520</v>
      </c>
      <c r="C59" s="526">
        <v>0</v>
      </c>
      <c r="D59" s="526">
        <v>0</v>
      </c>
      <c r="E59" s="473"/>
      <c r="F59" s="473"/>
      <c r="G59" s="473"/>
      <c r="H59" s="526">
        <v>0</v>
      </c>
      <c r="I59" s="473"/>
      <c r="J59" s="473"/>
      <c r="K59" s="473"/>
      <c r="L59" s="519"/>
    </row>
    <row r="60" spans="1:12" s="481" customFormat="1" ht="14.25" thickTop="1" thickBot="1" x14ac:dyDescent="0.25">
      <c r="A60" s="1477" t="s">
        <v>580</v>
      </c>
      <c r="B60" s="479">
        <v>8530</v>
      </c>
      <c r="C60" s="526">
        <v>0</v>
      </c>
      <c r="D60" s="526">
        <v>0</v>
      </c>
      <c r="E60" s="473"/>
      <c r="F60" s="473"/>
      <c r="G60" s="473"/>
      <c r="H60" s="526">
        <v>0</v>
      </c>
      <c r="I60" s="473"/>
      <c r="J60" s="473"/>
      <c r="K60" s="473"/>
      <c r="L60" s="519"/>
    </row>
    <row r="61" spans="1:12" s="481" customFormat="1" ht="14.25" thickTop="1" thickBot="1" x14ac:dyDescent="0.25">
      <c r="A61" s="1478" t="s">
        <v>743</v>
      </c>
      <c r="B61" s="479">
        <v>8540</v>
      </c>
      <c r="C61" s="526">
        <v>0</v>
      </c>
      <c r="D61" s="526">
        <v>0</v>
      </c>
      <c r="E61" s="473"/>
      <c r="F61" s="473"/>
      <c r="G61" s="473"/>
      <c r="H61" s="526">
        <v>0</v>
      </c>
      <c r="I61" s="473"/>
      <c r="J61" s="473"/>
      <c r="K61" s="473"/>
      <c r="L61" s="519"/>
    </row>
    <row r="62" spans="1:12" s="481" customFormat="1" ht="13.5" customHeight="1" thickTop="1" thickBot="1" x14ac:dyDescent="0.25">
      <c r="A62" s="1477" t="s">
        <v>744</v>
      </c>
      <c r="B62" s="479">
        <v>8610</v>
      </c>
      <c r="C62" s="526">
        <v>0</v>
      </c>
      <c r="D62" s="526">
        <v>0</v>
      </c>
      <c r="E62" s="473"/>
      <c r="F62" s="473"/>
      <c r="G62" s="473"/>
      <c r="H62" s="473"/>
      <c r="I62" s="473"/>
      <c r="J62" s="473"/>
      <c r="K62" s="473"/>
      <c r="L62" s="519"/>
    </row>
    <row r="63" spans="1:12" s="481" customFormat="1" ht="14.25" thickTop="1" thickBot="1" x14ac:dyDescent="0.25">
      <c r="A63" s="1478" t="s">
        <v>695</v>
      </c>
      <c r="B63" s="479">
        <v>8620</v>
      </c>
      <c r="C63" s="526">
        <v>0</v>
      </c>
      <c r="D63" s="526">
        <v>0</v>
      </c>
      <c r="E63" s="473"/>
      <c r="F63" s="473"/>
      <c r="G63" s="473"/>
      <c r="H63" s="473"/>
      <c r="I63" s="473"/>
      <c r="J63" s="473"/>
      <c r="K63" s="473"/>
      <c r="L63" s="519"/>
    </row>
    <row r="64" spans="1:12" s="481" customFormat="1" ht="13.5" customHeight="1" thickTop="1" thickBot="1" x14ac:dyDescent="0.25">
      <c r="A64" s="1477" t="s">
        <v>745</v>
      </c>
      <c r="B64" s="479">
        <v>8630</v>
      </c>
      <c r="C64" s="526">
        <v>0</v>
      </c>
      <c r="D64" s="526">
        <v>0</v>
      </c>
      <c r="E64" s="473"/>
      <c r="F64" s="473"/>
      <c r="G64" s="473"/>
      <c r="H64" s="473"/>
      <c r="I64" s="473"/>
      <c r="J64" s="473"/>
      <c r="K64" s="473"/>
      <c r="L64" s="519"/>
    </row>
    <row r="65" spans="1:12" s="481" customFormat="1" ht="14.25" thickTop="1" thickBot="1" x14ac:dyDescent="0.25">
      <c r="A65" s="1478" t="s">
        <v>746</v>
      </c>
      <c r="B65" s="479">
        <v>8640</v>
      </c>
      <c r="C65" s="526">
        <v>0</v>
      </c>
      <c r="D65" s="526">
        <v>0</v>
      </c>
      <c r="E65" s="473"/>
      <c r="F65" s="473"/>
      <c r="G65" s="473"/>
      <c r="H65" s="473"/>
      <c r="I65" s="473"/>
      <c r="J65" s="473"/>
      <c r="K65" s="473"/>
      <c r="L65" s="519"/>
    </row>
    <row r="66" spans="1:12" s="481" customFormat="1" ht="14.25" thickTop="1" thickBot="1" x14ac:dyDescent="0.25">
      <c r="A66" s="1477" t="s">
        <v>747</v>
      </c>
      <c r="B66" s="479">
        <v>8710</v>
      </c>
      <c r="C66" s="526">
        <v>0</v>
      </c>
      <c r="D66" s="526">
        <v>0</v>
      </c>
      <c r="E66" s="473"/>
      <c r="F66" s="473"/>
      <c r="G66" s="473"/>
      <c r="H66" s="473"/>
      <c r="I66" s="473"/>
      <c r="J66" s="473"/>
      <c r="K66" s="473"/>
      <c r="L66" s="519"/>
    </row>
    <row r="67" spans="1:12" s="481" customFormat="1" ht="14.25" thickTop="1" thickBot="1" x14ac:dyDescent="0.25">
      <c r="A67" s="1478" t="s">
        <v>696</v>
      </c>
      <c r="B67" s="479">
        <v>8720</v>
      </c>
      <c r="C67" s="526">
        <v>0</v>
      </c>
      <c r="D67" s="526">
        <v>0</v>
      </c>
      <c r="E67" s="473"/>
      <c r="F67" s="473"/>
      <c r="G67" s="473"/>
      <c r="H67" s="473"/>
      <c r="I67" s="473"/>
      <c r="J67" s="473"/>
      <c r="K67" s="473"/>
      <c r="L67" s="519"/>
    </row>
    <row r="68" spans="1:12" s="481" customFormat="1" ht="14.25" thickTop="1" thickBot="1" x14ac:dyDescent="0.25">
      <c r="A68" s="1479" t="s">
        <v>748</v>
      </c>
      <c r="B68" s="479">
        <v>8730</v>
      </c>
      <c r="C68" s="526">
        <v>0</v>
      </c>
      <c r="D68" s="526">
        <v>0</v>
      </c>
      <c r="E68" s="473"/>
      <c r="F68" s="473"/>
      <c r="G68" s="473"/>
      <c r="H68" s="473"/>
      <c r="I68" s="473"/>
      <c r="J68" s="473"/>
      <c r="K68" s="473"/>
      <c r="L68" s="519"/>
    </row>
    <row r="69" spans="1:12" s="481" customFormat="1" ht="14.25" thickTop="1" thickBot="1" x14ac:dyDescent="0.25">
      <c r="A69" s="1478" t="s">
        <v>749</v>
      </c>
      <c r="B69" s="479">
        <v>8740</v>
      </c>
      <c r="C69" s="526">
        <v>0</v>
      </c>
      <c r="D69" s="526">
        <v>0</v>
      </c>
      <c r="E69" s="473"/>
      <c r="F69" s="473"/>
      <c r="G69" s="473"/>
      <c r="H69" s="473"/>
      <c r="I69" s="473"/>
      <c r="J69" s="473"/>
      <c r="K69" s="473"/>
      <c r="L69" s="519"/>
    </row>
    <row r="70" spans="1:12" s="481" customFormat="1" ht="14.25" thickTop="1" thickBot="1" x14ac:dyDescent="0.25">
      <c r="A70" s="1477" t="s">
        <v>750</v>
      </c>
      <c r="B70" s="479">
        <v>8810</v>
      </c>
      <c r="C70" s="526">
        <v>0</v>
      </c>
      <c r="D70" s="526">
        <v>0</v>
      </c>
      <c r="E70" s="473"/>
      <c r="F70" s="473"/>
      <c r="G70" s="473"/>
      <c r="H70" s="473"/>
      <c r="I70" s="473"/>
      <c r="J70" s="473"/>
      <c r="K70" s="473"/>
      <c r="L70" s="519"/>
    </row>
    <row r="71" spans="1:12" s="481" customFormat="1" ht="14.25" thickTop="1" thickBot="1" x14ac:dyDescent="0.25">
      <c r="A71" s="1477" t="s">
        <v>754</v>
      </c>
      <c r="B71" s="479">
        <v>8820</v>
      </c>
      <c r="C71" s="526">
        <v>0</v>
      </c>
      <c r="D71" s="526">
        <v>0</v>
      </c>
      <c r="E71" s="473"/>
      <c r="F71" s="473"/>
      <c r="G71" s="473"/>
      <c r="H71" s="473"/>
      <c r="I71" s="473"/>
      <c r="J71" s="473"/>
      <c r="K71" s="473"/>
      <c r="L71" s="519"/>
    </row>
    <row r="72" spans="1:12" s="481" customFormat="1" ht="14.25" thickTop="1" thickBot="1" x14ac:dyDescent="0.25">
      <c r="A72" s="1477" t="s">
        <v>751</v>
      </c>
      <c r="B72" s="479">
        <v>8830</v>
      </c>
      <c r="C72" s="526">
        <v>0</v>
      </c>
      <c r="D72" s="526">
        <v>0</v>
      </c>
      <c r="E72" s="473"/>
      <c r="F72" s="473"/>
      <c r="G72" s="473"/>
      <c r="H72" s="473"/>
      <c r="I72" s="473"/>
      <c r="J72" s="473"/>
      <c r="K72" s="473"/>
      <c r="L72" s="519"/>
    </row>
    <row r="73" spans="1:12" s="481" customFormat="1" ht="14.25" thickTop="1" thickBot="1" x14ac:dyDescent="0.25">
      <c r="A73" s="1477" t="s">
        <v>752</v>
      </c>
      <c r="B73" s="479">
        <v>8840</v>
      </c>
      <c r="C73" s="526">
        <v>0</v>
      </c>
      <c r="D73" s="526">
        <v>0</v>
      </c>
      <c r="E73" s="473"/>
      <c r="F73" s="473"/>
      <c r="G73" s="473"/>
      <c r="H73" s="473"/>
      <c r="I73" s="473"/>
      <c r="J73" s="473"/>
      <c r="K73" s="476"/>
      <c r="L73" s="519"/>
    </row>
    <row r="74" spans="1:12" s="481" customFormat="1" ht="14.25" thickTop="1" thickBot="1" x14ac:dyDescent="0.25">
      <c r="A74" s="1477" t="s">
        <v>375</v>
      </c>
      <c r="B74" s="479">
        <v>8910</v>
      </c>
      <c r="C74" s="526">
        <v>0</v>
      </c>
      <c r="D74" s="526">
        <v>0</v>
      </c>
      <c r="E74" s="476"/>
      <c r="F74" s="525">
        <v>0</v>
      </c>
      <c r="G74" s="525">
        <v>0</v>
      </c>
      <c r="H74" s="525">
        <v>0</v>
      </c>
      <c r="I74" s="476"/>
      <c r="J74" s="476"/>
      <c r="K74" s="525">
        <v>0</v>
      </c>
      <c r="L74" s="519"/>
    </row>
    <row r="75" spans="1:12" s="481" customFormat="1" ht="14.25" thickTop="1" thickBot="1" x14ac:dyDescent="0.25">
      <c r="A75" s="1480" t="s">
        <v>439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266" t="s">
        <v>440</v>
      </c>
      <c r="B76" s="2267"/>
      <c r="C76" s="1690">
        <f t="shared" ref="C76:K76" si="7">SUM(C47:C75)</f>
        <v>0</v>
      </c>
      <c r="D76" s="1690">
        <f t="shared" si="7"/>
        <v>0</v>
      </c>
      <c r="E76" s="1690">
        <f t="shared" si="7"/>
        <v>0</v>
      </c>
      <c r="F76" s="1690">
        <f t="shared" si="7"/>
        <v>0</v>
      </c>
      <c r="G76" s="1690">
        <f t="shared" si="7"/>
        <v>0</v>
      </c>
      <c r="H76" s="1690">
        <f t="shared" si="7"/>
        <v>0</v>
      </c>
      <c r="I76" s="1690">
        <f t="shared" si="7"/>
        <v>0</v>
      </c>
      <c r="J76" s="1690">
        <f t="shared" si="7"/>
        <v>0</v>
      </c>
      <c r="K76" s="1690">
        <f t="shared" si="7"/>
        <v>0</v>
      </c>
      <c r="L76" s="519"/>
    </row>
    <row r="77" spans="1:12" ht="14.25" thickTop="1" thickBot="1" x14ac:dyDescent="0.25">
      <c r="A77" s="2268" t="s">
        <v>1177</v>
      </c>
      <c r="B77" s="2269"/>
      <c r="C77" s="1690">
        <f t="shared" ref="C77:K77" si="8">C44-C76</f>
        <v>0</v>
      </c>
      <c r="D77" s="1690">
        <f t="shared" si="8"/>
        <v>0</v>
      </c>
      <c r="E77" s="1690">
        <f t="shared" si="8"/>
        <v>0</v>
      </c>
      <c r="F77" s="1690">
        <f t="shared" si="8"/>
        <v>0</v>
      </c>
      <c r="G77" s="1690">
        <f t="shared" si="8"/>
        <v>0</v>
      </c>
      <c r="H77" s="1690">
        <f t="shared" si="8"/>
        <v>0</v>
      </c>
      <c r="I77" s="1690">
        <f t="shared" si="8"/>
        <v>0</v>
      </c>
      <c r="J77" s="1690">
        <f t="shared" si="8"/>
        <v>0</v>
      </c>
      <c r="K77" s="1690">
        <f t="shared" si="8"/>
        <v>0</v>
      </c>
      <c r="L77" s="347"/>
    </row>
    <row r="78" spans="1:12" ht="21.75" customHeight="1" thickTop="1" thickBot="1" x14ac:dyDescent="0.25">
      <c r="A78" s="2272" t="s">
        <v>597</v>
      </c>
      <c r="B78" s="2273"/>
      <c r="C78" s="1689">
        <f t="shared" ref="C78:K78" si="9">C20+C77</f>
        <v>2156762</v>
      </c>
      <c r="D78" s="1689">
        <f t="shared" si="9"/>
        <v>-218429</v>
      </c>
      <c r="E78" s="1689">
        <f t="shared" si="9"/>
        <v>17324</v>
      </c>
      <c r="F78" s="1689">
        <f t="shared" si="9"/>
        <v>-352089</v>
      </c>
      <c r="G78" s="1689">
        <f t="shared" si="9"/>
        <v>91366</v>
      </c>
      <c r="H78" s="1689">
        <f t="shared" si="9"/>
        <v>2678</v>
      </c>
      <c r="I78" s="1689">
        <f t="shared" si="9"/>
        <v>85065</v>
      </c>
      <c r="J78" s="1689">
        <f t="shared" si="9"/>
        <v>0</v>
      </c>
      <c r="K78" s="1689">
        <f t="shared" si="9"/>
        <v>3</v>
      </c>
      <c r="L78" s="528"/>
    </row>
    <row r="79" spans="1:12" ht="13.5" thickTop="1" x14ac:dyDescent="0.2">
      <c r="A79" s="1481" t="s">
        <v>1946</v>
      </c>
      <c r="B79" s="529"/>
      <c r="C79" s="474">
        <v>13563428</v>
      </c>
      <c r="D79" s="474">
        <v>2098271</v>
      </c>
      <c r="E79" s="474">
        <v>255391</v>
      </c>
      <c r="F79" s="474">
        <v>683183</v>
      </c>
      <c r="G79" s="474">
        <v>688149</v>
      </c>
      <c r="H79" s="474">
        <v>132469</v>
      </c>
      <c r="I79" s="474">
        <v>4181209</v>
      </c>
      <c r="J79" s="474">
        <v>0</v>
      </c>
      <c r="K79" s="474">
        <v>135</v>
      </c>
      <c r="L79" s="347"/>
    </row>
    <row r="80" spans="1:12" x14ac:dyDescent="0.2">
      <c r="A80" s="2278" t="s">
        <v>1792</v>
      </c>
      <c r="B80" s="2279"/>
      <c r="C80" s="467">
        <v>0</v>
      </c>
      <c r="D80" s="467">
        <v>0</v>
      </c>
      <c r="E80" s="467">
        <v>0</v>
      </c>
      <c r="F80" s="467">
        <v>0</v>
      </c>
      <c r="G80" s="467">
        <v>0</v>
      </c>
      <c r="H80" s="467">
        <v>0</v>
      </c>
      <c r="I80" s="467">
        <v>0</v>
      </c>
      <c r="J80" s="467">
        <v>0</v>
      </c>
      <c r="K80" s="467">
        <v>0</v>
      </c>
      <c r="L80" s="347"/>
    </row>
    <row r="81" spans="1:12" ht="13.5" thickBot="1" x14ac:dyDescent="0.25">
      <c r="A81" s="2270" t="s">
        <v>1947</v>
      </c>
      <c r="B81" s="2271"/>
      <c r="C81" s="1675">
        <f>(SUM(C78:C80))</f>
        <v>15720190</v>
      </c>
      <c r="D81" s="1675">
        <f>SUM(D78:D80)</f>
        <v>1879842</v>
      </c>
      <c r="E81" s="1675">
        <f t="shared" ref="E81:K81" si="10">SUM(E78:E80)</f>
        <v>272715</v>
      </c>
      <c r="F81" s="1675">
        <f t="shared" si="10"/>
        <v>331094</v>
      </c>
      <c r="G81" s="1675">
        <f t="shared" si="10"/>
        <v>779515</v>
      </c>
      <c r="H81" s="1675">
        <f t="shared" si="10"/>
        <v>135147</v>
      </c>
      <c r="I81" s="1675">
        <f t="shared" si="10"/>
        <v>4266274</v>
      </c>
      <c r="J81" s="1675">
        <f t="shared" si="10"/>
        <v>0</v>
      </c>
      <c r="K81" s="1675">
        <f t="shared" si="10"/>
        <v>138</v>
      </c>
      <c r="L81" s="347"/>
    </row>
    <row r="82" spans="1:12" ht="0.75" customHeight="1" thickTop="1" thickBot="1" x14ac:dyDescent="0.25">
      <c r="A82" s="531" t="s">
        <v>343</v>
      </c>
      <c r="B82" s="532"/>
      <c r="C82" s="533">
        <f>(C81-C79)</f>
        <v>2156762</v>
      </c>
      <c r="D82" s="533">
        <f t="shared" ref="D82:K82" si="11">(D81-D79)</f>
        <v>-218429</v>
      </c>
      <c r="E82" s="533">
        <f t="shared" si="11"/>
        <v>17324</v>
      </c>
      <c r="F82" s="533">
        <f t="shared" si="11"/>
        <v>-352089</v>
      </c>
      <c r="G82" s="533">
        <f t="shared" si="11"/>
        <v>91366</v>
      </c>
      <c r="H82" s="533">
        <f t="shared" si="11"/>
        <v>2678</v>
      </c>
      <c r="I82" s="533">
        <f t="shared" si="11"/>
        <v>85065</v>
      </c>
      <c r="J82" s="533">
        <f t="shared" si="11"/>
        <v>0</v>
      </c>
      <c r="K82" s="533">
        <f t="shared" si="11"/>
        <v>3</v>
      </c>
    </row>
    <row r="83" spans="1:12" ht="14.25" hidden="1" thickTop="1" thickBot="1" x14ac:dyDescent="0.25">
      <c r="A83" s="534" t="s">
        <v>344</v>
      </c>
      <c r="B83" s="464"/>
      <c r="C83" s="535">
        <f>C82/C81</f>
        <v>0.13719694227614299</v>
      </c>
      <c r="D83" s="535">
        <f t="shared" ref="D83:K83" si="12">D82/D81</f>
        <v>-0.11619540365626473</v>
      </c>
      <c r="E83" s="535">
        <f t="shared" si="12"/>
        <v>6.3524191921969828E-2</v>
      </c>
      <c r="F83" s="535">
        <f t="shared" si="12"/>
        <v>-1.0634109950648456</v>
      </c>
      <c r="G83" s="535">
        <f t="shared" si="12"/>
        <v>0.11720877725252241</v>
      </c>
      <c r="H83" s="535">
        <f t="shared" si="12"/>
        <v>1.9815460202594212E-2</v>
      </c>
      <c r="I83" s="535">
        <f t="shared" si="12"/>
        <v>1.9938944380975061E-2</v>
      </c>
      <c r="J83" s="535" t="e">
        <f t="shared" si="12"/>
        <v>#DIV/0!</v>
      </c>
      <c r="K83" s="535">
        <f t="shared" si="12"/>
        <v>2.1739130434782608E-2</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80" zoomScaleNormal="80" zoomScaleSheetLayoutView="75" workbookViewId="0">
      <pane ySplit="2" topLeftCell="A174" activePane="bottomLeft" state="frozen"/>
      <selection activeCell="I13" sqref="I13:L13"/>
      <selection pane="bottomLeft" activeCell="C213" sqref="C213"/>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274" t="s">
        <v>1799</v>
      </c>
      <c r="B1" s="452"/>
      <c r="C1" s="453" t="s">
        <v>425</v>
      </c>
      <c r="D1" s="453" t="s">
        <v>426</v>
      </c>
      <c r="E1" s="453" t="s">
        <v>427</v>
      </c>
      <c r="F1" s="453" t="s">
        <v>428</v>
      </c>
      <c r="G1" s="453" t="s">
        <v>429</v>
      </c>
      <c r="H1" s="453" t="s">
        <v>430</v>
      </c>
      <c r="I1" s="453" t="s">
        <v>431</v>
      </c>
      <c r="J1" s="453" t="s">
        <v>432</v>
      </c>
      <c r="K1" s="453" t="s">
        <v>756</v>
      </c>
    </row>
    <row r="2" spans="1:12" ht="36" x14ac:dyDescent="0.2">
      <c r="A2" s="2275"/>
      <c r="B2" s="536" t="s">
        <v>378</v>
      </c>
      <c r="C2" s="537" t="s">
        <v>1155</v>
      </c>
      <c r="D2" s="537" t="s">
        <v>870</v>
      </c>
      <c r="E2" s="537" t="s">
        <v>438</v>
      </c>
      <c r="F2" s="537" t="s">
        <v>155</v>
      </c>
      <c r="G2" s="537" t="s">
        <v>989</v>
      </c>
      <c r="H2" s="537" t="s">
        <v>437</v>
      </c>
      <c r="I2" s="537" t="s">
        <v>407</v>
      </c>
      <c r="J2" s="537" t="s">
        <v>436</v>
      </c>
      <c r="K2" s="537"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8"/>
      <c r="D4" s="538"/>
      <c r="E4" s="538"/>
      <c r="F4" s="539"/>
      <c r="G4" s="540"/>
      <c r="H4" s="541"/>
      <c r="I4" s="541"/>
      <c r="J4" s="541"/>
      <c r="K4" s="541"/>
    </row>
    <row r="5" spans="1:12" ht="15" x14ac:dyDescent="0.2">
      <c r="A5" s="488" t="s">
        <v>1661</v>
      </c>
      <c r="B5" s="542"/>
      <c r="C5" s="477">
        <v>20416533</v>
      </c>
      <c r="D5" s="477">
        <v>2274742</v>
      </c>
      <c r="E5" s="477">
        <v>718340</v>
      </c>
      <c r="F5" s="477">
        <v>640166</v>
      </c>
      <c r="G5" s="477">
        <v>413987</v>
      </c>
      <c r="H5" s="477">
        <v>0</v>
      </c>
      <c r="I5" s="477">
        <v>0</v>
      </c>
      <c r="J5" s="477">
        <v>0</v>
      </c>
      <c r="K5" s="477">
        <v>0</v>
      </c>
    </row>
    <row r="6" spans="1:12" ht="15" x14ac:dyDescent="0.2">
      <c r="A6" s="463" t="s">
        <v>1662</v>
      </c>
      <c r="B6" s="470">
        <v>1130</v>
      </c>
      <c r="C6" s="477">
        <v>0</v>
      </c>
      <c r="D6" s="477">
        <v>0</v>
      </c>
      <c r="E6" s="472"/>
      <c r="F6" s="472"/>
      <c r="G6" s="468"/>
      <c r="H6" s="468"/>
      <c r="I6" s="468"/>
      <c r="J6" s="468"/>
      <c r="K6" s="468"/>
    </row>
    <row r="7" spans="1:12" x14ac:dyDescent="0.2">
      <c r="A7" s="463" t="s">
        <v>110</v>
      </c>
      <c r="B7" s="543">
        <v>1140</v>
      </c>
      <c r="C7" s="477">
        <v>317054</v>
      </c>
      <c r="D7" s="477">
        <v>0</v>
      </c>
      <c r="E7" s="468"/>
      <c r="F7" s="477">
        <v>0</v>
      </c>
      <c r="G7" s="477">
        <v>0</v>
      </c>
      <c r="H7" s="477">
        <v>0</v>
      </c>
      <c r="I7" s="468"/>
      <c r="J7" s="468"/>
      <c r="K7" s="468"/>
    </row>
    <row r="8" spans="1:12" x14ac:dyDescent="0.2">
      <c r="A8" s="463" t="s">
        <v>413</v>
      </c>
      <c r="B8" s="470">
        <v>1150</v>
      </c>
      <c r="C8" s="472"/>
      <c r="D8" s="472"/>
      <c r="E8" s="473"/>
      <c r="F8" s="473"/>
      <c r="G8" s="477">
        <v>476802</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414</v>
      </c>
      <c r="B11" s="544">
        <v>1190</v>
      </c>
      <c r="C11" s="477">
        <v>0</v>
      </c>
      <c r="D11" s="477">
        <v>0</v>
      </c>
      <c r="E11" s="477">
        <v>0</v>
      </c>
      <c r="F11" s="477">
        <v>0</v>
      </c>
      <c r="G11" s="477">
        <v>0</v>
      </c>
      <c r="H11" s="477">
        <v>0</v>
      </c>
      <c r="I11" s="477">
        <v>0</v>
      </c>
      <c r="J11" s="477">
        <v>0</v>
      </c>
      <c r="K11" s="477">
        <v>0</v>
      </c>
      <c r="L11" s="545"/>
    </row>
    <row r="12" spans="1:12" ht="12.75" customHeight="1" thickBot="1" x14ac:dyDescent="0.25">
      <c r="A12" s="1692" t="s">
        <v>29</v>
      </c>
      <c r="B12" s="1693"/>
      <c r="C12" s="1694">
        <f t="shared" ref="C12:K12" si="0">SUM(C5:C11)</f>
        <v>20733587</v>
      </c>
      <c r="D12" s="1694">
        <f t="shared" si="0"/>
        <v>2274742</v>
      </c>
      <c r="E12" s="1694">
        <f t="shared" si="0"/>
        <v>718340</v>
      </c>
      <c r="F12" s="1694">
        <f t="shared" si="0"/>
        <v>640166</v>
      </c>
      <c r="G12" s="1694">
        <f t="shared" si="0"/>
        <v>890789</v>
      </c>
      <c r="H12" s="1694">
        <f t="shared" si="0"/>
        <v>0</v>
      </c>
      <c r="I12" s="1694">
        <f t="shared" si="0"/>
        <v>0</v>
      </c>
      <c r="J12" s="1694">
        <f t="shared" si="0"/>
        <v>0</v>
      </c>
      <c r="K12" s="1675">
        <f t="shared" si="0"/>
        <v>0</v>
      </c>
    </row>
    <row r="13" spans="1:12" ht="15.75" customHeight="1" thickTop="1" x14ac:dyDescent="0.2">
      <c r="A13" s="1579" t="s">
        <v>451</v>
      </c>
      <c r="B13" s="1580">
        <v>1200</v>
      </c>
      <c r="C13" s="546"/>
      <c r="D13" s="546"/>
      <c r="E13" s="546"/>
      <c r="F13" s="546"/>
      <c r="G13" s="546"/>
      <c r="H13" s="546"/>
      <c r="I13" s="546"/>
      <c r="J13" s="546"/>
      <c r="K13" s="468"/>
    </row>
    <row r="14" spans="1:12" x14ac:dyDescent="0.2">
      <c r="A14" s="463" t="s">
        <v>3</v>
      </c>
      <c r="B14" s="470">
        <v>1210</v>
      </c>
      <c r="C14" s="477">
        <v>1624</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1663</v>
      </c>
      <c r="B16" s="543">
        <v>1230</v>
      </c>
      <c r="C16" s="477">
        <v>1128479</v>
      </c>
      <c r="D16" s="477">
        <v>0</v>
      </c>
      <c r="E16" s="477">
        <v>0</v>
      </c>
      <c r="F16" s="477">
        <v>0</v>
      </c>
      <c r="G16" s="477">
        <v>125387</v>
      </c>
      <c r="H16" s="477">
        <v>0</v>
      </c>
      <c r="I16" s="477">
        <v>0</v>
      </c>
      <c r="J16" s="477">
        <v>0</v>
      </c>
      <c r="K16" s="477">
        <v>0</v>
      </c>
    </row>
    <row r="17" spans="1:11" ht="12.75" customHeight="1" x14ac:dyDescent="0.2">
      <c r="A17" s="463" t="s">
        <v>807</v>
      </c>
      <c r="B17" s="470">
        <v>1290</v>
      </c>
      <c r="C17" s="477">
        <v>0</v>
      </c>
      <c r="D17" s="477">
        <v>0</v>
      </c>
      <c r="E17" s="477">
        <v>0</v>
      </c>
      <c r="F17" s="477">
        <v>0</v>
      </c>
      <c r="G17" s="477">
        <v>0</v>
      </c>
      <c r="H17" s="477">
        <v>0</v>
      </c>
      <c r="I17" s="477">
        <v>0</v>
      </c>
      <c r="J17" s="477">
        <v>0</v>
      </c>
      <c r="K17" s="477">
        <v>0</v>
      </c>
    </row>
    <row r="18" spans="1:11" ht="12.75" customHeight="1" thickBot="1" x14ac:dyDescent="0.25">
      <c r="A18" s="1695" t="s">
        <v>537</v>
      </c>
      <c r="B18" s="1696"/>
      <c r="C18" s="1697">
        <f>SUM(C14:C17)</f>
        <v>1130103</v>
      </c>
      <c r="D18" s="1697">
        <f t="shared" ref="D18:K18" si="1">SUM(D14:D17)</f>
        <v>0</v>
      </c>
      <c r="E18" s="1697">
        <f t="shared" si="1"/>
        <v>0</v>
      </c>
      <c r="F18" s="1697">
        <f t="shared" si="1"/>
        <v>0</v>
      </c>
      <c r="G18" s="1697">
        <f t="shared" si="1"/>
        <v>125387</v>
      </c>
      <c r="H18" s="1697">
        <f t="shared" si="1"/>
        <v>0</v>
      </c>
      <c r="I18" s="1697">
        <f t="shared" si="1"/>
        <v>0</v>
      </c>
      <c r="J18" s="1697">
        <f t="shared" si="1"/>
        <v>0</v>
      </c>
      <c r="K18" s="1698">
        <f t="shared" si="1"/>
        <v>0</v>
      </c>
    </row>
    <row r="19" spans="1:11" ht="15.75" customHeight="1" thickTop="1" x14ac:dyDescent="0.2">
      <c r="A19" s="1579" t="s">
        <v>452</v>
      </c>
      <c r="B19" s="1580">
        <v>1300</v>
      </c>
      <c r="C19" s="547"/>
      <c r="D19" s="547"/>
      <c r="E19" s="547"/>
      <c r="F19" s="547"/>
      <c r="G19" s="546"/>
      <c r="H19" s="547"/>
      <c r="I19" s="547"/>
      <c r="J19" s="547"/>
      <c r="K19" s="548"/>
    </row>
    <row r="20" spans="1:11" x14ac:dyDescent="0.2">
      <c r="A20" s="463" t="s">
        <v>1073</v>
      </c>
      <c r="B20" s="470">
        <v>1311</v>
      </c>
      <c r="C20" s="477">
        <v>0</v>
      </c>
      <c r="D20" s="468"/>
      <c r="E20" s="468"/>
      <c r="F20" s="468"/>
      <c r="G20" s="468"/>
      <c r="H20" s="468"/>
      <c r="I20" s="468"/>
      <c r="J20" s="468"/>
      <c r="K20" s="468"/>
    </row>
    <row r="21" spans="1:11" ht="12.75" customHeight="1" x14ac:dyDescent="0.2">
      <c r="A21" s="463" t="s">
        <v>832</v>
      </c>
      <c r="B21" s="470">
        <v>1312</v>
      </c>
      <c r="C21" s="477">
        <v>0</v>
      </c>
      <c r="D21" s="468"/>
      <c r="E21" s="468"/>
      <c r="F21" s="468"/>
      <c r="G21" s="468"/>
      <c r="H21" s="468"/>
      <c r="I21" s="468"/>
      <c r="J21" s="468"/>
      <c r="K21" s="468"/>
    </row>
    <row r="22" spans="1:11" ht="12.75" customHeight="1" x14ac:dyDescent="0.2">
      <c r="A22" s="463" t="s">
        <v>1074</v>
      </c>
      <c r="B22" s="470">
        <v>1313</v>
      </c>
      <c r="C22" s="477">
        <v>0</v>
      </c>
      <c r="D22" s="468"/>
      <c r="E22" s="468"/>
      <c r="F22" s="468"/>
      <c r="G22" s="468"/>
      <c r="H22" s="468"/>
      <c r="I22" s="468"/>
      <c r="J22" s="468"/>
      <c r="K22" s="468"/>
    </row>
    <row r="23" spans="1:11" ht="12.75" customHeight="1" x14ac:dyDescent="0.2">
      <c r="A23" s="463" t="s">
        <v>1075</v>
      </c>
      <c r="B23" s="470">
        <v>1314</v>
      </c>
      <c r="C23" s="477">
        <v>0</v>
      </c>
      <c r="D23" s="468"/>
      <c r="E23" s="468"/>
      <c r="F23" s="468"/>
      <c r="G23" s="468"/>
      <c r="H23" s="468"/>
      <c r="I23" s="468"/>
      <c r="J23" s="468"/>
      <c r="K23" s="468"/>
    </row>
    <row r="24" spans="1:11" ht="12.75" customHeight="1" x14ac:dyDescent="0.2">
      <c r="A24" s="463" t="s">
        <v>1027</v>
      </c>
      <c r="B24" s="470">
        <v>1321</v>
      </c>
      <c r="C24" s="477">
        <v>19150</v>
      </c>
      <c r="D24" s="468"/>
      <c r="E24" s="468"/>
      <c r="F24" s="468"/>
      <c r="G24" s="468"/>
      <c r="H24" s="468"/>
      <c r="I24" s="468"/>
      <c r="J24" s="468"/>
      <c r="K24" s="468"/>
    </row>
    <row r="25" spans="1:11" ht="12.75" customHeight="1" x14ac:dyDescent="0.2">
      <c r="A25" s="463" t="s">
        <v>833</v>
      </c>
      <c r="B25" s="470">
        <v>1322</v>
      </c>
      <c r="C25" s="477">
        <v>0</v>
      </c>
      <c r="D25" s="468"/>
      <c r="E25" s="468"/>
      <c r="F25" s="468"/>
      <c r="G25" s="468"/>
      <c r="H25" s="468"/>
      <c r="I25" s="468"/>
      <c r="J25" s="468"/>
      <c r="K25" s="468"/>
    </row>
    <row r="26" spans="1:11" ht="12.75" customHeight="1" x14ac:dyDescent="0.2">
      <c r="A26" s="463" t="s">
        <v>1101</v>
      </c>
      <c r="B26" s="470">
        <v>1323</v>
      </c>
      <c r="C26" s="477">
        <v>0</v>
      </c>
      <c r="D26" s="468"/>
      <c r="E26" s="468"/>
      <c r="F26" s="468"/>
      <c r="G26" s="468"/>
      <c r="H26" s="468"/>
      <c r="I26" s="468"/>
      <c r="J26" s="468"/>
      <c r="K26" s="468"/>
    </row>
    <row r="27" spans="1:11" ht="12.75" customHeight="1" x14ac:dyDescent="0.2">
      <c r="A27" s="463" t="s">
        <v>1023</v>
      </c>
      <c r="B27" s="470">
        <v>1324</v>
      </c>
      <c r="C27" s="477">
        <v>0</v>
      </c>
      <c r="D27" s="468"/>
      <c r="E27" s="468"/>
      <c r="F27" s="468"/>
      <c r="G27" s="468"/>
      <c r="H27" s="468"/>
      <c r="I27" s="468"/>
      <c r="J27" s="468"/>
      <c r="K27" s="468"/>
    </row>
    <row r="28" spans="1:11" ht="12.75" customHeight="1" x14ac:dyDescent="0.2">
      <c r="A28" s="463" t="s">
        <v>1024</v>
      </c>
      <c r="B28" s="470">
        <v>1331</v>
      </c>
      <c r="C28" s="477">
        <v>0</v>
      </c>
      <c r="D28" s="468"/>
      <c r="E28" s="468"/>
      <c r="F28" s="468"/>
      <c r="G28" s="468"/>
      <c r="H28" s="468"/>
      <c r="I28" s="468"/>
      <c r="J28" s="468"/>
      <c r="K28" s="468"/>
    </row>
    <row r="29" spans="1:11" ht="12.75" customHeight="1" x14ac:dyDescent="0.2">
      <c r="A29" s="463" t="s">
        <v>834</v>
      </c>
      <c r="B29" s="470">
        <v>1332</v>
      </c>
      <c r="C29" s="477">
        <v>0</v>
      </c>
      <c r="D29" s="468"/>
      <c r="E29" s="468"/>
      <c r="F29" s="468"/>
      <c r="G29" s="468"/>
      <c r="H29" s="468"/>
      <c r="I29" s="468"/>
      <c r="J29" s="468"/>
      <c r="K29" s="468"/>
    </row>
    <row r="30" spans="1:11" ht="12.75" customHeight="1" x14ac:dyDescent="0.2">
      <c r="A30" s="463" t="s">
        <v>1026</v>
      </c>
      <c r="B30" s="470">
        <v>1333</v>
      </c>
      <c r="C30" s="477">
        <v>0</v>
      </c>
      <c r="D30" s="468"/>
      <c r="E30" s="468"/>
      <c r="F30" s="468"/>
      <c r="G30" s="468"/>
      <c r="H30" s="468"/>
      <c r="I30" s="468"/>
      <c r="J30" s="468"/>
      <c r="K30" s="468"/>
    </row>
    <row r="31" spans="1:11" ht="12.75" customHeight="1" x14ac:dyDescent="0.2">
      <c r="A31" s="463" t="s">
        <v>1025</v>
      </c>
      <c r="B31" s="470">
        <v>1334</v>
      </c>
      <c r="C31" s="477">
        <v>0</v>
      </c>
      <c r="D31" s="468"/>
      <c r="E31" s="468"/>
      <c r="F31" s="468"/>
      <c r="G31" s="468"/>
      <c r="H31" s="468"/>
      <c r="I31" s="468"/>
      <c r="J31" s="468"/>
      <c r="K31" s="468"/>
    </row>
    <row r="32" spans="1:11" ht="12.75" customHeight="1" x14ac:dyDescent="0.2">
      <c r="A32" s="463" t="s">
        <v>494</v>
      </c>
      <c r="B32" s="470">
        <v>1341</v>
      </c>
      <c r="C32" s="477">
        <v>0</v>
      </c>
      <c r="D32" s="468"/>
      <c r="E32" s="468"/>
      <c r="F32" s="468"/>
      <c r="G32" s="468"/>
      <c r="H32" s="468"/>
      <c r="I32" s="468"/>
      <c r="J32" s="468"/>
      <c r="K32" s="468"/>
    </row>
    <row r="33" spans="1:11" ht="12.75" customHeight="1" x14ac:dyDescent="0.2">
      <c r="A33" s="463" t="s">
        <v>835</v>
      </c>
      <c r="B33" s="470">
        <v>1342</v>
      </c>
      <c r="C33" s="477">
        <v>0</v>
      </c>
      <c r="D33" s="468"/>
      <c r="E33" s="468"/>
      <c r="F33" s="468"/>
      <c r="G33" s="468"/>
      <c r="H33" s="468"/>
      <c r="I33" s="468"/>
      <c r="J33" s="468"/>
      <c r="K33" s="468"/>
    </row>
    <row r="34" spans="1:11" ht="12.75" customHeight="1" x14ac:dyDescent="0.2">
      <c r="A34" s="463" t="s">
        <v>495</v>
      </c>
      <c r="B34" s="470">
        <v>1343</v>
      </c>
      <c r="C34" s="477">
        <v>0</v>
      </c>
      <c r="D34" s="468"/>
      <c r="E34" s="468"/>
      <c r="F34" s="468"/>
      <c r="G34" s="468"/>
      <c r="H34" s="468"/>
      <c r="I34" s="468"/>
      <c r="J34" s="468"/>
      <c r="K34" s="468"/>
    </row>
    <row r="35" spans="1:11" ht="12.75" customHeight="1" x14ac:dyDescent="0.2">
      <c r="A35" s="463" t="s">
        <v>493</v>
      </c>
      <c r="B35" s="470">
        <v>1344</v>
      </c>
      <c r="C35" s="477">
        <v>0</v>
      </c>
      <c r="D35" s="468"/>
      <c r="E35" s="468"/>
      <c r="F35" s="468"/>
      <c r="G35" s="468"/>
      <c r="H35" s="468"/>
      <c r="I35" s="468"/>
      <c r="J35" s="468"/>
      <c r="K35" s="468"/>
    </row>
    <row r="36" spans="1:11" ht="12.75" customHeight="1" x14ac:dyDescent="0.2">
      <c r="A36" s="463" t="s">
        <v>831</v>
      </c>
      <c r="B36" s="470">
        <v>1351</v>
      </c>
      <c r="C36" s="477">
        <v>0</v>
      </c>
      <c r="D36" s="468"/>
      <c r="E36" s="468"/>
      <c r="F36" s="468"/>
      <c r="G36" s="468"/>
      <c r="H36" s="468"/>
      <c r="I36" s="468"/>
      <c r="J36" s="468"/>
      <c r="K36" s="468"/>
    </row>
    <row r="37" spans="1:11" ht="12.75" customHeight="1" x14ac:dyDescent="0.2">
      <c r="A37" s="463" t="s">
        <v>836</v>
      </c>
      <c r="B37" s="470">
        <v>1352</v>
      </c>
      <c r="C37" s="477">
        <v>0</v>
      </c>
      <c r="D37" s="468"/>
      <c r="E37" s="468"/>
      <c r="F37" s="468"/>
      <c r="G37" s="468"/>
      <c r="H37" s="468"/>
      <c r="I37" s="468"/>
      <c r="J37" s="468"/>
      <c r="K37" s="468"/>
    </row>
    <row r="38" spans="1:11" ht="12.75" customHeight="1" x14ac:dyDescent="0.2">
      <c r="A38" s="463" t="s">
        <v>593</v>
      </c>
      <c r="B38" s="470">
        <v>1353</v>
      </c>
      <c r="C38" s="477">
        <v>0</v>
      </c>
      <c r="D38" s="468"/>
      <c r="E38" s="468"/>
      <c r="F38" s="468"/>
      <c r="G38" s="468"/>
      <c r="H38" s="468"/>
      <c r="I38" s="468"/>
      <c r="J38" s="468"/>
      <c r="K38" s="468"/>
    </row>
    <row r="39" spans="1:11" ht="12.75" customHeight="1" x14ac:dyDescent="0.2">
      <c r="A39" s="1482" t="s">
        <v>594</v>
      </c>
      <c r="B39" s="549">
        <v>1354</v>
      </c>
      <c r="C39" s="477">
        <v>0</v>
      </c>
      <c r="D39" s="468"/>
      <c r="E39" s="468"/>
      <c r="F39" s="468"/>
      <c r="G39" s="468"/>
      <c r="H39" s="468"/>
      <c r="I39" s="468"/>
      <c r="J39" s="468"/>
      <c r="K39" s="468"/>
    </row>
    <row r="40" spans="1:11" ht="12.75" customHeight="1" thickBot="1" x14ac:dyDescent="0.25">
      <c r="A40" s="1695" t="s">
        <v>538</v>
      </c>
      <c r="B40" s="1696"/>
      <c r="C40" s="1675">
        <f>SUM(C20:C39)</f>
        <v>19150</v>
      </c>
      <c r="D40" s="468"/>
      <c r="E40" s="468"/>
      <c r="F40" s="468"/>
      <c r="G40" s="468"/>
      <c r="H40" s="468"/>
      <c r="I40" s="468"/>
      <c r="J40" s="468"/>
      <c r="K40" s="468"/>
    </row>
    <row r="41" spans="1:11" ht="15.75" customHeight="1" thickTop="1" x14ac:dyDescent="0.2">
      <c r="A41" s="1579" t="s">
        <v>274</v>
      </c>
      <c r="B41" s="1580">
        <v>1400</v>
      </c>
      <c r="C41" s="468"/>
      <c r="D41" s="468"/>
      <c r="E41" s="468"/>
      <c r="F41" s="516"/>
      <c r="G41" s="468"/>
      <c r="H41" s="468"/>
      <c r="I41" s="468"/>
      <c r="J41" s="468"/>
      <c r="K41" s="468"/>
    </row>
    <row r="42" spans="1:11" ht="12.75" customHeight="1" x14ac:dyDescent="0.2">
      <c r="A42" s="463" t="s">
        <v>1076</v>
      </c>
      <c r="B42" s="470">
        <v>1411</v>
      </c>
      <c r="C42" s="468"/>
      <c r="D42" s="468"/>
      <c r="E42" s="468"/>
      <c r="F42" s="477">
        <v>0</v>
      </c>
      <c r="G42" s="468"/>
      <c r="H42" s="468"/>
      <c r="I42" s="468"/>
      <c r="J42" s="468"/>
      <c r="K42" s="468"/>
    </row>
    <row r="43" spans="1:11" ht="12.75" customHeight="1" x14ac:dyDescent="0.2">
      <c r="A43" s="463" t="s">
        <v>837</v>
      </c>
      <c r="B43" s="470">
        <v>1412</v>
      </c>
      <c r="C43" s="468"/>
      <c r="D43" s="468"/>
      <c r="E43" s="468"/>
      <c r="F43" s="477">
        <v>0</v>
      </c>
      <c r="G43" s="468"/>
      <c r="H43" s="468"/>
      <c r="I43" s="468"/>
      <c r="J43" s="468"/>
      <c r="K43" s="468"/>
    </row>
    <row r="44" spans="1:11" ht="12.75" customHeight="1" x14ac:dyDescent="0.2">
      <c r="A44" s="463" t="s">
        <v>384</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1174</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838</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83" t="s">
        <v>60</v>
      </c>
      <c r="B51" s="550">
        <v>1431</v>
      </c>
      <c r="C51" s="468"/>
      <c r="D51" s="468"/>
      <c r="E51" s="468"/>
      <c r="F51" s="477">
        <v>0</v>
      </c>
      <c r="G51" s="468"/>
      <c r="H51" s="468"/>
      <c r="I51" s="468"/>
      <c r="J51" s="468"/>
      <c r="K51" s="468"/>
    </row>
    <row r="52" spans="1:11" ht="12.75" customHeight="1" x14ac:dyDescent="0.2">
      <c r="A52" s="1483" t="s">
        <v>1106</v>
      </c>
      <c r="B52" s="550">
        <v>1432</v>
      </c>
      <c r="C52" s="468"/>
      <c r="D52" s="468"/>
      <c r="E52" s="468"/>
      <c r="F52" s="477">
        <v>0</v>
      </c>
      <c r="G52" s="468"/>
      <c r="H52" s="468"/>
      <c r="I52" s="468"/>
      <c r="J52" s="468"/>
      <c r="K52" s="468"/>
    </row>
    <row r="53" spans="1:11" ht="12.75" customHeight="1" x14ac:dyDescent="0.2">
      <c r="A53" s="1483" t="s">
        <v>61</v>
      </c>
      <c r="B53" s="550">
        <v>1433</v>
      </c>
      <c r="C53" s="468"/>
      <c r="D53" s="468"/>
      <c r="E53" s="468"/>
      <c r="F53" s="477">
        <v>0</v>
      </c>
      <c r="G53" s="468"/>
      <c r="H53" s="468"/>
      <c r="I53" s="468"/>
      <c r="J53" s="468"/>
      <c r="K53" s="468"/>
    </row>
    <row r="54" spans="1:11" ht="12.75" customHeight="1" x14ac:dyDescent="0.2">
      <c r="A54" s="1483" t="s">
        <v>62</v>
      </c>
      <c r="B54" s="550">
        <v>1434</v>
      </c>
      <c r="C54" s="468"/>
      <c r="D54" s="468"/>
      <c r="E54" s="468"/>
      <c r="F54" s="477">
        <v>0</v>
      </c>
      <c r="G54" s="468"/>
      <c r="H54" s="468"/>
      <c r="I54" s="468"/>
      <c r="J54" s="468"/>
      <c r="K54" s="468"/>
    </row>
    <row r="55" spans="1:11" ht="12.75" customHeight="1" x14ac:dyDescent="0.2">
      <c r="A55" s="1483" t="s">
        <v>63</v>
      </c>
      <c r="B55" s="550">
        <v>1441</v>
      </c>
      <c r="C55" s="468"/>
      <c r="D55" s="468"/>
      <c r="E55" s="468"/>
      <c r="F55" s="477">
        <v>0</v>
      </c>
      <c r="G55" s="468"/>
      <c r="H55" s="468"/>
      <c r="I55" s="468"/>
      <c r="J55" s="468"/>
      <c r="K55" s="468"/>
    </row>
    <row r="56" spans="1:11" ht="12.75" customHeight="1" x14ac:dyDescent="0.2">
      <c r="A56" s="1483" t="s">
        <v>1107</v>
      </c>
      <c r="B56" s="550">
        <v>1442</v>
      </c>
      <c r="C56" s="468"/>
      <c r="D56" s="468"/>
      <c r="E56" s="468"/>
      <c r="F56" s="477">
        <v>0</v>
      </c>
      <c r="G56" s="468"/>
      <c r="H56" s="468"/>
      <c r="I56" s="468"/>
      <c r="J56" s="468"/>
      <c r="K56" s="468"/>
    </row>
    <row r="57" spans="1:11" ht="12.75" customHeight="1" x14ac:dyDescent="0.2">
      <c r="A57" s="1483" t="s">
        <v>489</v>
      </c>
      <c r="B57" s="550">
        <v>1443</v>
      </c>
      <c r="C57" s="468"/>
      <c r="D57" s="468"/>
      <c r="E57" s="468"/>
      <c r="F57" s="477">
        <v>0</v>
      </c>
      <c r="G57" s="468"/>
      <c r="H57" s="468"/>
      <c r="I57" s="468"/>
      <c r="J57" s="468"/>
      <c r="K57" s="468"/>
    </row>
    <row r="58" spans="1:11" ht="12.75" customHeight="1" x14ac:dyDescent="0.2">
      <c r="A58" s="1483" t="s">
        <v>65</v>
      </c>
      <c r="B58" s="550">
        <v>1444</v>
      </c>
      <c r="C58" s="468"/>
      <c r="D58" s="468"/>
      <c r="E58" s="468"/>
      <c r="F58" s="477">
        <v>0</v>
      </c>
      <c r="G58" s="468"/>
      <c r="H58" s="468"/>
      <c r="I58" s="468"/>
      <c r="J58" s="468"/>
      <c r="K58" s="468"/>
    </row>
    <row r="59" spans="1:11" ht="12.75" customHeight="1" x14ac:dyDescent="0.2">
      <c r="A59" s="1483" t="s">
        <v>878</v>
      </c>
      <c r="B59" s="550">
        <v>1451</v>
      </c>
      <c r="C59" s="468"/>
      <c r="D59" s="468"/>
      <c r="E59" s="468"/>
      <c r="F59" s="477">
        <v>0</v>
      </c>
      <c r="G59" s="468"/>
      <c r="H59" s="468"/>
      <c r="I59" s="468"/>
      <c r="J59" s="468"/>
      <c r="K59" s="468"/>
    </row>
    <row r="60" spans="1:11" ht="12.75" customHeight="1" x14ac:dyDescent="0.2">
      <c r="A60" s="1483" t="s">
        <v>1108</v>
      </c>
      <c r="B60" s="550">
        <v>1452</v>
      </c>
      <c r="C60" s="468"/>
      <c r="D60" s="468"/>
      <c r="E60" s="468"/>
      <c r="F60" s="477">
        <v>0</v>
      </c>
      <c r="G60" s="468"/>
      <c r="H60" s="468"/>
      <c r="I60" s="468"/>
      <c r="J60" s="468"/>
      <c r="K60" s="468"/>
    </row>
    <row r="61" spans="1:11" ht="12.75" customHeight="1" x14ac:dyDescent="0.2">
      <c r="A61" s="555" t="s">
        <v>879</v>
      </c>
      <c r="B61" s="550">
        <v>1453</v>
      </c>
      <c r="C61" s="468"/>
      <c r="D61" s="468"/>
      <c r="E61" s="468"/>
      <c r="F61" s="477">
        <v>0</v>
      </c>
      <c r="G61" s="468"/>
      <c r="H61" s="468"/>
      <c r="I61" s="468"/>
      <c r="J61" s="468"/>
      <c r="K61" s="468"/>
    </row>
    <row r="62" spans="1:11" ht="12.75" customHeight="1" x14ac:dyDescent="0.2">
      <c r="A62" s="1484" t="s">
        <v>880</v>
      </c>
      <c r="B62" s="551">
        <v>1454</v>
      </c>
      <c r="C62" s="468"/>
      <c r="D62" s="468"/>
      <c r="E62" s="468"/>
      <c r="F62" s="477">
        <v>0</v>
      </c>
      <c r="G62" s="468"/>
      <c r="H62" s="468"/>
      <c r="I62" s="468"/>
      <c r="J62" s="468"/>
      <c r="K62" s="468"/>
    </row>
    <row r="63" spans="1:11" ht="12.75" customHeight="1" thickBot="1" x14ac:dyDescent="0.25">
      <c r="A63" s="1695" t="s">
        <v>485</v>
      </c>
      <c r="B63" s="1696"/>
      <c r="C63" s="468"/>
      <c r="D63" s="468"/>
      <c r="E63" s="468"/>
      <c r="F63" s="1675">
        <f>SUM(F42:F62)</f>
        <v>0</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77">
        <v>284246</v>
      </c>
      <c r="D65" s="477">
        <v>42979</v>
      </c>
      <c r="E65" s="477">
        <v>5209</v>
      </c>
      <c r="F65" s="477">
        <v>13952</v>
      </c>
      <c r="G65" s="477">
        <v>14099</v>
      </c>
      <c r="H65" s="477">
        <v>2678</v>
      </c>
      <c r="I65" s="477">
        <v>85065</v>
      </c>
      <c r="J65" s="477">
        <v>0</v>
      </c>
      <c r="K65" s="477">
        <v>3</v>
      </c>
    </row>
    <row r="66" spans="1:11" ht="12.75" customHeight="1" x14ac:dyDescent="0.2">
      <c r="A66" s="463" t="s">
        <v>679</v>
      </c>
      <c r="B66" s="470">
        <v>1520</v>
      </c>
      <c r="C66" s="477">
        <v>0</v>
      </c>
      <c r="D66" s="477">
        <v>0</v>
      </c>
      <c r="E66" s="477">
        <v>0</v>
      </c>
      <c r="F66" s="477">
        <v>0</v>
      </c>
      <c r="G66" s="477">
        <v>0</v>
      </c>
      <c r="H66" s="477">
        <v>0</v>
      </c>
      <c r="I66" s="477">
        <v>0</v>
      </c>
      <c r="J66" s="477">
        <v>0</v>
      </c>
      <c r="K66" s="477">
        <v>0</v>
      </c>
    </row>
    <row r="67" spans="1:11" ht="12.75" customHeight="1" thickBot="1" x14ac:dyDescent="0.25">
      <c r="A67" s="1695" t="s">
        <v>486</v>
      </c>
      <c r="B67" s="1696"/>
      <c r="C67" s="1675">
        <f>SUM(C65:C66)</f>
        <v>284246</v>
      </c>
      <c r="D67" s="1675">
        <f t="shared" ref="D67:K67" si="2">SUM(D65:D66)</f>
        <v>42979</v>
      </c>
      <c r="E67" s="1675">
        <f t="shared" si="2"/>
        <v>5209</v>
      </c>
      <c r="F67" s="1675">
        <f t="shared" si="2"/>
        <v>13952</v>
      </c>
      <c r="G67" s="1675">
        <f t="shared" si="2"/>
        <v>14099</v>
      </c>
      <c r="H67" s="1675">
        <f t="shared" si="2"/>
        <v>2678</v>
      </c>
      <c r="I67" s="1675">
        <f t="shared" si="2"/>
        <v>85065</v>
      </c>
      <c r="J67" s="1675">
        <f t="shared" si="2"/>
        <v>0</v>
      </c>
      <c r="K67" s="1675">
        <f t="shared" si="2"/>
        <v>3</v>
      </c>
    </row>
    <row r="68" spans="1:11" ht="15.75" customHeight="1" thickTop="1" x14ac:dyDescent="0.2">
      <c r="A68" s="1579" t="s">
        <v>455</v>
      </c>
      <c r="B68" s="1581">
        <v>1600</v>
      </c>
      <c r="C68" s="546"/>
      <c r="D68" s="468"/>
      <c r="E68" s="468"/>
      <c r="F68" s="468"/>
      <c r="G68" s="468"/>
      <c r="H68" s="468"/>
      <c r="I68" s="468"/>
      <c r="J68" s="468"/>
      <c r="K68" s="468"/>
    </row>
    <row r="69" spans="1:11" ht="12.75" customHeight="1" x14ac:dyDescent="0.2">
      <c r="A69" s="463" t="s">
        <v>666</v>
      </c>
      <c r="B69" s="470">
        <v>1611</v>
      </c>
      <c r="C69" s="477">
        <v>216821</v>
      </c>
      <c r="D69" s="468"/>
      <c r="E69" s="468"/>
      <c r="F69" s="468"/>
      <c r="G69" s="468"/>
      <c r="H69" s="468"/>
      <c r="I69" s="468"/>
      <c r="J69" s="468"/>
      <c r="K69" s="468"/>
    </row>
    <row r="70" spans="1:11" ht="12.75" customHeight="1" x14ac:dyDescent="0.2">
      <c r="A70" s="463" t="s">
        <v>997</v>
      </c>
      <c r="B70" s="470">
        <v>1612</v>
      </c>
      <c r="C70" s="477">
        <v>0</v>
      </c>
      <c r="D70" s="468"/>
      <c r="E70" s="468"/>
      <c r="F70" s="468"/>
      <c r="G70" s="468"/>
      <c r="H70" s="468"/>
      <c r="I70" s="468"/>
      <c r="J70" s="468"/>
      <c r="K70" s="468"/>
    </row>
    <row r="71" spans="1:11" ht="12.75" customHeight="1" x14ac:dyDescent="0.2">
      <c r="A71" s="463" t="s">
        <v>273</v>
      </c>
      <c r="B71" s="470">
        <v>1613</v>
      </c>
      <c r="C71" s="477">
        <v>0</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998</v>
      </c>
      <c r="B73" s="470">
        <v>1620</v>
      </c>
      <c r="C73" s="477">
        <v>15058</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95" t="s">
        <v>548</v>
      </c>
      <c r="B75" s="1696"/>
      <c r="C75" s="1675">
        <f>SUM(C69:C74)</f>
        <v>231879</v>
      </c>
      <c r="D75" s="468"/>
      <c r="E75" s="468"/>
      <c r="F75" s="468"/>
      <c r="G75" s="468"/>
      <c r="H75" s="468"/>
      <c r="I75" s="468"/>
      <c r="J75" s="468"/>
      <c r="K75" s="468"/>
    </row>
    <row r="76" spans="1:11" ht="15.75" customHeight="1" thickTop="1" x14ac:dyDescent="0.2">
      <c r="A76" s="1579" t="s">
        <v>881</v>
      </c>
      <c r="B76" s="1581">
        <v>1700</v>
      </c>
      <c r="C76" s="546"/>
      <c r="D76" s="468"/>
      <c r="E76" s="468"/>
      <c r="F76" s="468"/>
      <c r="G76" s="468"/>
      <c r="H76" s="468"/>
      <c r="I76" s="468"/>
      <c r="J76" s="468"/>
      <c r="K76" s="468"/>
    </row>
    <row r="77" spans="1:11" ht="12.75" customHeight="1" x14ac:dyDescent="0.2">
      <c r="A77" s="463" t="s">
        <v>549</v>
      </c>
      <c r="B77" s="470">
        <v>1711</v>
      </c>
      <c r="C77" s="477">
        <v>16315</v>
      </c>
      <c r="D77" s="477">
        <v>0</v>
      </c>
      <c r="E77" s="468"/>
      <c r="F77" s="468"/>
      <c r="G77" s="468"/>
      <c r="H77" s="468"/>
      <c r="I77" s="468"/>
      <c r="J77" s="468"/>
      <c r="K77" s="468"/>
    </row>
    <row r="78" spans="1:11" ht="12.75" customHeight="1" x14ac:dyDescent="0.2">
      <c r="A78" s="463" t="s">
        <v>76</v>
      </c>
      <c r="B78" s="470">
        <v>1719</v>
      </c>
      <c r="C78" s="477">
        <v>4431</v>
      </c>
      <c r="D78" s="477">
        <v>0</v>
      </c>
      <c r="E78" s="468"/>
      <c r="F78" s="468"/>
      <c r="G78" s="468"/>
      <c r="H78" s="468"/>
      <c r="I78" s="468"/>
      <c r="J78" s="468"/>
      <c r="K78" s="468"/>
    </row>
    <row r="79" spans="1:11" ht="12.75" customHeight="1" x14ac:dyDescent="0.2">
      <c r="A79" s="463" t="s">
        <v>550</v>
      </c>
      <c r="B79" s="470">
        <v>1720</v>
      </c>
      <c r="C79" s="477">
        <v>266915</v>
      </c>
      <c r="D79" s="477">
        <v>0</v>
      </c>
      <c r="E79" s="468"/>
      <c r="F79" s="468"/>
      <c r="G79" s="468"/>
      <c r="H79" s="468"/>
      <c r="I79" s="468"/>
      <c r="J79" s="468"/>
      <c r="K79" s="468"/>
    </row>
    <row r="80" spans="1:11" ht="12.75" customHeight="1" x14ac:dyDescent="0.2">
      <c r="A80" s="463" t="s">
        <v>551</v>
      </c>
      <c r="B80" s="470">
        <v>1730</v>
      </c>
      <c r="C80" s="477">
        <v>24827</v>
      </c>
      <c r="D80" s="477">
        <v>0</v>
      </c>
      <c r="E80" s="468"/>
      <c r="F80" s="468"/>
      <c r="G80" s="468"/>
      <c r="H80" s="468"/>
      <c r="I80" s="468"/>
      <c r="J80" s="468"/>
      <c r="K80" s="468"/>
    </row>
    <row r="81" spans="1:11" ht="12.75" customHeight="1" x14ac:dyDescent="0.2">
      <c r="A81" s="463" t="s">
        <v>26</v>
      </c>
      <c r="B81" s="470">
        <v>1790</v>
      </c>
      <c r="C81" s="477">
        <v>28504</v>
      </c>
      <c r="D81" s="477">
        <v>0</v>
      </c>
      <c r="E81" s="468"/>
      <c r="F81" s="468"/>
      <c r="G81" s="468"/>
      <c r="H81" s="468"/>
      <c r="I81" s="468"/>
      <c r="J81" s="468"/>
      <c r="K81" s="468"/>
    </row>
    <row r="82" spans="1:11" ht="12.75" customHeight="1" thickBot="1" x14ac:dyDescent="0.25">
      <c r="A82" s="1695" t="s">
        <v>241</v>
      </c>
      <c r="B82" s="1696"/>
      <c r="C82" s="1694">
        <f>SUM(C77:C81)</f>
        <v>340992</v>
      </c>
      <c r="D82" s="1675">
        <f>SUM(D77:D81)</f>
        <v>0</v>
      </c>
      <c r="E82" s="468"/>
      <c r="F82" s="468"/>
      <c r="G82" s="468"/>
      <c r="H82" s="468"/>
      <c r="I82" s="468"/>
      <c r="J82" s="468"/>
      <c r="K82" s="468"/>
    </row>
    <row r="83" spans="1:11" ht="15.75" customHeight="1" thickTop="1" x14ac:dyDescent="0.2">
      <c r="A83" s="1579" t="s">
        <v>242</v>
      </c>
      <c r="B83" s="1581">
        <v>1800</v>
      </c>
      <c r="C83" s="546"/>
      <c r="D83" s="468"/>
      <c r="E83" s="468"/>
      <c r="F83" s="468"/>
      <c r="G83" s="468"/>
      <c r="H83" s="468"/>
      <c r="I83" s="468"/>
      <c r="J83" s="468"/>
      <c r="K83" s="468"/>
    </row>
    <row r="84" spans="1:11" ht="12.75" customHeight="1" x14ac:dyDescent="0.2">
      <c r="A84" s="463" t="s">
        <v>552</v>
      </c>
      <c r="B84" s="470">
        <v>1811</v>
      </c>
      <c r="C84" s="477">
        <v>2624</v>
      </c>
      <c r="D84" s="468"/>
      <c r="E84" s="468"/>
      <c r="F84" s="468"/>
      <c r="G84" s="468"/>
      <c r="H84" s="468"/>
      <c r="I84" s="468"/>
      <c r="J84" s="468"/>
      <c r="K84" s="468"/>
    </row>
    <row r="85" spans="1:11" ht="12.75" customHeight="1" x14ac:dyDescent="0.2">
      <c r="A85" s="463" t="s">
        <v>553</v>
      </c>
      <c r="B85" s="470">
        <v>1812</v>
      </c>
      <c r="C85" s="477">
        <v>0</v>
      </c>
      <c r="D85" s="468"/>
      <c r="E85" s="468"/>
      <c r="F85" s="468"/>
      <c r="G85" s="468"/>
      <c r="H85" s="468"/>
      <c r="I85" s="468"/>
      <c r="J85" s="468"/>
      <c r="K85" s="468"/>
    </row>
    <row r="86" spans="1:11" ht="12.75" customHeight="1" x14ac:dyDescent="0.2">
      <c r="A86" s="463" t="s">
        <v>999</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554</v>
      </c>
      <c r="B88" s="470">
        <v>1821</v>
      </c>
      <c r="C88" s="477">
        <v>0</v>
      </c>
      <c r="D88" s="468"/>
      <c r="E88" s="468"/>
      <c r="F88" s="468"/>
      <c r="G88" s="468"/>
      <c r="H88" s="468"/>
      <c r="I88" s="468"/>
      <c r="J88" s="468"/>
      <c r="K88" s="468"/>
    </row>
    <row r="89" spans="1:11" ht="12.75" customHeight="1" x14ac:dyDescent="0.2">
      <c r="A89" s="463" t="s">
        <v>714</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762</v>
      </c>
      <c r="B92" s="470">
        <v>1890</v>
      </c>
      <c r="C92" s="477">
        <v>0</v>
      </c>
      <c r="D92" s="468"/>
      <c r="E92" s="468"/>
      <c r="F92" s="468"/>
      <c r="G92" s="468"/>
      <c r="H92" s="468"/>
      <c r="I92" s="468"/>
      <c r="J92" s="468"/>
      <c r="K92" s="468"/>
    </row>
    <row r="93" spans="1:11" ht="12.75" customHeight="1" thickBot="1" x14ac:dyDescent="0.25">
      <c r="A93" s="1695" t="s">
        <v>243</v>
      </c>
      <c r="B93" s="1696"/>
      <c r="C93" s="1675">
        <f>SUM(C84:C92)</f>
        <v>2624</v>
      </c>
      <c r="D93" s="468"/>
      <c r="E93" s="468"/>
      <c r="F93" s="468"/>
      <c r="G93" s="468"/>
      <c r="H93" s="468"/>
      <c r="I93" s="468"/>
      <c r="J93" s="468"/>
      <c r="K93" s="468"/>
    </row>
    <row r="94" spans="1:11" ht="15.75" customHeight="1" thickTop="1" x14ac:dyDescent="0.2">
      <c r="A94" s="1579" t="s">
        <v>1137</v>
      </c>
      <c r="B94" s="1581">
        <v>1900</v>
      </c>
      <c r="C94" s="546"/>
      <c r="D94" s="516"/>
      <c r="E94" s="468"/>
      <c r="F94" s="468"/>
      <c r="G94" s="468"/>
      <c r="H94" s="468"/>
      <c r="I94" s="468"/>
      <c r="J94" s="468"/>
      <c r="K94" s="468"/>
    </row>
    <row r="95" spans="1:11" ht="12.75" customHeight="1" x14ac:dyDescent="0.2">
      <c r="A95" s="463" t="s">
        <v>1064</v>
      </c>
      <c r="B95" s="470">
        <v>1910</v>
      </c>
      <c r="C95" s="477">
        <v>0</v>
      </c>
      <c r="D95" s="477">
        <v>15462</v>
      </c>
      <c r="E95" s="516"/>
      <c r="F95" s="516"/>
      <c r="G95" s="516"/>
      <c r="H95" s="516"/>
      <c r="I95" s="516"/>
      <c r="J95" s="516"/>
      <c r="K95" s="516"/>
    </row>
    <row r="96" spans="1:11" ht="12.75" customHeight="1" x14ac:dyDescent="0.2">
      <c r="A96" s="463" t="s">
        <v>391</v>
      </c>
      <c r="B96" s="470">
        <v>1920</v>
      </c>
      <c r="C96" s="477">
        <v>0</v>
      </c>
      <c r="D96" s="477">
        <v>0</v>
      </c>
      <c r="E96" s="477">
        <v>0</v>
      </c>
      <c r="F96" s="477">
        <v>0</v>
      </c>
      <c r="G96" s="477">
        <v>0</v>
      </c>
      <c r="H96" s="477">
        <v>0</v>
      </c>
      <c r="I96" s="477">
        <v>0</v>
      </c>
      <c r="J96" s="477">
        <v>0</v>
      </c>
      <c r="K96" s="477">
        <v>0</v>
      </c>
    </row>
    <row r="97" spans="1:12" ht="12.75" customHeight="1" x14ac:dyDescent="0.2">
      <c r="A97" s="1482"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821</v>
      </c>
      <c r="B99" s="470">
        <v>1950</v>
      </c>
      <c r="C99" s="477">
        <v>339281</v>
      </c>
      <c r="D99" s="477">
        <v>0</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44209</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345</v>
      </c>
      <c r="B103" s="470">
        <v>1983</v>
      </c>
      <c r="C103" s="468"/>
      <c r="D103" s="468"/>
      <c r="E103" s="477">
        <v>0</v>
      </c>
      <c r="F103" s="468"/>
      <c r="G103" s="468"/>
      <c r="H103" s="477">
        <v>0</v>
      </c>
      <c r="I103" s="468"/>
      <c r="J103" s="505"/>
      <c r="K103" s="505"/>
    </row>
    <row r="104" spans="1:12" ht="12.75" customHeight="1" x14ac:dyDescent="0.2">
      <c r="A104" s="463" t="s">
        <v>830</v>
      </c>
      <c r="B104" s="470">
        <v>1991</v>
      </c>
      <c r="C104" s="477">
        <v>0</v>
      </c>
      <c r="D104" s="477">
        <v>0</v>
      </c>
      <c r="E104" s="477">
        <v>0</v>
      </c>
      <c r="F104" s="477">
        <v>0</v>
      </c>
      <c r="G104" s="477">
        <v>0</v>
      </c>
      <c r="H104" s="477">
        <v>0</v>
      </c>
      <c r="I104" s="468"/>
      <c r="J104" s="468"/>
      <c r="K104" s="468"/>
    </row>
    <row r="105" spans="1:12" ht="12.75" customHeight="1" x14ac:dyDescent="0.2">
      <c r="A105" s="463" t="s">
        <v>822</v>
      </c>
      <c r="B105" s="470">
        <v>1992</v>
      </c>
      <c r="C105" s="477">
        <v>0</v>
      </c>
      <c r="D105" s="553"/>
      <c r="E105" s="468"/>
      <c r="F105" s="468"/>
      <c r="G105" s="468"/>
      <c r="H105" s="505"/>
      <c r="I105" s="468"/>
      <c r="J105" s="468"/>
      <c r="K105" s="468"/>
    </row>
    <row r="106" spans="1:12" ht="12.75" customHeight="1" x14ac:dyDescent="0.2">
      <c r="A106" s="463" t="s">
        <v>1430</v>
      </c>
      <c r="B106" s="470">
        <v>1993</v>
      </c>
      <c r="C106" s="477">
        <v>0</v>
      </c>
      <c r="D106" s="477">
        <v>0</v>
      </c>
      <c r="E106" s="477">
        <v>0</v>
      </c>
      <c r="F106" s="477">
        <v>0</v>
      </c>
      <c r="G106" s="477">
        <v>0</v>
      </c>
      <c r="H106" s="477">
        <v>0</v>
      </c>
      <c r="I106" s="516"/>
      <c r="J106" s="477">
        <v>0</v>
      </c>
      <c r="K106" s="477">
        <v>0</v>
      </c>
    </row>
    <row r="107" spans="1:12" ht="12.75" customHeight="1" x14ac:dyDescent="0.2">
      <c r="A107" s="463" t="s">
        <v>78</v>
      </c>
      <c r="B107" s="470">
        <v>1999</v>
      </c>
      <c r="C107" s="477">
        <v>189089</v>
      </c>
      <c r="D107" s="477">
        <v>46699</v>
      </c>
      <c r="E107" s="477">
        <v>0</v>
      </c>
      <c r="F107" s="477">
        <v>27575</v>
      </c>
      <c r="G107" s="477">
        <v>0</v>
      </c>
      <c r="H107" s="477">
        <v>0</v>
      </c>
      <c r="I107" s="477">
        <v>0</v>
      </c>
      <c r="J107" s="477">
        <v>0</v>
      </c>
      <c r="K107" s="477">
        <v>0</v>
      </c>
    </row>
    <row r="108" spans="1:12" ht="12.75" customHeight="1" thickBot="1" x14ac:dyDescent="0.25">
      <c r="A108" s="1695" t="s">
        <v>487</v>
      </c>
      <c r="B108" s="1699"/>
      <c r="C108" s="1694">
        <f>SUM(C95:C107)</f>
        <v>572579</v>
      </c>
      <c r="D108" s="1694">
        <f t="shared" ref="D108:K108" si="3">SUM(D95:D107)</f>
        <v>62161</v>
      </c>
      <c r="E108" s="1694">
        <f t="shared" si="3"/>
        <v>0</v>
      </c>
      <c r="F108" s="1694">
        <f t="shared" si="3"/>
        <v>27575</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23315160</v>
      </c>
      <c r="D109" s="1702">
        <f t="shared" si="4"/>
        <v>2379882</v>
      </c>
      <c r="E109" s="1702">
        <f t="shared" si="4"/>
        <v>723549</v>
      </c>
      <c r="F109" s="1702">
        <f t="shared" si="4"/>
        <v>681693</v>
      </c>
      <c r="G109" s="1702">
        <f t="shared" si="4"/>
        <v>1030275</v>
      </c>
      <c r="H109" s="1702">
        <f t="shared" si="4"/>
        <v>2678</v>
      </c>
      <c r="I109" s="1702">
        <f t="shared" si="4"/>
        <v>85065</v>
      </c>
      <c r="J109" s="1702">
        <f t="shared" si="4"/>
        <v>0</v>
      </c>
      <c r="K109" s="1689">
        <f t="shared" si="4"/>
        <v>3</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88" t="s">
        <v>823</v>
      </c>
      <c r="B111" s="486">
        <v>2100</v>
      </c>
      <c r="C111" s="477">
        <v>0</v>
      </c>
      <c r="D111" s="477">
        <v>0</v>
      </c>
      <c r="E111" s="553"/>
      <c r="F111" s="477">
        <v>0</v>
      </c>
      <c r="G111" s="477">
        <v>0</v>
      </c>
      <c r="H111" s="553"/>
      <c r="I111" s="468"/>
      <c r="J111" s="468"/>
      <c r="K111" s="468"/>
    </row>
    <row r="112" spans="1:12" ht="12.75" customHeight="1" x14ac:dyDescent="0.2">
      <c r="A112" s="463" t="s">
        <v>824</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703" t="s">
        <v>806</v>
      </c>
      <c r="B114" s="1704" t="s">
        <v>569</v>
      </c>
      <c r="C114" s="1705">
        <f>SUM(C111:C113)</f>
        <v>0</v>
      </c>
      <c r="D114" s="1705">
        <f>SUM(D111:D113)</f>
        <v>0</v>
      </c>
      <c r="E114" s="553" t="s">
        <v>1169</v>
      </c>
      <c r="F114" s="1705">
        <f>SUM(F111:F113)</f>
        <v>0</v>
      </c>
      <c r="G114" s="1705">
        <f>SUM(G111:G113)</f>
        <v>0</v>
      </c>
      <c r="H114" s="553"/>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7"/>
      <c r="D116" s="516"/>
      <c r="E116" s="553"/>
      <c r="F116" s="516"/>
      <c r="G116" s="516"/>
      <c r="H116" s="553"/>
      <c r="I116" s="468"/>
      <c r="J116" s="516"/>
      <c r="K116" s="516"/>
    </row>
    <row r="117" spans="1:11" ht="12.75" customHeight="1" x14ac:dyDescent="0.2">
      <c r="A117" s="463" t="s">
        <v>1667</v>
      </c>
      <c r="B117" s="554">
        <v>3001</v>
      </c>
      <c r="C117" s="477">
        <v>1845393</v>
      </c>
      <c r="D117" s="477">
        <v>0</v>
      </c>
      <c r="E117" s="477">
        <v>0</v>
      </c>
      <c r="F117" s="477">
        <v>0</v>
      </c>
      <c r="G117" s="477">
        <v>0</v>
      </c>
      <c r="H117" s="477">
        <v>0</v>
      </c>
      <c r="I117" s="468"/>
      <c r="J117" s="477">
        <v>0</v>
      </c>
      <c r="K117" s="477">
        <v>0</v>
      </c>
    </row>
    <row r="118" spans="1:11" ht="12.75" customHeight="1" x14ac:dyDescent="0.2">
      <c r="A118" s="463" t="s">
        <v>1796</v>
      </c>
      <c r="B118" s="554">
        <v>3002</v>
      </c>
      <c r="C118" s="477">
        <v>0</v>
      </c>
      <c r="D118" s="477">
        <v>0</v>
      </c>
      <c r="E118" s="477">
        <v>0</v>
      </c>
      <c r="F118" s="477">
        <v>0</v>
      </c>
      <c r="G118" s="477">
        <v>0</v>
      </c>
      <c r="H118" s="477">
        <v>0</v>
      </c>
      <c r="I118" s="468"/>
      <c r="J118" s="477">
        <v>0</v>
      </c>
      <c r="K118" s="477">
        <v>0</v>
      </c>
    </row>
    <row r="119" spans="1:11" ht="12.75" customHeight="1" x14ac:dyDescent="0.2">
      <c r="A119" s="463" t="s">
        <v>1797</v>
      </c>
      <c r="B119" s="554">
        <v>3005</v>
      </c>
      <c r="C119" s="477">
        <v>0</v>
      </c>
      <c r="D119" s="477">
        <v>0</v>
      </c>
      <c r="E119" s="477">
        <v>0</v>
      </c>
      <c r="F119" s="477">
        <v>0</v>
      </c>
      <c r="G119" s="477">
        <v>0</v>
      </c>
      <c r="H119" s="477">
        <v>0</v>
      </c>
      <c r="I119" s="468"/>
      <c r="J119" s="477">
        <v>0</v>
      </c>
      <c r="K119" s="477">
        <v>0</v>
      </c>
    </row>
    <row r="120" spans="1:11" ht="12.75" customHeight="1" x14ac:dyDescent="0.2">
      <c r="A120" s="1917" t="s">
        <v>1933</v>
      </c>
      <c r="B120" s="554">
        <v>3030</v>
      </c>
      <c r="C120" s="477">
        <v>0</v>
      </c>
      <c r="D120" s="477">
        <v>0</v>
      </c>
      <c r="E120" s="477">
        <v>0</v>
      </c>
      <c r="F120" s="477">
        <v>0</v>
      </c>
      <c r="G120" s="477">
        <v>0</v>
      </c>
      <c r="H120" s="477">
        <v>0</v>
      </c>
      <c r="I120" s="468"/>
      <c r="J120" s="477">
        <v>0</v>
      </c>
      <c r="K120" s="477">
        <v>0</v>
      </c>
    </row>
    <row r="121" spans="1:11" x14ac:dyDescent="0.2">
      <c r="A121" s="1483" t="s">
        <v>1798</v>
      </c>
      <c r="B121" s="556">
        <v>3099</v>
      </c>
      <c r="C121" s="477">
        <v>0</v>
      </c>
      <c r="D121" s="477">
        <v>0</v>
      </c>
      <c r="E121" s="477">
        <v>0</v>
      </c>
      <c r="F121" s="477">
        <v>0</v>
      </c>
      <c r="G121" s="477">
        <v>0</v>
      </c>
      <c r="H121" s="477">
        <v>0</v>
      </c>
      <c r="I121" s="468"/>
      <c r="J121" s="477">
        <v>0</v>
      </c>
      <c r="K121" s="477">
        <v>0</v>
      </c>
    </row>
    <row r="122" spans="1:11" ht="12.6" customHeight="1" thickBot="1" x14ac:dyDescent="0.25">
      <c r="A122" s="1695" t="s">
        <v>488</v>
      </c>
      <c r="B122" s="1706"/>
      <c r="C122" s="1694">
        <f t="shared" ref="C122:H122" si="5">SUM(C117:C121)</f>
        <v>1845393</v>
      </c>
      <c r="D122" s="1694">
        <f t="shared" si="5"/>
        <v>0</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79" t="s">
        <v>1490</v>
      </c>
      <c r="B123" s="1584"/>
      <c r="C123" s="557"/>
      <c r="D123" s="504"/>
      <c r="E123" s="468"/>
      <c r="F123" s="558"/>
      <c r="G123" s="468"/>
      <c r="H123" s="468"/>
      <c r="I123" s="468"/>
      <c r="J123" s="468"/>
      <c r="K123" s="468"/>
    </row>
    <row r="124" spans="1:11" ht="15" customHeight="1" x14ac:dyDescent="0.2">
      <c r="A124" s="1585" t="s">
        <v>667</v>
      </c>
      <c r="B124" s="1586"/>
      <c r="C124" s="516"/>
      <c r="D124" s="504"/>
      <c r="E124" s="468"/>
      <c r="F124" s="516"/>
      <c r="G124" s="468"/>
      <c r="H124" s="468"/>
      <c r="I124" s="468"/>
      <c r="J124" s="468"/>
      <c r="K124" s="468"/>
    </row>
    <row r="125" spans="1:11" ht="12.75" customHeight="1" x14ac:dyDescent="0.2">
      <c r="A125" s="463" t="s">
        <v>866</v>
      </c>
      <c r="B125" s="559">
        <v>3100</v>
      </c>
      <c r="C125" s="477">
        <v>67435</v>
      </c>
      <c r="D125" s="553"/>
      <c r="E125" s="468"/>
      <c r="F125" s="477">
        <v>0</v>
      </c>
      <c r="G125" s="468"/>
      <c r="H125" s="468"/>
      <c r="I125" s="468"/>
      <c r="J125" s="468"/>
      <c r="K125" s="468"/>
    </row>
    <row r="126" spans="1:11" ht="12.75" customHeight="1" x14ac:dyDescent="0.2">
      <c r="A126" s="463" t="s">
        <v>1446</v>
      </c>
      <c r="B126" s="554">
        <v>3105</v>
      </c>
      <c r="C126" s="477">
        <v>0</v>
      </c>
      <c r="D126" s="553"/>
      <c r="E126" s="468"/>
      <c r="F126" s="477">
        <v>0</v>
      </c>
      <c r="G126" s="468"/>
      <c r="H126" s="468"/>
      <c r="I126" s="468"/>
      <c r="J126" s="468"/>
      <c r="K126" s="468"/>
    </row>
    <row r="127" spans="1:11" ht="12.75" customHeight="1" x14ac:dyDescent="0.2">
      <c r="A127" s="463" t="s">
        <v>867</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1447</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95" t="s">
        <v>1032</v>
      </c>
      <c r="B132" s="1707"/>
      <c r="C132" s="1694">
        <f>SUM(C125:C131)</f>
        <v>67435</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46"/>
      <c r="D133" s="546"/>
      <c r="E133" s="504"/>
      <c r="F133" s="546"/>
      <c r="G133" s="468"/>
      <c r="H133" s="468"/>
      <c r="I133" s="468"/>
      <c r="J133" s="468"/>
      <c r="K133" s="468"/>
    </row>
    <row r="134" spans="1:11" x14ac:dyDescent="0.2">
      <c r="A134" s="463" t="s">
        <v>599</v>
      </c>
      <c r="B134" s="554">
        <v>3200</v>
      </c>
      <c r="C134" s="477">
        <v>0</v>
      </c>
      <c r="D134" s="477">
        <v>0</v>
      </c>
      <c r="E134" s="553"/>
      <c r="F134" s="468"/>
      <c r="G134" s="477">
        <v>0</v>
      </c>
      <c r="H134" s="468"/>
      <c r="I134" s="468"/>
      <c r="J134" s="468"/>
      <c r="K134" s="468"/>
    </row>
    <row r="135" spans="1:11" ht="12.75" customHeight="1" x14ac:dyDescent="0.2">
      <c r="A135" s="463" t="s">
        <v>669</v>
      </c>
      <c r="B135" s="554">
        <v>3220</v>
      </c>
      <c r="C135" s="477">
        <v>33832</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600</v>
      </c>
      <c r="B137" s="554">
        <v>3235</v>
      </c>
      <c r="C137" s="477">
        <v>0</v>
      </c>
      <c r="D137" s="477">
        <v>0</v>
      </c>
      <c r="E137" s="553"/>
      <c r="F137" s="468"/>
      <c r="G137" s="477">
        <v>0</v>
      </c>
      <c r="H137" s="468"/>
      <c r="I137" s="468"/>
      <c r="J137" s="468"/>
      <c r="K137" s="468"/>
    </row>
    <row r="138" spans="1:11" ht="12.75" customHeight="1" x14ac:dyDescent="0.2">
      <c r="A138" s="463" t="s">
        <v>601</v>
      </c>
      <c r="B138" s="554">
        <v>3240</v>
      </c>
      <c r="C138" s="477">
        <v>0</v>
      </c>
      <c r="D138" s="477">
        <v>0</v>
      </c>
      <c r="E138" s="553"/>
      <c r="F138" s="468"/>
      <c r="G138" s="477">
        <v>0</v>
      </c>
      <c r="H138" s="468"/>
      <c r="I138" s="468"/>
      <c r="J138" s="468"/>
      <c r="K138" s="468"/>
    </row>
    <row r="139" spans="1:11" ht="12.75" customHeight="1" x14ac:dyDescent="0.2">
      <c r="A139" s="463" t="s">
        <v>602</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95" t="s">
        <v>603</v>
      </c>
      <c r="B141" s="1707"/>
      <c r="C141" s="1694">
        <f>SUM(C134:C140)</f>
        <v>33832</v>
      </c>
      <c r="D141" s="1694">
        <f>SUM(D134:D140)</f>
        <v>0</v>
      </c>
      <c r="E141" s="553" t="s">
        <v>1169</v>
      </c>
      <c r="F141" s="473"/>
      <c r="G141" s="1694">
        <f>SUM(G134:G140)</f>
        <v>0</v>
      </c>
      <c r="H141" s="468" t="s">
        <v>1169</v>
      </c>
      <c r="I141" s="468" t="s">
        <v>1169</v>
      </c>
      <c r="J141" s="468" t="s">
        <v>1169</v>
      </c>
      <c r="K141" s="468" t="s">
        <v>1169</v>
      </c>
    </row>
    <row r="142" spans="1:11" ht="15.75" customHeight="1" thickTop="1" x14ac:dyDescent="0.2">
      <c r="A142" s="1587" t="s">
        <v>670</v>
      </c>
      <c r="B142" s="1588"/>
      <c r="C142" s="546"/>
      <c r="D142" s="558"/>
      <c r="E142" s="553"/>
      <c r="F142" s="546"/>
      <c r="G142" s="546"/>
      <c r="H142" s="468"/>
      <c r="I142" s="468"/>
      <c r="J142" s="468"/>
      <c r="K142" s="468"/>
    </row>
    <row r="143" spans="1:11" ht="12.75" customHeight="1" x14ac:dyDescent="0.2">
      <c r="A143" s="463" t="s">
        <v>604</v>
      </c>
      <c r="B143" s="554">
        <v>3305</v>
      </c>
      <c r="C143" s="477">
        <v>0</v>
      </c>
      <c r="D143" s="468"/>
      <c r="E143" s="553"/>
      <c r="F143" s="468"/>
      <c r="G143" s="477">
        <v>0</v>
      </c>
      <c r="H143" s="468"/>
      <c r="I143" s="468"/>
      <c r="J143" s="468"/>
      <c r="K143" s="468"/>
    </row>
    <row r="144" spans="1:11" ht="12.75" customHeight="1" x14ac:dyDescent="0.2">
      <c r="A144" s="463" t="s">
        <v>347</v>
      </c>
      <c r="B144" s="554">
        <v>3310</v>
      </c>
      <c r="C144" s="477">
        <v>0</v>
      </c>
      <c r="D144" s="468"/>
      <c r="E144" s="553"/>
      <c r="F144" s="468"/>
      <c r="G144" s="477">
        <v>0</v>
      </c>
      <c r="H144" s="468"/>
      <c r="I144" s="468"/>
      <c r="J144" s="468"/>
      <c r="K144" s="468"/>
    </row>
    <row r="145" spans="1:11" s="202" customFormat="1" ht="13.5" thickBot="1" x14ac:dyDescent="0.25">
      <c r="A145" s="1695" t="s">
        <v>396</v>
      </c>
      <c r="B145" s="1707"/>
      <c r="C145" s="1675">
        <f>SUM(C143:C144)</f>
        <v>0</v>
      </c>
      <c r="D145" s="468"/>
      <c r="E145" s="504"/>
      <c r="F145" s="468"/>
      <c r="G145" s="1708">
        <f>SUM(G143:G144)</f>
        <v>0</v>
      </c>
      <c r="H145" s="468"/>
      <c r="I145" s="468"/>
      <c r="J145" s="468"/>
      <c r="K145" s="468"/>
    </row>
    <row r="146" spans="1:11" s="202" customFormat="1" ht="12.75" customHeight="1" thickTop="1" x14ac:dyDescent="0.2">
      <c r="A146" s="1485" t="s">
        <v>1056</v>
      </c>
      <c r="B146" s="560">
        <v>3360</v>
      </c>
      <c r="C146" s="561">
        <v>5715</v>
      </c>
      <c r="D146" s="562"/>
      <c r="E146" s="504"/>
      <c r="F146" s="468"/>
      <c r="G146" s="563"/>
      <c r="H146" s="468"/>
      <c r="I146" s="468"/>
      <c r="J146" s="468"/>
      <c r="K146" s="468"/>
    </row>
    <row r="147" spans="1:11" ht="12.75" customHeight="1" thickBot="1" x14ac:dyDescent="0.25">
      <c r="A147" s="1486" t="s">
        <v>922</v>
      </c>
      <c r="B147" s="564">
        <v>3365</v>
      </c>
      <c r="C147" s="565">
        <v>0</v>
      </c>
      <c r="D147" s="565">
        <v>0</v>
      </c>
      <c r="E147" s="553"/>
      <c r="F147" s="468"/>
      <c r="G147" s="527">
        <v>0</v>
      </c>
      <c r="H147" s="468"/>
      <c r="I147" s="468"/>
      <c r="J147" s="468"/>
      <c r="K147" s="468"/>
    </row>
    <row r="148" spans="1:11" ht="12.75" customHeight="1" thickTop="1" thickBot="1" x14ac:dyDescent="0.25">
      <c r="A148" s="1487" t="s">
        <v>138</v>
      </c>
      <c r="B148" s="566">
        <v>3370</v>
      </c>
      <c r="C148" s="565">
        <v>49561</v>
      </c>
      <c r="D148" s="565">
        <v>0</v>
      </c>
      <c r="E148" s="504"/>
      <c r="F148" s="468"/>
      <c r="G148" s="468"/>
      <c r="H148" s="468"/>
      <c r="I148" s="468"/>
      <c r="J148" s="468"/>
      <c r="K148" s="468"/>
    </row>
    <row r="149" spans="1:11" ht="12.75" customHeight="1" thickTop="1" thickBot="1" x14ac:dyDescent="0.25">
      <c r="A149" s="1487" t="s">
        <v>767</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87"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87" t="s">
        <v>453</v>
      </c>
      <c r="B151" s="1589"/>
      <c r="C151" s="546"/>
      <c r="D151" s="468"/>
      <c r="E151" s="553"/>
      <c r="F151" s="468"/>
      <c r="G151" s="468"/>
      <c r="H151" s="468"/>
      <c r="I151" s="468"/>
      <c r="J151" s="468"/>
      <c r="K151" s="468"/>
    </row>
    <row r="152" spans="1:11" ht="12.75" customHeight="1" x14ac:dyDescent="0.2">
      <c r="A152" s="463" t="s">
        <v>1448</v>
      </c>
      <c r="B152" s="554">
        <v>3500</v>
      </c>
      <c r="C152" s="477">
        <v>0</v>
      </c>
      <c r="D152" s="477">
        <v>0</v>
      </c>
      <c r="E152" s="553"/>
      <c r="F152" s="477">
        <v>75790</v>
      </c>
      <c r="G152" s="477">
        <v>0</v>
      </c>
      <c r="H152" s="468"/>
      <c r="I152" s="468"/>
      <c r="J152" s="468"/>
      <c r="K152" s="468"/>
    </row>
    <row r="153" spans="1:11" ht="12.75" customHeight="1" x14ac:dyDescent="0.2">
      <c r="A153" s="463" t="s">
        <v>1057</v>
      </c>
      <c r="B153" s="554">
        <v>3510</v>
      </c>
      <c r="C153" s="477">
        <v>0</v>
      </c>
      <c r="D153" s="477">
        <v>0</v>
      </c>
      <c r="E153" s="553"/>
      <c r="F153" s="477">
        <v>281206</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95" t="s">
        <v>94</v>
      </c>
      <c r="B155" s="1707"/>
      <c r="C155" s="1694">
        <f>SUM(C152:C154)</f>
        <v>0</v>
      </c>
      <c r="D155" s="1694">
        <f>SUM(D152:D154)</f>
        <v>0</v>
      </c>
      <c r="E155" s="553"/>
      <c r="F155" s="1694">
        <f>SUM(F152:F154)</f>
        <v>356996</v>
      </c>
      <c r="G155" s="1694">
        <f>SUM(G152:G154)</f>
        <v>0</v>
      </c>
      <c r="H155" s="468"/>
      <c r="I155" s="468"/>
      <c r="J155" s="468"/>
      <c r="K155" s="468"/>
    </row>
    <row r="156" spans="1:11" ht="12.75" customHeight="1" thickTop="1" thickBot="1" x14ac:dyDescent="0.25">
      <c r="A156" s="1487" t="s">
        <v>380</v>
      </c>
      <c r="B156" s="566">
        <v>3610</v>
      </c>
      <c r="C156" s="568">
        <v>0</v>
      </c>
      <c r="D156" s="468"/>
      <c r="E156" s="504"/>
      <c r="F156" s="468"/>
      <c r="G156" s="468"/>
      <c r="H156" s="468"/>
      <c r="I156" s="468"/>
      <c r="J156" s="468"/>
      <c r="K156" s="468"/>
    </row>
    <row r="157" spans="1:11" ht="12.75" customHeight="1" thickTop="1" thickBot="1" x14ac:dyDescent="0.25">
      <c r="A157" s="1487" t="s">
        <v>50</v>
      </c>
      <c r="B157" s="566">
        <v>3660</v>
      </c>
      <c r="C157" s="568">
        <v>0</v>
      </c>
      <c r="D157" s="570">
        <v>0</v>
      </c>
      <c r="E157" s="553"/>
      <c r="F157" s="570">
        <v>0</v>
      </c>
      <c r="G157" s="570">
        <v>0</v>
      </c>
      <c r="H157" s="468"/>
      <c r="I157" s="468"/>
      <c r="J157" s="468"/>
      <c r="K157" s="468"/>
    </row>
    <row r="158" spans="1:11" ht="12.75" customHeight="1" thickTop="1" thickBot="1" x14ac:dyDescent="0.25">
      <c r="A158" s="1487" t="s">
        <v>1000</v>
      </c>
      <c r="B158" s="566">
        <v>3695</v>
      </c>
      <c r="C158" s="568">
        <v>0</v>
      </c>
      <c r="D158" s="468"/>
      <c r="E158" s="553"/>
      <c r="F158" s="568">
        <v>0</v>
      </c>
      <c r="G158" s="568">
        <v>0</v>
      </c>
      <c r="H158" s="468"/>
      <c r="I158" s="468"/>
      <c r="J158" s="468"/>
      <c r="K158" s="468"/>
    </row>
    <row r="159" spans="1:11" ht="12.75" customHeight="1" thickTop="1" thickBot="1" x14ac:dyDescent="0.25">
      <c r="A159" s="1487" t="s">
        <v>1051</v>
      </c>
      <c r="B159" s="566">
        <v>3705</v>
      </c>
      <c r="C159" s="568">
        <v>0</v>
      </c>
      <c r="D159" s="570">
        <v>0</v>
      </c>
      <c r="E159" s="553"/>
      <c r="F159" s="568">
        <v>0</v>
      </c>
      <c r="G159" s="568">
        <v>0</v>
      </c>
      <c r="H159" s="468"/>
      <c r="I159" s="468"/>
      <c r="J159" s="468"/>
      <c r="K159" s="468"/>
    </row>
    <row r="160" spans="1:11" ht="12.75" customHeight="1" thickTop="1" thickBot="1" x14ac:dyDescent="0.25">
      <c r="A160" s="1487" t="s">
        <v>39</v>
      </c>
      <c r="B160" s="566">
        <v>3766</v>
      </c>
      <c r="C160" s="568">
        <v>0</v>
      </c>
      <c r="D160" s="568">
        <v>0</v>
      </c>
      <c r="E160" s="553"/>
      <c r="F160" s="568">
        <v>0</v>
      </c>
      <c r="G160" s="568">
        <v>0</v>
      </c>
      <c r="H160" s="468"/>
      <c r="I160" s="468"/>
      <c r="J160" s="468"/>
      <c r="K160" s="468"/>
    </row>
    <row r="161" spans="1:11" ht="12.75" customHeight="1" thickTop="1" thickBot="1" x14ac:dyDescent="0.25">
      <c r="A161" s="1487" t="s">
        <v>985</v>
      </c>
      <c r="B161" s="566">
        <v>3767</v>
      </c>
      <c r="C161" s="568">
        <v>0</v>
      </c>
      <c r="D161" s="568">
        <v>0</v>
      </c>
      <c r="E161" s="553"/>
      <c r="F161" s="568">
        <v>0</v>
      </c>
      <c r="G161" s="568">
        <v>0</v>
      </c>
      <c r="H161" s="468"/>
      <c r="I161" s="468"/>
      <c r="J161" s="468"/>
      <c r="K161" s="468"/>
    </row>
    <row r="162" spans="1:11" ht="12.75" customHeight="1" thickTop="1" thickBot="1" x14ac:dyDescent="0.25">
      <c r="A162" s="1487" t="s">
        <v>986</v>
      </c>
      <c r="B162" s="566">
        <v>3775</v>
      </c>
      <c r="C162" s="568">
        <v>0</v>
      </c>
      <c r="D162" s="568">
        <v>0</v>
      </c>
      <c r="E162" s="525">
        <v>0</v>
      </c>
      <c r="F162" s="568">
        <v>0</v>
      </c>
      <c r="G162" s="568">
        <v>0</v>
      </c>
      <c r="H162" s="525">
        <v>0</v>
      </c>
      <c r="I162" s="468"/>
      <c r="J162" s="468"/>
      <c r="K162" s="525">
        <v>0</v>
      </c>
    </row>
    <row r="163" spans="1:11" ht="12.75" customHeight="1" thickTop="1" thickBot="1" x14ac:dyDescent="0.25">
      <c r="A163" s="1487" t="s">
        <v>1449</v>
      </c>
      <c r="B163" s="566">
        <v>3780</v>
      </c>
      <c r="C163" s="568">
        <v>0</v>
      </c>
      <c r="D163" s="568">
        <v>0</v>
      </c>
      <c r="E163" s="568">
        <v>0</v>
      </c>
      <c r="F163" s="568">
        <v>0</v>
      </c>
      <c r="G163" s="568">
        <v>0</v>
      </c>
      <c r="H163" s="568">
        <v>0</v>
      </c>
      <c r="I163" s="468"/>
      <c r="J163" s="468"/>
      <c r="K163" s="568">
        <v>0</v>
      </c>
    </row>
    <row r="164" spans="1:11" ht="12.75" customHeight="1" thickTop="1" thickBot="1" x14ac:dyDescent="0.25">
      <c r="A164" s="1487" t="s">
        <v>858</v>
      </c>
      <c r="B164" s="566">
        <v>3815</v>
      </c>
      <c r="C164" s="568">
        <v>0</v>
      </c>
      <c r="D164" s="468"/>
      <c r="E164" s="553"/>
      <c r="F164" s="568">
        <v>0</v>
      </c>
      <c r="G164" s="468"/>
      <c r="H164" s="468"/>
      <c r="I164" s="468"/>
      <c r="J164" s="468"/>
      <c r="K164" s="468"/>
    </row>
    <row r="165" spans="1:11" ht="12.75" customHeight="1" thickTop="1" thickBot="1" x14ac:dyDescent="0.25">
      <c r="A165" s="1487" t="s">
        <v>397</v>
      </c>
      <c r="B165" s="566">
        <v>3825</v>
      </c>
      <c r="C165" s="568">
        <v>0</v>
      </c>
      <c r="D165" s="468"/>
      <c r="E165" s="553"/>
      <c r="F165" s="568">
        <v>0</v>
      </c>
      <c r="G165" s="468"/>
      <c r="H165" s="468"/>
      <c r="I165" s="468"/>
      <c r="J165" s="468"/>
      <c r="K165" s="468"/>
    </row>
    <row r="166" spans="1:11" ht="12.75" customHeight="1" thickTop="1" thickBot="1" x14ac:dyDescent="0.25">
      <c r="A166" s="1487" t="s">
        <v>348</v>
      </c>
      <c r="B166" s="566">
        <v>3920</v>
      </c>
      <c r="C166" s="558"/>
      <c r="D166" s="570">
        <v>0</v>
      </c>
      <c r="E166" s="468"/>
      <c r="F166" s="558"/>
      <c r="G166" s="468"/>
      <c r="H166" s="525">
        <v>0</v>
      </c>
      <c r="I166" s="468"/>
      <c r="J166" s="468"/>
      <c r="K166" s="468"/>
    </row>
    <row r="167" spans="1:11" ht="12.75" customHeight="1" thickTop="1" thickBot="1" x14ac:dyDescent="0.25">
      <c r="A167" s="1487" t="s">
        <v>349</v>
      </c>
      <c r="B167" s="566">
        <v>3925</v>
      </c>
      <c r="C167" s="516"/>
      <c r="D167" s="568">
        <v>0</v>
      </c>
      <c r="E167" s="516"/>
      <c r="F167" s="516"/>
      <c r="G167" s="468"/>
      <c r="H167" s="568">
        <v>0</v>
      </c>
      <c r="I167" s="468"/>
      <c r="J167" s="468"/>
      <c r="K167" s="525">
        <v>0</v>
      </c>
    </row>
    <row r="168" spans="1:11" ht="14.25" thickTop="1" thickBot="1" x14ac:dyDescent="0.25">
      <c r="A168" s="1487" t="s">
        <v>70</v>
      </c>
      <c r="B168" s="566">
        <v>3999</v>
      </c>
      <c r="C168" s="571">
        <v>7367</v>
      </c>
      <c r="D168" s="572">
        <v>0</v>
      </c>
      <c r="E168" s="572">
        <v>0</v>
      </c>
      <c r="F168" s="572">
        <v>0</v>
      </c>
      <c r="G168" s="573">
        <v>0</v>
      </c>
      <c r="H168" s="574">
        <v>0</v>
      </c>
      <c r="I168" s="573">
        <v>0</v>
      </c>
      <c r="J168" s="573">
        <v>0</v>
      </c>
      <c r="K168" s="574">
        <v>0</v>
      </c>
    </row>
    <row r="169" spans="1:11" ht="12.75" customHeight="1" thickTop="1" thickBot="1" x14ac:dyDescent="0.25">
      <c r="A169" s="2294" t="s">
        <v>398</v>
      </c>
      <c r="B169" s="2295"/>
      <c r="C169" s="1709">
        <f t="shared" ref="C169:K169" si="6">SUM(C132,C141,C145,C146:C150,C155,C156:C167,C168)</f>
        <v>163910</v>
      </c>
      <c r="D169" s="1709">
        <f t="shared" si="6"/>
        <v>0</v>
      </c>
      <c r="E169" s="1709">
        <f t="shared" si="6"/>
        <v>0</v>
      </c>
      <c r="F169" s="1709">
        <f t="shared" si="6"/>
        <v>356996</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2009303</v>
      </c>
      <c r="D170" s="1702">
        <f t="shared" si="7"/>
        <v>0</v>
      </c>
      <c r="E170" s="1702">
        <f t="shared" si="7"/>
        <v>0</v>
      </c>
      <c r="F170" s="1702">
        <f t="shared" si="7"/>
        <v>356996</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296" t="s">
        <v>1492</v>
      </c>
      <c r="B172" s="2297"/>
      <c r="C172" s="515"/>
      <c r="D172" s="515"/>
      <c r="E172" s="504"/>
      <c r="F172" s="468"/>
      <c r="G172" s="468"/>
      <c r="H172" s="468"/>
      <c r="I172" s="468"/>
      <c r="J172" s="468"/>
      <c r="K172" s="468"/>
    </row>
    <row r="173" spans="1:11" ht="12.6" customHeight="1" x14ac:dyDescent="0.2">
      <c r="A173" s="488" t="s">
        <v>1044</v>
      </c>
      <c r="B173" s="486">
        <v>4001</v>
      </c>
      <c r="C173" s="477">
        <v>0</v>
      </c>
      <c r="D173" s="477">
        <v>0</v>
      </c>
      <c r="E173" s="477">
        <v>0</v>
      </c>
      <c r="F173" s="477">
        <v>0</v>
      </c>
      <c r="G173" s="477">
        <v>0</v>
      </c>
      <c r="H173" s="477">
        <v>0</v>
      </c>
      <c r="I173" s="477">
        <v>0</v>
      </c>
      <c r="J173" s="477">
        <v>0</v>
      </c>
      <c r="K173" s="477">
        <v>0</v>
      </c>
    </row>
    <row r="174" spans="1:11" ht="22.5" x14ac:dyDescent="0.2">
      <c r="A174" s="555" t="s">
        <v>805</v>
      </c>
      <c r="B174" s="575">
        <v>4009</v>
      </c>
      <c r="C174" s="477">
        <v>0</v>
      </c>
      <c r="D174" s="477">
        <v>0</v>
      </c>
      <c r="E174" s="477">
        <v>0</v>
      </c>
      <c r="F174" s="477">
        <v>0</v>
      </c>
      <c r="G174" s="477">
        <v>0</v>
      </c>
      <c r="H174" s="477">
        <v>0</v>
      </c>
      <c r="I174" s="477">
        <v>0</v>
      </c>
      <c r="J174" s="477">
        <v>0</v>
      </c>
      <c r="K174" s="477">
        <v>0</v>
      </c>
    </row>
    <row r="175" spans="1:11" ht="13.5" thickBot="1" x14ac:dyDescent="0.25">
      <c r="A175" s="2300" t="s">
        <v>1665</v>
      </c>
      <c r="B175" s="2301"/>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304" t="s">
        <v>1664</v>
      </c>
      <c r="B176" s="2305"/>
      <c r="C176" s="589"/>
      <c r="D176" s="590"/>
      <c r="E176" s="591"/>
      <c r="F176" s="592"/>
      <c r="G176" s="592"/>
      <c r="H176" s="592"/>
      <c r="I176" s="592"/>
      <c r="J176" s="592"/>
      <c r="K176" s="592"/>
    </row>
    <row r="177" spans="1:11" ht="12.75" customHeight="1" x14ac:dyDescent="0.2">
      <c r="A177" s="463" t="s">
        <v>1045</v>
      </c>
      <c r="B177" s="470">
        <v>4045</v>
      </c>
      <c r="C177" s="477">
        <v>0</v>
      </c>
      <c r="D177" s="468"/>
      <c r="E177" s="553"/>
      <c r="F177" s="468"/>
      <c r="G177" s="468"/>
      <c r="H177" s="468"/>
      <c r="I177" s="468"/>
      <c r="J177" s="468"/>
      <c r="K177" s="468"/>
    </row>
    <row r="178" spans="1:11" ht="12.75" customHeight="1" x14ac:dyDescent="0.2">
      <c r="A178" s="463" t="s">
        <v>1046</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786</v>
      </c>
      <c r="B180" s="575">
        <v>4090</v>
      </c>
      <c r="C180" s="477">
        <v>0</v>
      </c>
      <c r="D180" s="477">
        <v>0</v>
      </c>
      <c r="E180" s="468"/>
      <c r="F180" s="477">
        <v>0</v>
      </c>
      <c r="G180" s="477">
        <v>0</v>
      </c>
      <c r="H180" s="477">
        <v>0</v>
      </c>
      <c r="I180" s="468"/>
      <c r="J180" s="468"/>
      <c r="K180" s="477">
        <v>0</v>
      </c>
    </row>
    <row r="181" spans="1:11" ht="13.5" thickBot="1" x14ac:dyDescent="0.25">
      <c r="A181" s="2302" t="s">
        <v>785</v>
      </c>
      <c r="B181" s="2303"/>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298" t="s">
        <v>1800</v>
      </c>
      <c r="B182" s="2299"/>
      <c r="C182" s="576"/>
      <c r="D182" s="558"/>
      <c r="E182" s="504"/>
      <c r="F182" s="558"/>
      <c r="G182" s="558"/>
      <c r="H182" s="468"/>
      <c r="I182" s="468"/>
      <c r="J182" s="468"/>
      <c r="K182" s="468"/>
    </row>
    <row r="183" spans="1:11" ht="15.75" customHeight="1" x14ac:dyDescent="0.2">
      <c r="A183" s="1590" t="s">
        <v>1602</v>
      </c>
      <c r="B183" s="1591"/>
      <c r="C183" s="517"/>
      <c r="D183" s="516"/>
      <c r="E183" s="504"/>
      <c r="F183" s="516"/>
      <c r="G183" s="516"/>
      <c r="H183" s="468"/>
      <c r="I183" s="468"/>
      <c r="J183" s="468"/>
      <c r="K183" s="468"/>
    </row>
    <row r="184" spans="1:11" ht="12.75" customHeight="1" x14ac:dyDescent="0.2">
      <c r="A184" s="463" t="s">
        <v>1603</v>
      </c>
      <c r="B184" s="470">
        <v>4100</v>
      </c>
      <c r="C184" s="477">
        <v>0</v>
      </c>
      <c r="D184" s="477">
        <v>0</v>
      </c>
      <c r="E184" s="553"/>
      <c r="F184" s="477">
        <v>0</v>
      </c>
      <c r="G184" s="477">
        <v>0</v>
      </c>
      <c r="H184" s="468"/>
      <c r="I184" s="468"/>
      <c r="J184" s="468"/>
      <c r="K184" s="468"/>
    </row>
    <row r="185" spans="1:11" ht="12.75" customHeight="1" x14ac:dyDescent="0.2">
      <c r="A185" s="463" t="s">
        <v>1604</v>
      </c>
      <c r="B185" s="470">
        <v>4105</v>
      </c>
      <c r="C185" s="477">
        <v>0</v>
      </c>
      <c r="D185" s="477">
        <v>0</v>
      </c>
      <c r="E185" s="553"/>
      <c r="F185" s="477">
        <v>0</v>
      </c>
      <c r="G185" s="477">
        <v>0</v>
      </c>
      <c r="H185" s="468"/>
      <c r="I185" s="468"/>
      <c r="J185" s="468"/>
      <c r="K185" s="468"/>
    </row>
    <row r="186" spans="1:11" ht="12.75" customHeight="1" x14ac:dyDescent="0.2">
      <c r="A186" s="463" t="s">
        <v>1606</v>
      </c>
      <c r="B186" s="470">
        <v>4107</v>
      </c>
      <c r="C186" s="477">
        <v>0</v>
      </c>
      <c r="D186" s="477">
        <v>0</v>
      </c>
      <c r="E186" s="553"/>
      <c r="F186" s="477">
        <v>0</v>
      </c>
      <c r="G186" s="477">
        <v>0</v>
      </c>
      <c r="H186" s="468"/>
      <c r="I186" s="468"/>
      <c r="J186" s="468"/>
      <c r="K186" s="468"/>
    </row>
    <row r="187" spans="1:11" ht="12.75" customHeight="1" x14ac:dyDescent="0.2">
      <c r="A187" s="463" t="s">
        <v>1605</v>
      </c>
      <c r="B187" s="470">
        <v>4199</v>
      </c>
      <c r="C187" s="477">
        <v>0</v>
      </c>
      <c r="D187" s="477">
        <v>0</v>
      </c>
      <c r="E187" s="553"/>
      <c r="F187" s="477">
        <v>0</v>
      </c>
      <c r="G187" s="477">
        <v>0</v>
      </c>
      <c r="H187" s="468"/>
      <c r="I187" s="468"/>
      <c r="J187" s="468"/>
      <c r="K187" s="468"/>
    </row>
    <row r="188" spans="1:11" ht="12.75" customHeight="1" thickBot="1" x14ac:dyDescent="0.25">
      <c r="A188" s="1695" t="s">
        <v>1607</v>
      </c>
      <c r="B188" s="1696"/>
      <c r="C188" s="1694">
        <f>SUM(C184:C187)</f>
        <v>0</v>
      </c>
      <c r="D188" s="1694">
        <f>SUM(D184:D187)</f>
        <v>0</v>
      </c>
      <c r="E188" s="553"/>
      <c r="F188" s="1694">
        <f>SUM(F184:F187)</f>
        <v>0</v>
      </c>
      <c r="G188" s="1694">
        <f>SUM(G184:G187)</f>
        <v>0</v>
      </c>
      <c r="H188" s="468"/>
      <c r="I188" s="468"/>
      <c r="J188" s="468"/>
      <c r="K188" s="468"/>
    </row>
    <row r="189" spans="1:11" ht="15.75" customHeight="1" thickTop="1" x14ac:dyDescent="0.2">
      <c r="A189" s="1587" t="s">
        <v>455</v>
      </c>
      <c r="B189" s="1592"/>
      <c r="C189" s="546"/>
      <c r="D189" s="558"/>
      <c r="E189" s="553"/>
      <c r="F189" s="546"/>
      <c r="G189" s="546"/>
      <c r="H189" s="468"/>
      <c r="I189" s="468"/>
      <c r="J189" s="468"/>
      <c r="K189" s="468"/>
    </row>
    <row r="190" spans="1:11" x14ac:dyDescent="0.2">
      <c r="A190" s="463" t="s">
        <v>1450</v>
      </c>
      <c r="B190" s="470">
        <v>4200</v>
      </c>
      <c r="C190" s="477">
        <v>0</v>
      </c>
      <c r="D190" s="468"/>
      <c r="E190" s="553"/>
      <c r="F190" s="546"/>
      <c r="G190" s="477">
        <v>0</v>
      </c>
      <c r="H190" s="468"/>
      <c r="I190" s="468"/>
      <c r="J190" s="468"/>
      <c r="K190" s="468"/>
    </row>
    <row r="191" spans="1:11" ht="12.75" customHeight="1" x14ac:dyDescent="0.2">
      <c r="A191" s="463" t="s">
        <v>1058</v>
      </c>
      <c r="B191" s="470">
        <v>4210</v>
      </c>
      <c r="C191" s="477">
        <v>280762</v>
      </c>
      <c r="D191" s="468"/>
      <c r="E191" s="553"/>
      <c r="F191" s="468"/>
      <c r="G191" s="477">
        <v>0</v>
      </c>
      <c r="H191" s="468"/>
      <c r="I191" s="468"/>
      <c r="J191" s="468"/>
      <c r="K191" s="468"/>
    </row>
    <row r="192" spans="1:11" ht="12.75" customHeight="1" x14ac:dyDescent="0.2">
      <c r="A192" s="463" t="s">
        <v>1047</v>
      </c>
      <c r="B192" s="470">
        <v>4215</v>
      </c>
      <c r="C192" s="477">
        <v>0</v>
      </c>
      <c r="D192" s="468"/>
      <c r="E192" s="553"/>
      <c r="F192" s="468"/>
      <c r="G192" s="477">
        <v>0</v>
      </c>
      <c r="H192" s="468"/>
      <c r="I192" s="468"/>
      <c r="J192" s="468"/>
      <c r="K192" s="468"/>
    </row>
    <row r="193" spans="1:11" ht="12.75" customHeight="1" x14ac:dyDescent="0.2">
      <c r="A193" s="463" t="s">
        <v>1059</v>
      </c>
      <c r="B193" s="470">
        <v>4220</v>
      </c>
      <c r="C193" s="477">
        <v>53708</v>
      </c>
      <c r="D193" s="468"/>
      <c r="E193" s="553"/>
      <c r="F193" s="468"/>
      <c r="G193" s="477">
        <v>0</v>
      </c>
      <c r="H193" s="468"/>
      <c r="I193" s="468"/>
      <c r="J193" s="468"/>
      <c r="K193" s="468"/>
    </row>
    <row r="194" spans="1:11" ht="12.75" customHeight="1" x14ac:dyDescent="0.2">
      <c r="A194" s="463" t="s">
        <v>1451</v>
      </c>
      <c r="B194" s="470">
        <v>4225</v>
      </c>
      <c r="C194" s="477">
        <v>0</v>
      </c>
      <c r="D194" s="468"/>
      <c r="E194" s="553"/>
      <c r="F194" s="468"/>
      <c r="G194" s="477">
        <v>0</v>
      </c>
      <c r="H194" s="468"/>
      <c r="I194" s="468"/>
      <c r="J194" s="468"/>
      <c r="K194" s="468"/>
    </row>
    <row r="195" spans="1:11" ht="12.75" customHeight="1" x14ac:dyDescent="0.2">
      <c r="A195" s="463" t="s">
        <v>1452</v>
      </c>
      <c r="B195" s="470">
        <v>4226</v>
      </c>
      <c r="C195" s="477">
        <v>693</v>
      </c>
      <c r="D195" s="468"/>
      <c r="E195" s="553"/>
      <c r="F195" s="468"/>
      <c r="G195" s="477">
        <v>0</v>
      </c>
      <c r="H195" s="468"/>
      <c r="I195" s="468"/>
      <c r="J195" s="468"/>
      <c r="K195" s="468"/>
    </row>
    <row r="196" spans="1:11" ht="12.75" customHeight="1" x14ac:dyDescent="0.2">
      <c r="A196" s="463" t="s">
        <v>792</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95" t="s">
        <v>548</v>
      </c>
      <c r="B198" s="1696"/>
      <c r="C198" s="1675">
        <f>SUM(C190:C197)</f>
        <v>335163</v>
      </c>
      <c r="D198" s="468"/>
      <c r="E198" s="468"/>
      <c r="F198" s="468"/>
      <c r="G198" s="1675">
        <f>SUM(G190:G197)</f>
        <v>0</v>
      </c>
      <c r="H198" s="468"/>
      <c r="I198" s="468"/>
      <c r="J198" s="468"/>
      <c r="K198" s="468"/>
    </row>
    <row r="199" spans="1:11" ht="15.75" customHeight="1" thickTop="1" x14ac:dyDescent="0.2">
      <c r="A199" s="1587" t="s">
        <v>1138</v>
      </c>
      <c r="B199" s="1592"/>
      <c r="C199" s="546"/>
      <c r="D199" s="468"/>
      <c r="E199" s="468"/>
      <c r="F199" s="468"/>
      <c r="G199" s="468"/>
      <c r="H199" s="468"/>
      <c r="I199" s="468"/>
      <c r="J199" s="468"/>
      <c r="K199" s="468"/>
    </row>
    <row r="200" spans="1:11" ht="12.75" customHeight="1" x14ac:dyDescent="0.2">
      <c r="A200" s="463" t="s">
        <v>918</v>
      </c>
      <c r="B200" s="470">
        <v>4300</v>
      </c>
      <c r="C200" s="477">
        <v>271599</v>
      </c>
      <c r="D200" s="477">
        <v>0</v>
      </c>
      <c r="E200" s="468"/>
      <c r="F200" s="477">
        <v>0</v>
      </c>
      <c r="G200" s="477">
        <v>0</v>
      </c>
      <c r="H200" s="468"/>
      <c r="I200" s="468"/>
      <c r="J200" s="468"/>
      <c r="K200" s="468"/>
    </row>
    <row r="201" spans="1:11" ht="12.75" customHeight="1" x14ac:dyDescent="0.2">
      <c r="A201" s="463" t="s">
        <v>919</v>
      </c>
      <c r="B201" s="470">
        <v>4305</v>
      </c>
      <c r="C201" s="477">
        <v>0</v>
      </c>
      <c r="D201" s="477">
        <v>0</v>
      </c>
      <c r="E201" s="468"/>
      <c r="F201" s="477">
        <v>0</v>
      </c>
      <c r="G201" s="477">
        <v>0</v>
      </c>
      <c r="H201" s="468"/>
      <c r="I201" s="468"/>
      <c r="J201" s="468"/>
      <c r="K201" s="468"/>
    </row>
    <row r="202" spans="1:11" ht="12.75" customHeight="1" x14ac:dyDescent="0.2">
      <c r="A202" s="463" t="s">
        <v>1031</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95" t="s">
        <v>400</v>
      </c>
      <c r="B204" s="1696"/>
      <c r="C204" s="1694">
        <f>SUM(C200:C203)</f>
        <v>271599</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46"/>
      <c r="D205" s="546"/>
      <c r="E205" s="468"/>
      <c r="F205" s="546"/>
      <c r="G205" s="546"/>
      <c r="H205" s="468"/>
      <c r="I205" s="468"/>
      <c r="J205" s="468"/>
      <c r="K205" s="468"/>
    </row>
    <row r="206" spans="1:11" ht="12.75" customHeight="1" x14ac:dyDescent="0.2">
      <c r="A206" s="463" t="s">
        <v>759</v>
      </c>
      <c r="B206" s="470">
        <v>4400</v>
      </c>
      <c r="C206" s="477">
        <v>0</v>
      </c>
      <c r="D206" s="477">
        <v>0</v>
      </c>
      <c r="E206" s="468"/>
      <c r="F206" s="477">
        <v>0</v>
      </c>
      <c r="G206" s="477">
        <v>0</v>
      </c>
      <c r="H206" s="468"/>
      <c r="I206" s="468"/>
      <c r="J206" s="468"/>
      <c r="K206" s="468"/>
    </row>
    <row r="207" spans="1:11" ht="12.75" customHeight="1" x14ac:dyDescent="0.2">
      <c r="A207" s="463" t="s">
        <v>1453</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95" t="s">
        <v>889</v>
      </c>
      <c r="B209" s="1696"/>
      <c r="C209" s="1694">
        <f>SUM(C206:C208)</f>
        <v>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46"/>
      <c r="D210" s="546"/>
      <c r="E210" s="468"/>
      <c r="F210" s="546"/>
      <c r="G210" s="546"/>
      <c r="H210" s="468"/>
      <c r="I210" s="468"/>
      <c r="J210" s="468"/>
      <c r="K210" s="468"/>
    </row>
    <row r="211" spans="1:11" ht="12.75" customHeight="1" x14ac:dyDescent="0.2">
      <c r="A211" s="463" t="s">
        <v>1052</v>
      </c>
      <c r="B211" s="470">
        <v>4600</v>
      </c>
      <c r="C211" s="477">
        <v>0</v>
      </c>
      <c r="D211" s="477">
        <v>0</v>
      </c>
      <c r="E211" s="468"/>
      <c r="F211" s="477">
        <v>0</v>
      </c>
      <c r="G211" s="477">
        <v>0</v>
      </c>
      <c r="H211" s="468"/>
      <c r="I211" s="468"/>
      <c r="J211" s="468"/>
      <c r="K211" s="468"/>
    </row>
    <row r="212" spans="1:11" ht="12.75" customHeight="1" x14ac:dyDescent="0.2">
      <c r="A212" s="463" t="s">
        <v>1053</v>
      </c>
      <c r="B212" s="470">
        <v>4605</v>
      </c>
      <c r="C212" s="477">
        <v>0</v>
      </c>
      <c r="D212" s="477">
        <v>0</v>
      </c>
      <c r="E212" s="468"/>
      <c r="F212" s="477">
        <v>0</v>
      </c>
      <c r="G212" s="477">
        <v>0</v>
      </c>
      <c r="H212" s="468"/>
      <c r="I212" s="468"/>
      <c r="J212" s="468"/>
      <c r="K212" s="468"/>
    </row>
    <row r="213" spans="1:11" ht="12.75" customHeight="1" x14ac:dyDescent="0.2">
      <c r="A213" s="463" t="s">
        <v>1454</v>
      </c>
      <c r="B213" s="550">
        <v>4620</v>
      </c>
      <c r="C213" s="477">
        <v>300414</v>
      </c>
      <c r="D213" s="477">
        <v>0</v>
      </c>
      <c r="E213" s="468"/>
      <c r="F213" s="477">
        <v>0</v>
      </c>
      <c r="G213" s="477">
        <v>0</v>
      </c>
      <c r="H213" s="468"/>
      <c r="I213" s="468"/>
      <c r="J213" s="468"/>
      <c r="K213" s="468"/>
    </row>
    <row r="214" spans="1:11" ht="12.75" customHeight="1" x14ac:dyDescent="0.2">
      <c r="A214" s="463" t="s">
        <v>1054</v>
      </c>
      <c r="B214" s="470">
        <v>4625</v>
      </c>
      <c r="C214" s="477">
        <v>0</v>
      </c>
      <c r="D214" s="477">
        <v>0</v>
      </c>
      <c r="E214" s="468"/>
      <c r="F214" s="477">
        <v>0</v>
      </c>
      <c r="G214" s="477">
        <v>0</v>
      </c>
      <c r="H214" s="468"/>
      <c r="I214" s="468"/>
      <c r="J214" s="468"/>
      <c r="K214" s="468"/>
    </row>
    <row r="215" spans="1:11" ht="12.75" customHeight="1" x14ac:dyDescent="0.2">
      <c r="A215" s="463" t="s">
        <v>1055</v>
      </c>
      <c r="B215" s="470">
        <v>4630</v>
      </c>
      <c r="C215" s="477">
        <v>0</v>
      </c>
      <c r="D215" s="477">
        <v>0</v>
      </c>
      <c r="E215" s="468"/>
      <c r="F215" s="477">
        <v>0</v>
      </c>
      <c r="G215" s="477">
        <v>0</v>
      </c>
      <c r="H215" s="468"/>
      <c r="I215" s="468"/>
      <c r="J215" s="468"/>
      <c r="K215" s="468"/>
    </row>
    <row r="216" spans="1:11" ht="12.75" customHeight="1" x14ac:dyDescent="0.2">
      <c r="A216" s="1488" t="s">
        <v>74</v>
      </c>
      <c r="B216" s="550">
        <v>4699</v>
      </c>
      <c r="C216" s="477">
        <v>0</v>
      </c>
      <c r="D216" s="477">
        <v>0</v>
      </c>
      <c r="E216" s="468"/>
      <c r="F216" s="477">
        <v>0</v>
      </c>
      <c r="G216" s="477">
        <v>0</v>
      </c>
      <c r="H216" s="468"/>
      <c r="I216" s="468"/>
      <c r="J216" s="468"/>
      <c r="K216" s="468"/>
    </row>
    <row r="217" spans="1:11" ht="12.75" customHeight="1" thickBot="1" x14ac:dyDescent="0.25">
      <c r="A217" s="1695" t="s">
        <v>447</v>
      </c>
      <c r="B217" s="1696"/>
      <c r="C217" s="1694">
        <f>SUM(C211:C216)</f>
        <v>300414</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46"/>
      <c r="D218" s="546"/>
      <c r="E218" s="468"/>
      <c r="F218" s="546"/>
      <c r="G218" s="546"/>
      <c r="H218" s="468"/>
      <c r="I218" s="468"/>
      <c r="J218" s="468"/>
      <c r="K218" s="468"/>
    </row>
    <row r="219" spans="1:11" ht="12.75" customHeight="1" x14ac:dyDescent="0.2">
      <c r="A219" s="463" t="s">
        <v>787</v>
      </c>
      <c r="B219" s="470">
        <v>4770</v>
      </c>
      <c r="C219" s="477">
        <v>21367</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710" t="s">
        <v>1085</v>
      </c>
      <c r="B221" s="1711"/>
      <c r="C221" s="1694">
        <f>SUM(C219:C220)</f>
        <v>21367</v>
      </c>
      <c r="D221" s="1694">
        <f>SUM(D219:D220)</f>
        <v>0</v>
      </c>
      <c r="E221" s="468"/>
      <c r="F221" s="468"/>
      <c r="G221" s="1694">
        <f>SUM(G219:G220)</f>
        <v>0</v>
      </c>
      <c r="H221" s="468"/>
      <c r="I221" s="468"/>
      <c r="J221" s="468"/>
      <c r="K221" s="468"/>
    </row>
    <row r="222" spans="1:11" ht="12.75" customHeight="1" thickTop="1" thickBot="1" x14ac:dyDescent="0.25">
      <c r="A222" s="488" t="s">
        <v>757</v>
      </c>
      <c r="B222" s="486">
        <v>4810</v>
      </c>
      <c r="C222" s="567">
        <v>0</v>
      </c>
      <c r="D222" s="568">
        <v>0</v>
      </c>
      <c r="E222" s="468"/>
      <c r="F222" s="468"/>
      <c r="G222" s="568">
        <v>0</v>
      </c>
      <c r="H222" s="468"/>
      <c r="I222" s="468"/>
      <c r="J222" s="468"/>
      <c r="K222" s="468"/>
    </row>
    <row r="223" spans="1:11" ht="12.75" customHeight="1" thickTop="1" x14ac:dyDescent="0.2">
      <c r="A223" s="488" t="s">
        <v>350</v>
      </c>
      <c r="B223" s="486">
        <v>4850</v>
      </c>
      <c r="C223" s="484">
        <v>0</v>
      </c>
      <c r="D223" s="484">
        <v>0</v>
      </c>
      <c r="E223" s="484">
        <v>0</v>
      </c>
      <c r="F223" s="484">
        <v>0</v>
      </c>
      <c r="G223" s="484">
        <v>0</v>
      </c>
      <c r="H223" s="484">
        <v>0</v>
      </c>
      <c r="I223" s="468"/>
      <c r="J223" s="484">
        <v>0</v>
      </c>
      <c r="K223" s="484">
        <v>0</v>
      </c>
    </row>
    <row r="224" spans="1:11" ht="12.75" customHeight="1" x14ac:dyDescent="0.2">
      <c r="A224" s="488" t="s">
        <v>351</v>
      </c>
      <c r="B224" s="486">
        <v>4851</v>
      </c>
      <c r="C224" s="484">
        <v>0</v>
      </c>
      <c r="D224" s="484">
        <v>0</v>
      </c>
      <c r="E224" s="468"/>
      <c r="F224" s="484">
        <v>0</v>
      </c>
      <c r="G224" s="484">
        <v>0</v>
      </c>
      <c r="H224" s="468"/>
      <c r="I224" s="468"/>
      <c r="J224" s="468"/>
      <c r="K224" s="468"/>
    </row>
    <row r="225" spans="1:11" ht="12.75" customHeight="1" x14ac:dyDescent="0.2">
      <c r="A225" s="488" t="s">
        <v>352</v>
      </c>
      <c r="B225" s="486">
        <v>4852</v>
      </c>
      <c r="C225" s="484">
        <v>0</v>
      </c>
      <c r="D225" s="484">
        <v>0</v>
      </c>
      <c r="E225" s="484">
        <v>0</v>
      </c>
      <c r="F225" s="484">
        <v>0</v>
      </c>
      <c r="G225" s="484">
        <v>0</v>
      </c>
      <c r="H225" s="484">
        <v>0</v>
      </c>
      <c r="I225" s="468"/>
      <c r="J225" s="484">
        <v>0</v>
      </c>
      <c r="K225" s="484">
        <v>0</v>
      </c>
    </row>
    <row r="226" spans="1:11" ht="12.75" customHeight="1" x14ac:dyDescent="0.2">
      <c r="A226" s="488" t="s">
        <v>353</v>
      </c>
      <c r="B226" s="486">
        <v>4853</v>
      </c>
      <c r="C226" s="484">
        <v>0</v>
      </c>
      <c r="D226" s="484">
        <v>0</v>
      </c>
      <c r="E226" s="484">
        <v>0</v>
      </c>
      <c r="F226" s="484">
        <v>0</v>
      </c>
      <c r="G226" s="484">
        <v>0</v>
      </c>
      <c r="H226" s="484">
        <v>0</v>
      </c>
      <c r="I226" s="468"/>
      <c r="J226" s="484">
        <v>0</v>
      </c>
      <c r="K226" s="484">
        <v>0</v>
      </c>
    </row>
    <row r="227" spans="1:11" ht="12.75" customHeight="1" x14ac:dyDescent="0.2">
      <c r="A227" s="488" t="s">
        <v>354</v>
      </c>
      <c r="B227" s="486">
        <v>4854</v>
      </c>
      <c r="C227" s="484">
        <v>0</v>
      </c>
      <c r="D227" s="484">
        <v>0</v>
      </c>
      <c r="E227" s="484">
        <v>0</v>
      </c>
      <c r="F227" s="484">
        <v>0</v>
      </c>
      <c r="G227" s="484">
        <v>0</v>
      </c>
      <c r="H227" s="484">
        <v>0</v>
      </c>
      <c r="I227" s="468"/>
      <c r="J227" s="484">
        <v>0</v>
      </c>
      <c r="K227" s="484">
        <v>0</v>
      </c>
    </row>
    <row r="228" spans="1:11" ht="12.75" customHeight="1" x14ac:dyDescent="0.2">
      <c r="A228" s="488" t="s">
        <v>464</v>
      </c>
      <c r="B228" s="486">
        <v>4855</v>
      </c>
      <c r="C228" s="484">
        <v>0</v>
      </c>
      <c r="D228" s="484">
        <v>0</v>
      </c>
      <c r="E228" s="484">
        <v>0</v>
      </c>
      <c r="F228" s="484">
        <v>0</v>
      </c>
      <c r="G228" s="484">
        <v>0</v>
      </c>
      <c r="H228" s="484">
        <v>0</v>
      </c>
      <c r="I228" s="468"/>
      <c r="J228" s="484">
        <v>0</v>
      </c>
      <c r="K228" s="484">
        <v>0</v>
      </c>
    </row>
    <row r="229" spans="1:11" ht="12.75" customHeight="1" x14ac:dyDescent="0.2">
      <c r="A229" s="488" t="s">
        <v>355</v>
      </c>
      <c r="B229" s="486">
        <v>4856</v>
      </c>
      <c r="C229" s="484">
        <v>0</v>
      </c>
      <c r="D229" s="484">
        <v>0</v>
      </c>
      <c r="E229" s="484">
        <v>0</v>
      </c>
      <c r="F229" s="484">
        <v>0</v>
      </c>
      <c r="G229" s="484">
        <v>0</v>
      </c>
      <c r="H229" s="484">
        <v>0</v>
      </c>
      <c r="I229" s="468"/>
      <c r="J229" s="484">
        <v>0</v>
      </c>
      <c r="K229" s="484">
        <v>0</v>
      </c>
    </row>
    <row r="230" spans="1:11" ht="12.75" customHeight="1" x14ac:dyDescent="0.2">
      <c r="A230" s="488" t="s">
        <v>356</v>
      </c>
      <c r="B230" s="486">
        <v>4857</v>
      </c>
      <c r="C230" s="484">
        <v>0</v>
      </c>
      <c r="D230" s="484">
        <v>0</v>
      </c>
      <c r="E230" s="484">
        <v>0</v>
      </c>
      <c r="F230" s="484">
        <v>0</v>
      </c>
      <c r="G230" s="484">
        <v>0</v>
      </c>
      <c r="H230" s="484">
        <v>0</v>
      </c>
      <c r="I230" s="468"/>
      <c r="J230" s="484">
        <v>0</v>
      </c>
      <c r="K230" s="484">
        <v>0</v>
      </c>
    </row>
    <row r="231" spans="1:11" ht="12.75" customHeight="1" x14ac:dyDescent="0.2">
      <c r="A231" s="488" t="s">
        <v>357</v>
      </c>
      <c r="B231" s="486">
        <v>4860</v>
      </c>
      <c r="C231" s="484">
        <v>0</v>
      </c>
      <c r="D231" s="484">
        <v>0</v>
      </c>
      <c r="E231" s="484">
        <v>0</v>
      </c>
      <c r="F231" s="484">
        <v>0</v>
      </c>
      <c r="G231" s="484">
        <v>0</v>
      </c>
      <c r="H231" s="484">
        <v>0</v>
      </c>
      <c r="I231" s="468"/>
      <c r="J231" s="484">
        <v>0</v>
      </c>
      <c r="K231" s="484">
        <v>0</v>
      </c>
    </row>
    <row r="232" spans="1:11" ht="12.75" customHeight="1" x14ac:dyDescent="0.2">
      <c r="A232" s="488" t="s">
        <v>358</v>
      </c>
      <c r="B232" s="486">
        <v>4861</v>
      </c>
      <c r="C232" s="484">
        <v>0</v>
      </c>
      <c r="D232" s="484">
        <v>0</v>
      </c>
      <c r="E232" s="484">
        <v>0</v>
      </c>
      <c r="F232" s="484">
        <v>0</v>
      </c>
      <c r="G232" s="484">
        <v>0</v>
      </c>
      <c r="H232" s="484">
        <v>0</v>
      </c>
      <c r="I232" s="468"/>
      <c r="J232" s="484">
        <v>0</v>
      </c>
      <c r="K232" s="484">
        <v>0</v>
      </c>
    </row>
    <row r="233" spans="1:11" ht="12.75" customHeight="1" x14ac:dyDescent="0.2">
      <c r="A233" s="488" t="s">
        <v>359</v>
      </c>
      <c r="B233" s="486">
        <v>4862</v>
      </c>
      <c r="C233" s="484">
        <v>0</v>
      </c>
      <c r="D233" s="484">
        <v>0</v>
      </c>
      <c r="E233" s="472"/>
      <c r="F233" s="484">
        <v>0</v>
      </c>
      <c r="G233" s="484">
        <v>0</v>
      </c>
      <c r="H233" s="472"/>
      <c r="I233" s="468"/>
      <c r="J233" s="472"/>
      <c r="K233" s="472"/>
    </row>
    <row r="234" spans="1:11" ht="12.75" customHeight="1" x14ac:dyDescent="0.2">
      <c r="A234" s="488" t="s">
        <v>360</v>
      </c>
      <c r="B234" s="486">
        <v>4863</v>
      </c>
      <c r="C234" s="484">
        <v>0</v>
      </c>
      <c r="D234" s="484">
        <v>0</v>
      </c>
      <c r="E234" s="468"/>
      <c r="F234" s="472"/>
      <c r="G234" s="521"/>
      <c r="H234" s="468"/>
      <c r="I234" s="468"/>
      <c r="J234" s="468"/>
      <c r="K234" s="468"/>
    </row>
    <row r="235" spans="1:11" ht="12.75" customHeight="1" x14ac:dyDescent="0.2">
      <c r="A235" s="488" t="s">
        <v>469</v>
      </c>
      <c r="B235" s="486">
        <v>4864</v>
      </c>
      <c r="C235" s="484">
        <v>0</v>
      </c>
      <c r="D235" s="484">
        <v>0</v>
      </c>
      <c r="E235" s="484">
        <v>0</v>
      </c>
      <c r="F235" s="484">
        <v>0</v>
      </c>
      <c r="G235" s="484">
        <v>0</v>
      </c>
      <c r="H235" s="484">
        <v>0</v>
      </c>
      <c r="I235" s="468"/>
      <c r="J235" s="484">
        <v>0</v>
      </c>
      <c r="K235" s="484">
        <v>0</v>
      </c>
    </row>
    <row r="236" spans="1:11" ht="12.75" customHeight="1" x14ac:dyDescent="0.2">
      <c r="A236" s="488" t="s">
        <v>470</v>
      </c>
      <c r="B236" s="486">
        <v>4865</v>
      </c>
      <c r="C236" s="484">
        <v>0</v>
      </c>
      <c r="D236" s="484">
        <v>0</v>
      </c>
      <c r="E236" s="484">
        <v>0</v>
      </c>
      <c r="F236" s="484">
        <v>0</v>
      </c>
      <c r="G236" s="484">
        <v>0</v>
      </c>
      <c r="H236" s="484">
        <v>0</v>
      </c>
      <c r="I236" s="468"/>
      <c r="J236" s="484">
        <v>0</v>
      </c>
      <c r="K236" s="484">
        <v>0</v>
      </c>
    </row>
    <row r="237" spans="1:11" ht="12.75" customHeight="1" x14ac:dyDescent="0.2">
      <c r="A237" s="488" t="s">
        <v>468</v>
      </c>
      <c r="B237" s="486">
        <v>4866</v>
      </c>
      <c r="C237" s="484">
        <v>0</v>
      </c>
      <c r="D237" s="484">
        <v>0</v>
      </c>
      <c r="E237" s="484">
        <v>0</v>
      </c>
      <c r="F237" s="484">
        <v>0</v>
      </c>
      <c r="G237" s="484">
        <v>0</v>
      </c>
      <c r="H237" s="484">
        <v>0</v>
      </c>
      <c r="I237" s="468"/>
      <c r="J237" s="484">
        <v>0</v>
      </c>
      <c r="K237" s="484">
        <v>0</v>
      </c>
    </row>
    <row r="238" spans="1:11" ht="12.75" customHeight="1" x14ac:dyDescent="0.2">
      <c r="A238" s="488" t="s">
        <v>467</v>
      </c>
      <c r="B238" s="486">
        <v>4867</v>
      </c>
      <c r="C238" s="484">
        <v>0</v>
      </c>
      <c r="D238" s="484">
        <v>0</v>
      </c>
      <c r="E238" s="484">
        <v>0</v>
      </c>
      <c r="F238" s="484">
        <v>0</v>
      </c>
      <c r="G238" s="484">
        <v>0</v>
      </c>
      <c r="H238" s="484">
        <v>0</v>
      </c>
      <c r="I238" s="468"/>
      <c r="J238" s="484">
        <v>0</v>
      </c>
      <c r="K238" s="484">
        <v>0</v>
      </c>
    </row>
    <row r="239" spans="1:11" ht="12.75" customHeight="1" x14ac:dyDescent="0.2">
      <c r="A239" s="488" t="s">
        <v>466</v>
      </c>
      <c r="B239" s="486">
        <v>4868</v>
      </c>
      <c r="C239" s="484">
        <v>0</v>
      </c>
      <c r="D239" s="484">
        <v>0</v>
      </c>
      <c r="E239" s="484">
        <v>0</v>
      </c>
      <c r="F239" s="484">
        <v>0</v>
      </c>
      <c r="G239" s="484">
        <v>0</v>
      </c>
      <c r="H239" s="484">
        <v>0</v>
      </c>
      <c r="I239" s="468"/>
      <c r="J239" s="484">
        <v>0</v>
      </c>
      <c r="K239" s="484">
        <v>0</v>
      </c>
    </row>
    <row r="240" spans="1:11" ht="12.75" customHeight="1" x14ac:dyDescent="0.2">
      <c r="A240" s="488" t="s">
        <v>465</v>
      </c>
      <c r="B240" s="486">
        <v>4869</v>
      </c>
      <c r="C240" s="484">
        <v>0</v>
      </c>
      <c r="D240" s="484">
        <v>0</v>
      </c>
      <c r="E240" s="484">
        <v>0</v>
      </c>
      <c r="F240" s="484">
        <v>0</v>
      </c>
      <c r="G240" s="484">
        <v>0</v>
      </c>
      <c r="H240" s="484">
        <v>0</v>
      </c>
      <c r="I240" s="468"/>
      <c r="J240" s="484">
        <v>0</v>
      </c>
      <c r="K240" s="484">
        <v>0</v>
      </c>
    </row>
    <row r="241" spans="1:11" ht="12.75" customHeight="1" x14ac:dyDescent="0.2">
      <c r="A241" s="488" t="s">
        <v>1128</v>
      </c>
      <c r="B241" s="486">
        <v>4870</v>
      </c>
      <c r="C241" s="484">
        <v>0</v>
      </c>
      <c r="D241" s="484">
        <v>0</v>
      </c>
      <c r="E241" s="484">
        <v>0</v>
      </c>
      <c r="F241" s="484">
        <v>0</v>
      </c>
      <c r="G241" s="484">
        <v>0</v>
      </c>
      <c r="H241" s="484">
        <v>0</v>
      </c>
      <c r="I241" s="468"/>
      <c r="J241" s="484">
        <v>0</v>
      </c>
      <c r="K241" s="484">
        <v>0</v>
      </c>
    </row>
    <row r="242" spans="1:11" ht="12.75" customHeight="1" x14ac:dyDescent="0.2">
      <c r="A242" s="488" t="s">
        <v>788</v>
      </c>
      <c r="B242" s="486">
        <v>4871</v>
      </c>
      <c r="C242" s="484">
        <v>0</v>
      </c>
      <c r="D242" s="484">
        <v>0</v>
      </c>
      <c r="E242" s="484">
        <v>0</v>
      </c>
      <c r="F242" s="484">
        <v>0</v>
      </c>
      <c r="G242" s="484">
        <v>0</v>
      </c>
      <c r="H242" s="484">
        <v>0</v>
      </c>
      <c r="I242" s="468"/>
      <c r="J242" s="484">
        <v>0</v>
      </c>
      <c r="K242" s="484">
        <v>0</v>
      </c>
    </row>
    <row r="243" spans="1:11" ht="12.75" customHeight="1" x14ac:dyDescent="0.2">
      <c r="A243" s="488" t="s">
        <v>789</v>
      </c>
      <c r="B243" s="486">
        <v>4872</v>
      </c>
      <c r="C243" s="484">
        <v>0</v>
      </c>
      <c r="D243" s="484">
        <v>0</v>
      </c>
      <c r="E243" s="484">
        <v>0</v>
      </c>
      <c r="F243" s="484">
        <v>0</v>
      </c>
      <c r="G243" s="484">
        <v>0</v>
      </c>
      <c r="H243" s="484">
        <v>0</v>
      </c>
      <c r="I243" s="468"/>
      <c r="J243" s="484">
        <v>0</v>
      </c>
      <c r="K243" s="484">
        <v>0</v>
      </c>
    </row>
    <row r="244" spans="1:11" ht="12.75" customHeight="1" x14ac:dyDescent="0.2">
      <c r="A244" s="488" t="s">
        <v>790</v>
      </c>
      <c r="B244" s="486">
        <v>4873</v>
      </c>
      <c r="C244" s="484">
        <v>0</v>
      </c>
      <c r="D244" s="484">
        <v>0</v>
      </c>
      <c r="E244" s="484">
        <v>0</v>
      </c>
      <c r="F244" s="484">
        <v>0</v>
      </c>
      <c r="G244" s="484">
        <v>0</v>
      </c>
      <c r="H244" s="484">
        <v>0</v>
      </c>
      <c r="I244" s="468"/>
      <c r="J244" s="484">
        <v>0</v>
      </c>
      <c r="K244" s="484">
        <v>0</v>
      </c>
    </row>
    <row r="245" spans="1:11" ht="12.75" customHeight="1" x14ac:dyDescent="0.2">
      <c r="A245" s="488" t="s">
        <v>791</v>
      </c>
      <c r="B245" s="486">
        <v>4874</v>
      </c>
      <c r="C245" s="484">
        <v>0</v>
      </c>
      <c r="D245" s="484">
        <v>0</v>
      </c>
      <c r="E245" s="484">
        <v>0</v>
      </c>
      <c r="F245" s="484">
        <v>0</v>
      </c>
      <c r="G245" s="484">
        <v>0</v>
      </c>
      <c r="H245" s="484">
        <v>0</v>
      </c>
      <c r="I245" s="468"/>
      <c r="J245" s="484">
        <v>0</v>
      </c>
      <c r="K245" s="484">
        <v>0</v>
      </c>
    </row>
    <row r="246" spans="1:11" ht="12.75" customHeight="1" x14ac:dyDescent="0.2">
      <c r="A246" s="488" t="s">
        <v>471</v>
      </c>
      <c r="B246" s="486">
        <v>4875</v>
      </c>
      <c r="C246" s="484">
        <v>0</v>
      </c>
      <c r="D246" s="484">
        <v>0</v>
      </c>
      <c r="E246" s="484">
        <v>0</v>
      </c>
      <c r="F246" s="484">
        <v>0</v>
      </c>
      <c r="G246" s="484">
        <v>0</v>
      </c>
      <c r="H246" s="484">
        <v>0</v>
      </c>
      <c r="I246" s="468"/>
      <c r="J246" s="484">
        <v>0</v>
      </c>
      <c r="K246" s="484">
        <v>0</v>
      </c>
    </row>
    <row r="247" spans="1:11" ht="12.75" customHeight="1" x14ac:dyDescent="0.2">
      <c r="A247" s="488" t="s">
        <v>770</v>
      </c>
      <c r="B247" s="486">
        <v>4876</v>
      </c>
      <c r="C247" s="484">
        <v>0</v>
      </c>
      <c r="D247" s="484">
        <v>0</v>
      </c>
      <c r="E247" s="484">
        <v>0</v>
      </c>
      <c r="F247" s="484">
        <v>0</v>
      </c>
      <c r="G247" s="484">
        <v>0</v>
      </c>
      <c r="H247" s="484">
        <v>0</v>
      </c>
      <c r="I247" s="468"/>
      <c r="J247" s="484">
        <v>0</v>
      </c>
      <c r="K247" s="484">
        <v>0</v>
      </c>
    </row>
    <row r="248" spans="1:11" ht="12.75" customHeight="1" x14ac:dyDescent="0.2">
      <c r="A248" s="488" t="s">
        <v>771</v>
      </c>
      <c r="B248" s="486">
        <v>4877</v>
      </c>
      <c r="C248" s="484">
        <v>0</v>
      </c>
      <c r="D248" s="484">
        <v>0</v>
      </c>
      <c r="E248" s="484">
        <v>0</v>
      </c>
      <c r="F248" s="484">
        <v>0</v>
      </c>
      <c r="G248" s="484">
        <v>0</v>
      </c>
      <c r="H248" s="484">
        <v>0</v>
      </c>
      <c r="I248" s="468"/>
      <c r="J248" s="484">
        <v>0</v>
      </c>
      <c r="K248" s="484">
        <v>0</v>
      </c>
    </row>
    <row r="249" spans="1:11" ht="12.75" customHeight="1" x14ac:dyDescent="0.2">
      <c r="A249" s="488" t="s">
        <v>772</v>
      </c>
      <c r="B249" s="486">
        <v>4878</v>
      </c>
      <c r="C249" s="484">
        <v>0</v>
      </c>
      <c r="D249" s="484">
        <v>0</v>
      </c>
      <c r="E249" s="484">
        <v>0</v>
      </c>
      <c r="F249" s="484">
        <v>0</v>
      </c>
      <c r="G249" s="484">
        <v>0</v>
      </c>
      <c r="H249" s="484">
        <v>0</v>
      </c>
      <c r="I249" s="468"/>
      <c r="J249" s="484">
        <v>0</v>
      </c>
      <c r="K249" s="484">
        <v>0</v>
      </c>
    </row>
    <row r="250" spans="1:11" ht="12.75" customHeight="1" x14ac:dyDescent="0.2">
      <c r="A250" s="488" t="s">
        <v>773</v>
      </c>
      <c r="B250" s="486">
        <v>4879</v>
      </c>
      <c r="C250" s="484">
        <v>0</v>
      </c>
      <c r="D250" s="484">
        <v>0</v>
      </c>
      <c r="E250" s="484">
        <v>0</v>
      </c>
      <c r="F250" s="484">
        <v>0</v>
      </c>
      <c r="G250" s="484">
        <v>0</v>
      </c>
      <c r="H250" s="484">
        <v>0</v>
      </c>
      <c r="I250" s="468"/>
      <c r="J250" s="484">
        <v>0</v>
      </c>
      <c r="K250" s="484">
        <v>0</v>
      </c>
    </row>
    <row r="251" spans="1:11" ht="12.75" customHeight="1" x14ac:dyDescent="0.2">
      <c r="A251" s="225" t="s">
        <v>1455</v>
      </c>
      <c r="B251" s="579">
        <v>4880</v>
      </c>
      <c r="C251" s="484">
        <v>0</v>
      </c>
      <c r="D251" s="484">
        <v>0</v>
      </c>
      <c r="E251" s="484">
        <v>0</v>
      </c>
      <c r="F251" s="484">
        <v>0</v>
      </c>
      <c r="G251" s="484">
        <v>0</v>
      </c>
      <c r="H251" s="484">
        <v>0</v>
      </c>
      <c r="I251" s="468"/>
      <c r="J251" s="484">
        <v>0</v>
      </c>
      <c r="K251" s="484">
        <v>0</v>
      </c>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46"/>
      <c r="J252" s="1694">
        <f>SUM(J223:J251)</f>
        <v>0</v>
      </c>
      <c r="K252" s="1675">
        <f>SUM(K223:K251)</f>
        <v>0</v>
      </c>
    </row>
    <row r="253" spans="1:11" ht="12.75" customHeight="1" thickTop="1" thickBot="1" x14ac:dyDescent="0.25">
      <c r="A253" s="1489" t="s">
        <v>1421</v>
      </c>
      <c r="B253" s="580">
        <v>4901</v>
      </c>
      <c r="C253" s="581">
        <v>0</v>
      </c>
      <c r="D253" s="469"/>
      <c r="E253" s="468"/>
      <c r="F253" s="468"/>
      <c r="G253" s="468"/>
      <c r="H253" s="468"/>
      <c r="I253" s="468"/>
      <c r="J253" s="468"/>
      <c r="K253" s="468"/>
    </row>
    <row r="254" spans="1:11" ht="12.75" customHeight="1" thickTop="1" thickBot="1" x14ac:dyDescent="0.25">
      <c r="A254" s="1490" t="s">
        <v>1463</v>
      </c>
      <c r="B254" s="582">
        <v>4902</v>
      </c>
      <c r="C254" s="581">
        <v>0</v>
      </c>
      <c r="D254" s="583">
        <v>0</v>
      </c>
      <c r="E254" s="469"/>
      <c r="F254" s="583">
        <v>0</v>
      </c>
      <c r="G254" s="583">
        <v>0</v>
      </c>
      <c r="H254" s="469"/>
      <c r="I254" s="468"/>
      <c r="J254" s="469"/>
      <c r="K254" s="469"/>
    </row>
    <row r="255" spans="1:11" ht="12.75" customHeight="1" thickTop="1" thickBot="1" x14ac:dyDescent="0.25">
      <c r="A255" s="463" t="s">
        <v>1456</v>
      </c>
      <c r="B255" s="470">
        <v>4905</v>
      </c>
      <c r="C255" s="581">
        <v>0</v>
      </c>
      <c r="D255" s="468"/>
      <c r="E255" s="468"/>
      <c r="F255" s="581">
        <v>0</v>
      </c>
      <c r="G255" s="581">
        <v>0</v>
      </c>
      <c r="H255" s="468"/>
      <c r="I255" s="468"/>
      <c r="J255" s="468"/>
      <c r="K255" s="468"/>
    </row>
    <row r="256" spans="1:11" ht="12.75" customHeight="1" thickTop="1" thickBot="1" x14ac:dyDescent="0.25">
      <c r="A256" s="463" t="s">
        <v>1457</v>
      </c>
      <c r="B256" s="470">
        <v>4909</v>
      </c>
      <c r="C256" s="581">
        <v>3822</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421</v>
      </c>
      <c r="B258" s="470">
        <v>4930</v>
      </c>
      <c r="C258" s="581">
        <v>0</v>
      </c>
      <c r="D258" s="581">
        <v>0</v>
      </c>
      <c r="E258" s="468"/>
      <c r="F258" s="581">
        <v>0</v>
      </c>
      <c r="G258" s="581">
        <v>0</v>
      </c>
      <c r="H258" s="468"/>
      <c r="I258" s="468"/>
      <c r="J258" s="468"/>
      <c r="K258" s="468"/>
    </row>
    <row r="259" spans="1:11" ht="12.75" customHeight="1" thickTop="1" thickBot="1" x14ac:dyDescent="0.25">
      <c r="A259" s="463" t="s">
        <v>758</v>
      </c>
      <c r="B259" s="470">
        <v>4932</v>
      </c>
      <c r="C259" s="581">
        <v>50705</v>
      </c>
      <c r="D259" s="581">
        <v>0</v>
      </c>
      <c r="E259" s="468"/>
      <c r="F259" s="581">
        <v>0</v>
      </c>
      <c r="G259" s="581">
        <v>0</v>
      </c>
      <c r="H259" s="468"/>
      <c r="I259" s="468"/>
      <c r="J259" s="468"/>
      <c r="K259" s="468"/>
    </row>
    <row r="260" spans="1:11" ht="12.75" customHeight="1" thickTop="1" thickBot="1" x14ac:dyDescent="0.25">
      <c r="A260" s="463" t="s">
        <v>890</v>
      </c>
      <c r="B260" s="470">
        <v>4960</v>
      </c>
      <c r="C260" s="581">
        <v>0</v>
      </c>
      <c r="D260" s="581">
        <v>0</v>
      </c>
      <c r="E260" s="468"/>
      <c r="F260" s="581">
        <v>0</v>
      </c>
      <c r="G260" s="581">
        <v>0</v>
      </c>
      <c r="H260" s="468"/>
      <c r="I260" s="468"/>
      <c r="J260" s="468"/>
      <c r="K260" s="468"/>
    </row>
    <row r="261" spans="1:11" ht="12.75" customHeight="1" thickTop="1" thickBot="1" x14ac:dyDescent="0.25">
      <c r="A261" s="1917" t="s">
        <v>1934</v>
      </c>
      <c r="B261" s="470">
        <v>4981</v>
      </c>
      <c r="C261" s="581">
        <v>0</v>
      </c>
      <c r="D261" s="581">
        <v>0</v>
      </c>
      <c r="E261" s="468"/>
      <c r="F261" s="581">
        <v>0</v>
      </c>
      <c r="G261" s="581">
        <v>0</v>
      </c>
      <c r="H261" s="468"/>
      <c r="I261" s="468"/>
      <c r="J261" s="468"/>
      <c r="K261" s="468"/>
    </row>
    <row r="262" spans="1:11" ht="12.75" customHeight="1" thickTop="1" thickBot="1" x14ac:dyDescent="0.25">
      <c r="A262" s="1918" t="s">
        <v>1935</v>
      </c>
      <c r="B262" s="470">
        <v>4982</v>
      </c>
      <c r="C262" s="581">
        <v>0</v>
      </c>
      <c r="D262" s="581">
        <v>0</v>
      </c>
      <c r="E262" s="468"/>
      <c r="F262" s="581">
        <v>0</v>
      </c>
      <c r="G262" s="581">
        <v>0</v>
      </c>
      <c r="H262" s="468"/>
      <c r="I262" s="468"/>
      <c r="J262" s="468"/>
      <c r="K262" s="468"/>
    </row>
    <row r="263" spans="1:11" ht="12.75" customHeight="1" thickTop="1" thickBot="1" x14ac:dyDescent="0.25">
      <c r="A263" s="463" t="s">
        <v>568</v>
      </c>
      <c r="B263" s="470">
        <v>4991</v>
      </c>
      <c r="C263" s="581">
        <v>32270</v>
      </c>
      <c r="D263" s="581">
        <v>0</v>
      </c>
      <c r="E263" s="468"/>
      <c r="F263" s="581">
        <v>0</v>
      </c>
      <c r="G263" s="581">
        <v>0</v>
      </c>
      <c r="H263" s="468"/>
      <c r="I263" s="468"/>
      <c r="J263" s="468"/>
      <c r="K263" s="468"/>
    </row>
    <row r="264" spans="1:11" ht="12.75" customHeight="1" thickTop="1" thickBot="1" x14ac:dyDescent="0.25">
      <c r="A264" s="463" t="s">
        <v>377</v>
      </c>
      <c r="B264" s="470">
        <v>4992</v>
      </c>
      <c r="C264" s="581">
        <v>21333</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9936</v>
      </c>
      <c r="D265" s="581">
        <v>0</v>
      </c>
      <c r="E265" s="468"/>
      <c r="F265" s="581">
        <v>0</v>
      </c>
      <c r="G265" s="581">
        <v>0</v>
      </c>
      <c r="H265" s="525">
        <v>0</v>
      </c>
      <c r="I265" s="468"/>
      <c r="J265" s="468"/>
      <c r="K265" s="525">
        <v>0</v>
      </c>
    </row>
    <row r="266" spans="1:11" ht="14.25" thickTop="1" thickBot="1" x14ac:dyDescent="0.25">
      <c r="A266" s="1695" t="s">
        <v>1666</v>
      </c>
      <c r="B266" s="1714"/>
      <c r="C266" s="1702">
        <f t="shared" ref="C266:H266" si="10">SUM(C188,C198,C204,C209,C217,C221,C222,C252:C265)</f>
        <v>1046609</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1046609</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26371072</v>
      </c>
      <c r="D268" s="1702">
        <f t="shared" si="12"/>
        <v>2379882</v>
      </c>
      <c r="E268" s="1702">
        <f t="shared" si="12"/>
        <v>723549</v>
      </c>
      <c r="F268" s="1702">
        <f t="shared" si="12"/>
        <v>1038689</v>
      </c>
      <c r="G268" s="1702">
        <f t="shared" si="12"/>
        <v>1030275</v>
      </c>
      <c r="H268" s="1702">
        <f t="shared" si="12"/>
        <v>2678</v>
      </c>
      <c r="I268" s="1702">
        <f t="shared" si="12"/>
        <v>85065</v>
      </c>
      <c r="J268" s="1702">
        <f t="shared" si="12"/>
        <v>0</v>
      </c>
      <c r="K268" s="1689">
        <f t="shared" si="12"/>
        <v>3</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 activePane="bottomLeft" state="frozen"/>
      <selection activeCell="I13" sqref="I13:L13"/>
      <selection pane="bottomLeft" activeCell="I13" sqref="I13:L13"/>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274" t="s">
        <v>1799</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306"/>
      <c r="B2" s="596" t="s">
        <v>45</v>
      </c>
      <c r="C2" s="597" t="s">
        <v>194</v>
      </c>
      <c r="D2" s="598" t="s">
        <v>49</v>
      </c>
      <c r="E2" s="598" t="s">
        <v>1100</v>
      </c>
      <c r="F2" s="598" t="s">
        <v>1094</v>
      </c>
      <c r="G2" s="597" t="s">
        <v>1095</v>
      </c>
      <c r="H2" s="597" t="s">
        <v>1096</v>
      </c>
      <c r="I2" s="598" t="s">
        <v>291</v>
      </c>
      <c r="J2" s="598" t="s">
        <v>292</v>
      </c>
      <c r="K2" s="597" t="s">
        <v>156</v>
      </c>
      <c r="L2" s="597" t="s">
        <v>30</v>
      </c>
      <c r="M2" s="257"/>
      <c r="N2" s="257"/>
    </row>
    <row r="3" spans="1:14" s="343" customFormat="1" ht="16.7" customHeight="1" x14ac:dyDescent="0.2">
      <c r="A3" s="2312" t="s">
        <v>297</v>
      </c>
      <c r="B3" s="2313"/>
      <c r="C3" s="1535"/>
      <c r="D3" s="1535"/>
      <c r="E3" s="1535"/>
      <c r="F3" s="1535"/>
      <c r="G3" s="1535"/>
      <c r="H3" s="1535"/>
      <c r="I3" s="1535"/>
      <c r="J3" s="1535"/>
      <c r="K3" s="1536"/>
      <c r="L3" s="1537"/>
      <c r="M3" s="600"/>
      <c r="N3" s="600"/>
    </row>
    <row r="4" spans="1:14" s="259"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6">
        <v>7642633</v>
      </c>
      <c r="D5" s="466">
        <v>1327117</v>
      </c>
      <c r="E5" s="466">
        <v>39887</v>
      </c>
      <c r="F5" s="466">
        <v>204281</v>
      </c>
      <c r="G5" s="466">
        <v>2836</v>
      </c>
      <c r="H5" s="466">
        <v>0</v>
      </c>
      <c r="I5" s="466">
        <v>0</v>
      </c>
      <c r="J5" s="466">
        <v>0</v>
      </c>
      <c r="K5" s="1658">
        <f>SUM(C5:J5)</f>
        <v>9216754</v>
      </c>
      <c r="L5" s="466">
        <v>9170275</v>
      </c>
    </row>
    <row r="6" spans="1:14" x14ac:dyDescent="0.2">
      <c r="A6" s="1491" t="s">
        <v>1433</v>
      </c>
      <c r="B6" s="605" t="s">
        <v>1431</v>
      </c>
      <c r="C6" s="473"/>
      <c r="D6" s="473"/>
      <c r="E6" s="466">
        <v>0</v>
      </c>
      <c r="F6" s="473"/>
      <c r="G6" s="473"/>
      <c r="H6" s="473"/>
      <c r="I6" s="473"/>
      <c r="J6" s="473"/>
      <c r="K6" s="1658">
        <f>SUM(C6,E6)</f>
        <v>0</v>
      </c>
      <c r="L6" s="466">
        <v>0</v>
      </c>
    </row>
    <row r="7" spans="1:14" x14ac:dyDescent="0.2">
      <c r="A7" s="1491" t="s">
        <v>163</v>
      </c>
      <c r="B7" s="605" t="s">
        <v>967</v>
      </c>
      <c r="C7" s="466">
        <v>0</v>
      </c>
      <c r="D7" s="466">
        <v>0</v>
      </c>
      <c r="E7" s="466">
        <v>0</v>
      </c>
      <c r="F7" s="466">
        <v>0</v>
      </c>
      <c r="G7" s="466">
        <v>0</v>
      </c>
      <c r="H7" s="466">
        <v>0</v>
      </c>
      <c r="I7" s="466">
        <v>0</v>
      </c>
      <c r="J7" s="466">
        <v>0</v>
      </c>
      <c r="K7" s="1658">
        <f t="shared" ref="K7:K32" si="0">SUM(C7:J7)</f>
        <v>0</v>
      </c>
      <c r="L7" s="466">
        <v>0</v>
      </c>
    </row>
    <row r="8" spans="1:14" x14ac:dyDescent="0.2">
      <c r="A8" s="1491" t="s">
        <v>164</v>
      </c>
      <c r="B8" s="605">
        <v>1200</v>
      </c>
      <c r="C8" s="466">
        <v>1804363</v>
      </c>
      <c r="D8" s="466">
        <v>339161</v>
      </c>
      <c r="E8" s="466">
        <v>16910</v>
      </c>
      <c r="F8" s="466">
        <v>9872</v>
      </c>
      <c r="G8" s="466">
        <v>0</v>
      </c>
      <c r="H8" s="466">
        <v>0</v>
      </c>
      <c r="I8" s="466">
        <v>0</v>
      </c>
      <c r="J8" s="466">
        <v>0</v>
      </c>
      <c r="K8" s="1658">
        <f t="shared" si="0"/>
        <v>2170306</v>
      </c>
      <c r="L8" s="466">
        <v>2426164</v>
      </c>
    </row>
    <row r="9" spans="1:14" x14ac:dyDescent="0.2">
      <c r="A9" s="1491" t="s">
        <v>721</v>
      </c>
      <c r="B9" s="605" t="s">
        <v>968</v>
      </c>
      <c r="C9" s="466">
        <v>0</v>
      </c>
      <c r="D9" s="466">
        <v>0</v>
      </c>
      <c r="E9" s="466">
        <v>0</v>
      </c>
      <c r="F9" s="466">
        <v>0</v>
      </c>
      <c r="G9" s="466">
        <v>0</v>
      </c>
      <c r="H9" s="466">
        <v>0</v>
      </c>
      <c r="I9" s="466">
        <v>0</v>
      </c>
      <c r="J9" s="466">
        <v>0</v>
      </c>
      <c r="K9" s="1658">
        <f t="shared" si="0"/>
        <v>0</v>
      </c>
      <c r="L9" s="466">
        <v>0</v>
      </c>
    </row>
    <row r="10" spans="1:14" x14ac:dyDescent="0.2">
      <c r="A10" s="1491" t="s">
        <v>722</v>
      </c>
      <c r="B10" s="605">
        <v>1250</v>
      </c>
      <c r="C10" s="466">
        <v>16363</v>
      </c>
      <c r="D10" s="466">
        <v>1382</v>
      </c>
      <c r="E10" s="466">
        <v>18278</v>
      </c>
      <c r="F10" s="466">
        <v>123636</v>
      </c>
      <c r="G10" s="466">
        <v>0</v>
      </c>
      <c r="H10" s="466">
        <v>0</v>
      </c>
      <c r="I10" s="466">
        <v>0</v>
      </c>
      <c r="J10" s="466">
        <v>0</v>
      </c>
      <c r="K10" s="1658">
        <f t="shared" si="0"/>
        <v>159659</v>
      </c>
      <c r="L10" s="466">
        <v>174484</v>
      </c>
    </row>
    <row r="11" spans="1:14" x14ac:dyDescent="0.2">
      <c r="A11" s="1491" t="s">
        <v>1130</v>
      </c>
      <c r="B11" s="605" t="s">
        <v>161</v>
      </c>
      <c r="C11" s="466">
        <v>0</v>
      </c>
      <c r="D11" s="466">
        <v>0</v>
      </c>
      <c r="E11" s="466">
        <v>0</v>
      </c>
      <c r="F11" s="466">
        <v>0</v>
      </c>
      <c r="G11" s="466">
        <v>0</v>
      </c>
      <c r="H11" s="466">
        <v>0</v>
      </c>
      <c r="I11" s="466">
        <v>0</v>
      </c>
      <c r="J11" s="466">
        <v>0</v>
      </c>
      <c r="K11" s="1658">
        <f t="shared" si="0"/>
        <v>0</v>
      </c>
      <c r="L11" s="466">
        <v>0</v>
      </c>
    </row>
    <row r="12" spans="1:14" x14ac:dyDescent="0.2">
      <c r="A12" s="1491" t="s">
        <v>962</v>
      </c>
      <c r="B12" s="605">
        <v>1300</v>
      </c>
      <c r="C12" s="466">
        <v>0</v>
      </c>
      <c r="D12" s="466">
        <v>0</v>
      </c>
      <c r="E12" s="466">
        <v>0</v>
      </c>
      <c r="F12" s="466">
        <v>0</v>
      </c>
      <c r="G12" s="466">
        <v>0</v>
      </c>
      <c r="H12" s="466">
        <v>0</v>
      </c>
      <c r="I12" s="466">
        <v>0</v>
      </c>
      <c r="J12" s="466">
        <v>0</v>
      </c>
      <c r="K12" s="1658">
        <f t="shared" si="0"/>
        <v>0</v>
      </c>
      <c r="L12" s="466">
        <v>0</v>
      </c>
    </row>
    <row r="13" spans="1:14" x14ac:dyDescent="0.2">
      <c r="A13" s="1491" t="s">
        <v>723</v>
      </c>
      <c r="B13" s="605">
        <v>1400</v>
      </c>
      <c r="C13" s="466">
        <v>1069190</v>
      </c>
      <c r="D13" s="466">
        <v>177219</v>
      </c>
      <c r="E13" s="466">
        <v>8089</v>
      </c>
      <c r="F13" s="466">
        <v>86772</v>
      </c>
      <c r="G13" s="466">
        <v>31580</v>
      </c>
      <c r="H13" s="466">
        <v>0</v>
      </c>
      <c r="I13" s="466">
        <v>0</v>
      </c>
      <c r="J13" s="466">
        <v>0</v>
      </c>
      <c r="K13" s="1658">
        <f t="shared" si="0"/>
        <v>1372850</v>
      </c>
      <c r="L13" s="466">
        <v>1319658</v>
      </c>
    </row>
    <row r="14" spans="1:14" x14ac:dyDescent="0.2">
      <c r="A14" s="1491" t="s">
        <v>963</v>
      </c>
      <c r="B14" s="605">
        <v>1500</v>
      </c>
      <c r="C14" s="466">
        <v>1077925</v>
      </c>
      <c r="D14" s="466">
        <v>60365</v>
      </c>
      <c r="E14" s="466">
        <v>168308</v>
      </c>
      <c r="F14" s="466">
        <v>103201</v>
      </c>
      <c r="G14" s="466">
        <v>23500</v>
      </c>
      <c r="H14" s="466">
        <v>36327</v>
      </c>
      <c r="I14" s="466">
        <v>7748</v>
      </c>
      <c r="J14" s="466">
        <v>0</v>
      </c>
      <c r="K14" s="1658">
        <f t="shared" si="0"/>
        <v>1477374</v>
      </c>
      <c r="L14" s="466">
        <v>1507878</v>
      </c>
    </row>
    <row r="15" spans="1:14" x14ac:dyDescent="0.2">
      <c r="A15" s="1491" t="s">
        <v>964</v>
      </c>
      <c r="B15" s="605">
        <v>1600</v>
      </c>
      <c r="C15" s="466">
        <v>67676</v>
      </c>
      <c r="D15" s="466">
        <v>2053</v>
      </c>
      <c r="E15" s="466">
        <v>0</v>
      </c>
      <c r="F15" s="466">
        <v>0</v>
      </c>
      <c r="G15" s="466">
        <v>0</v>
      </c>
      <c r="H15" s="466">
        <v>0</v>
      </c>
      <c r="I15" s="466">
        <v>0</v>
      </c>
      <c r="J15" s="466">
        <v>0</v>
      </c>
      <c r="K15" s="1658">
        <f t="shared" si="0"/>
        <v>69729</v>
      </c>
      <c r="L15" s="466">
        <v>64362</v>
      </c>
    </row>
    <row r="16" spans="1:14" x14ac:dyDescent="0.2">
      <c r="A16" s="1491" t="s">
        <v>987</v>
      </c>
      <c r="B16" s="605" t="s">
        <v>424</v>
      </c>
      <c r="C16" s="466">
        <v>0</v>
      </c>
      <c r="D16" s="466">
        <v>0</v>
      </c>
      <c r="E16" s="466">
        <v>0</v>
      </c>
      <c r="F16" s="466">
        <v>0</v>
      </c>
      <c r="G16" s="466">
        <v>0</v>
      </c>
      <c r="H16" s="466">
        <v>0</v>
      </c>
      <c r="I16" s="466">
        <v>0</v>
      </c>
      <c r="J16" s="466">
        <v>0</v>
      </c>
      <c r="K16" s="1658">
        <f t="shared" si="0"/>
        <v>0</v>
      </c>
      <c r="L16" s="466">
        <v>0</v>
      </c>
    </row>
    <row r="17" spans="1:12" x14ac:dyDescent="0.2">
      <c r="A17" s="1491" t="s">
        <v>724</v>
      </c>
      <c r="B17" s="605" t="s">
        <v>162</v>
      </c>
      <c r="C17" s="466">
        <v>146968</v>
      </c>
      <c r="D17" s="466">
        <v>6355</v>
      </c>
      <c r="E17" s="466">
        <v>2479</v>
      </c>
      <c r="F17" s="466">
        <v>2715</v>
      </c>
      <c r="G17" s="466">
        <v>0</v>
      </c>
      <c r="H17" s="466">
        <v>0</v>
      </c>
      <c r="I17" s="466">
        <v>0</v>
      </c>
      <c r="J17" s="466">
        <v>0</v>
      </c>
      <c r="K17" s="1658">
        <f t="shared" si="0"/>
        <v>158517</v>
      </c>
      <c r="L17" s="466">
        <v>128452</v>
      </c>
    </row>
    <row r="18" spans="1:12" x14ac:dyDescent="0.2">
      <c r="A18" s="1491" t="s">
        <v>1087</v>
      </c>
      <c r="B18" s="605">
        <v>1800</v>
      </c>
      <c r="C18" s="466">
        <v>461152</v>
      </c>
      <c r="D18" s="466">
        <v>69218</v>
      </c>
      <c r="E18" s="466">
        <v>1190</v>
      </c>
      <c r="F18" s="466">
        <v>17042</v>
      </c>
      <c r="G18" s="466">
        <v>0</v>
      </c>
      <c r="H18" s="466">
        <v>0</v>
      </c>
      <c r="I18" s="466">
        <v>0</v>
      </c>
      <c r="J18" s="466">
        <v>0</v>
      </c>
      <c r="K18" s="1658">
        <f t="shared" si="0"/>
        <v>548602</v>
      </c>
      <c r="L18" s="466">
        <v>704176</v>
      </c>
    </row>
    <row r="19" spans="1:12" x14ac:dyDescent="0.2">
      <c r="A19" s="1491" t="s">
        <v>134</v>
      </c>
      <c r="B19" s="605">
        <v>1900</v>
      </c>
      <c r="C19" s="466">
        <v>0</v>
      </c>
      <c r="D19" s="466">
        <v>0</v>
      </c>
      <c r="E19" s="466">
        <v>0</v>
      </c>
      <c r="F19" s="466">
        <v>0</v>
      </c>
      <c r="G19" s="466">
        <v>0</v>
      </c>
      <c r="H19" s="466">
        <v>0</v>
      </c>
      <c r="I19" s="466">
        <v>0</v>
      </c>
      <c r="J19" s="466">
        <v>0</v>
      </c>
      <c r="K19" s="1658">
        <f t="shared" si="0"/>
        <v>0</v>
      </c>
      <c r="L19" s="466">
        <v>0</v>
      </c>
    </row>
    <row r="20" spans="1:12" x14ac:dyDescent="0.2">
      <c r="A20" s="1492" t="s">
        <v>738</v>
      </c>
      <c r="B20" s="593" t="s">
        <v>725</v>
      </c>
      <c r="C20" s="473"/>
      <c r="D20" s="473"/>
      <c r="E20" s="473"/>
      <c r="F20" s="473"/>
      <c r="G20" s="473"/>
      <c r="H20" s="466">
        <v>0</v>
      </c>
      <c r="I20" s="607"/>
      <c r="J20" s="472"/>
      <c r="K20" s="1658">
        <f t="shared" si="0"/>
        <v>0</v>
      </c>
      <c r="L20" s="466">
        <v>0</v>
      </c>
    </row>
    <row r="21" spans="1:12" x14ac:dyDescent="0.2">
      <c r="A21" s="1492" t="s">
        <v>739</v>
      </c>
      <c r="B21" s="593" t="s">
        <v>726</v>
      </c>
      <c r="C21" s="473"/>
      <c r="D21" s="473"/>
      <c r="E21" s="473"/>
      <c r="F21" s="473"/>
      <c r="G21" s="473"/>
      <c r="H21" s="466">
        <v>0</v>
      </c>
      <c r="I21" s="607"/>
      <c r="J21" s="473"/>
      <c r="K21" s="1658">
        <f t="shared" si="0"/>
        <v>0</v>
      </c>
      <c r="L21" s="466">
        <v>0</v>
      </c>
    </row>
    <row r="22" spans="1:12" x14ac:dyDescent="0.2">
      <c r="A22" s="1492" t="s">
        <v>740</v>
      </c>
      <c r="B22" s="593" t="s">
        <v>727</v>
      </c>
      <c r="C22" s="473"/>
      <c r="D22" s="473"/>
      <c r="E22" s="473"/>
      <c r="F22" s="473"/>
      <c r="G22" s="473"/>
      <c r="H22" s="466">
        <v>427009</v>
      </c>
      <c r="I22" s="607"/>
      <c r="J22" s="473"/>
      <c r="K22" s="1658">
        <f t="shared" si="0"/>
        <v>427009</v>
      </c>
      <c r="L22" s="466">
        <v>475250</v>
      </c>
    </row>
    <row r="23" spans="1:12" x14ac:dyDescent="0.2">
      <c r="A23" s="1492" t="s">
        <v>741</v>
      </c>
      <c r="B23" s="593" t="s">
        <v>728</v>
      </c>
      <c r="C23" s="473"/>
      <c r="D23" s="473"/>
      <c r="E23" s="473"/>
      <c r="F23" s="473"/>
      <c r="G23" s="473"/>
      <c r="H23" s="466">
        <v>0</v>
      </c>
      <c r="I23" s="607"/>
      <c r="J23" s="473"/>
      <c r="K23" s="1658">
        <f t="shared" si="0"/>
        <v>0</v>
      </c>
      <c r="L23" s="466">
        <v>0</v>
      </c>
    </row>
    <row r="24" spans="1:12" ht="12.75" customHeight="1" x14ac:dyDescent="0.2">
      <c r="A24" s="1492" t="s">
        <v>742</v>
      </c>
      <c r="B24" s="593" t="s">
        <v>729</v>
      </c>
      <c r="C24" s="473"/>
      <c r="D24" s="473"/>
      <c r="E24" s="473"/>
      <c r="F24" s="473"/>
      <c r="G24" s="473"/>
      <c r="H24" s="466">
        <v>0</v>
      </c>
      <c r="I24" s="607"/>
      <c r="J24" s="473"/>
      <c r="K24" s="1658">
        <f t="shared" si="0"/>
        <v>0</v>
      </c>
      <c r="L24" s="466">
        <v>0</v>
      </c>
    </row>
    <row r="25" spans="1:12" ht="12.75" customHeight="1" x14ac:dyDescent="0.2">
      <c r="A25" s="1492" t="s">
        <v>802</v>
      </c>
      <c r="B25" s="593" t="s">
        <v>730</v>
      </c>
      <c r="C25" s="473"/>
      <c r="D25" s="473"/>
      <c r="E25" s="473"/>
      <c r="F25" s="473"/>
      <c r="G25" s="473"/>
      <c r="H25" s="466">
        <v>0</v>
      </c>
      <c r="I25" s="607"/>
      <c r="J25" s="473"/>
      <c r="K25" s="1658">
        <f t="shared" si="0"/>
        <v>0</v>
      </c>
      <c r="L25" s="466">
        <v>0</v>
      </c>
    </row>
    <row r="26" spans="1:12" x14ac:dyDescent="0.2">
      <c r="A26" s="1492" t="s">
        <v>622</v>
      </c>
      <c r="B26" s="593" t="s">
        <v>731</v>
      </c>
      <c r="C26" s="473"/>
      <c r="D26" s="473"/>
      <c r="E26" s="473"/>
      <c r="F26" s="473"/>
      <c r="G26" s="473"/>
      <c r="H26" s="466">
        <v>0</v>
      </c>
      <c r="I26" s="607"/>
      <c r="J26" s="473"/>
      <c r="K26" s="1658">
        <f t="shared" si="0"/>
        <v>0</v>
      </c>
      <c r="L26" s="466">
        <v>0</v>
      </c>
    </row>
    <row r="27" spans="1:12" x14ac:dyDescent="0.2">
      <c r="A27" s="1492" t="s">
        <v>623</v>
      </c>
      <c r="B27" s="593" t="s">
        <v>732</v>
      </c>
      <c r="C27" s="473"/>
      <c r="D27" s="473"/>
      <c r="E27" s="473"/>
      <c r="F27" s="473"/>
      <c r="G27" s="473"/>
      <c r="H27" s="466">
        <v>0</v>
      </c>
      <c r="I27" s="607"/>
      <c r="J27" s="473"/>
      <c r="K27" s="1658">
        <f t="shared" si="0"/>
        <v>0</v>
      </c>
      <c r="L27" s="466">
        <v>0</v>
      </c>
    </row>
    <row r="28" spans="1:12" x14ac:dyDescent="0.2">
      <c r="A28" s="1492" t="s">
        <v>150</v>
      </c>
      <c r="B28" s="593" t="s">
        <v>733</v>
      </c>
      <c r="C28" s="473"/>
      <c r="D28" s="473"/>
      <c r="E28" s="473"/>
      <c r="F28" s="473"/>
      <c r="G28" s="473"/>
      <c r="H28" s="466">
        <v>0</v>
      </c>
      <c r="I28" s="607"/>
      <c r="J28" s="473"/>
      <c r="K28" s="1658">
        <f t="shared" si="0"/>
        <v>0</v>
      </c>
      <c r="L28" s="466">
        <v>0</v>
      </c>
    </row>
    <row r="29" spans="1:12" x14ac:dyDescent="0.2">
      <c r="A29" s="1492" t="s">
        <v>151</v>
      </c>
      <c r="B29" s="593" t="s">
        <v>734</v>
      </c>
      <c r="C29" s="473"/>
      <c r="D29" s="473"/>
      <c r="E29" s="473"/>
      <c r="F29" s="473"/>
      <c r="G29" s="473"/>
      <c r="H29" s="466">
        <v>0</v>
      </c>
      <c r="I29" s="607"/>
      <c r="J29" s="473"/>
      <c r="K29" s="1658">
        <f t="shared" si="0"/>
        <v>0</v>
      </c>
      <c r="L29" s="466">
        <v>0</v>
      </c>
    </row>
    <row r="30" spans="1:12" x14ac:dyDescent="0.2">
      <c r="A30" s="1492" t="s">
        <v>152</v>
      </c>
      <c r="B30" s="593" t="s">
        <v>735</v>
      </c>
      <c r="C30" s="473"/>
      <c r="D30" s="473"/>
      <c r="E30" s="473"/>
      <c r="F30" s="473"/>
      <c r="G30" s="473"/>
      <c r="H30" s="466">
        <v>0</v>
      </c>
      <c r="I30" s="607"/>
      <c r="J30" s="473"/>
      <c r="K30" s="1658">
        <f t="shared" si="0"/>
        <v>0</v>
      </c>
      <c r="L30" s="466">
        <v>0</v>
      </c>
    </row>
    <row r="31" spans="1:12" x14ac:dyDescent="0.2">
      <c r="A31" s="1492" t="s">
        <v>153</v>
      </c>
      <c r="B31" s="593" t="s">
        <v>736</v>
      </c>
      <c r="C31" s="473"/>
      <c r="D31" s="473"/>
      <c r="E31" s="473"/>
      <c r="F31" s="473"/>
      <c r="G31" s="473"/>
      <c r="H31" s="466">
        <v>0</v>
      </c>
      <c r="I31" s="607"/>
      <c r="J31" s="473"/>
      <c r="K31" s="1658">
        <f t="shared" si="0"/>
        <v>0</v>
      </c>
      <c r="L31" s="466">
        <v>0</v>
      </c>
    </row>
    <row r="32" spans="1:12" x14ac:dyDescent="0.2">
      <c r="A32" s="1493" t="s">
        <v>1129</v>
      </c>
      <c r="B32" s="605" t="s">
        <v>737</v>
      </c>
      <c r="C32" s="473"/>
      <c r="D32" s="473"/>
      <c r="E32" s="473"/>
      <c r="F32" s="473"/>
      <c r="G32" s="473"/>
      <c r="H32" s="466">
        <v>0</v>
      </c>
      <c r="I32" s="607"/>
      <c r="J32" s="476"/>
      <c r="K32" s="1658">
        <f t="shared" si="0"/>
        <v>0</v>
      </c>
      <c r="L32" s="466">
        <v>0</v>
      </c>
    </row>
    <row r="33" spans="1:14" ht="12.75" customHeight="1" thickBot="1" x14ac:dyDescent="0.25">
      <c r="A33" s="1655" t="s">
        <v>1668</v>
      </c>
      <c r="B33" s="1656" t="s">
        <v>570</v>
      </c>
      <c r="C33" s="1657">
        <f>SUM(C5:C32)</f>
        <v>12286270</v>
      </c>
      <c r="D33" s="1657">
        <f t="shared" ref="D33:L33" si="1">SUM(D5:D32)</f>
        <v>1982870</v>
      </c>
      <c r="E33" s="1657">
        <f t="shared" si="1"/>
        <v>255141</v>
      </c>
      <c r="F33" s="1657">
        <f t="shared" si="1"/>
        <v>547519</v>
      </c>
      <c r="G33" s="1657">
        <f t="shared" si="1"/>
        <v>57916</v>
      </c>
      <c r="H33" s="1657">
        <f t="shared" si="1"/>
        <v>463336</v>
      </c>
      <c r="I33" s="1657">
        <f t="shared" si="1"/>
        <v>7748</v>
      </c>
      <c r="J33" s="1657">
        <f t="shared" si="1"/>
        <v>0</v>
      </c>
      <c r="K33" s="1657">
        <f t="shared" si="1"/>
        <v>15600800</v>
      </c>
      <c r="L33" s="1657">
        <f t="shared" si="1"/>
        <v>15970699</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6">
        <v>265522</v>
      </c>
      <c r="D36" s="466">
        <v>13116</v>
      </c>
      <c r="E36" s="466">
        <v>0</v>
      </c>
      <c r="F36" s="466">
        <v>0</v>
      </c>
      <c r="G36" s="466">
        <v>0</v>
      </c>
      <c r="H36" s="466">
        <v>0</v>
      </c>
      <c r="I36" s="466">
        <v>0</v>
      </c>
      <c r="J36" s="466">
        <v>0</v>
      </c>
      <c r="K36" s="1658">
        <f t="shared" ref="K36:K41" si="2">SUM(C36:J36)</f>
        <v>278638</v>
      </c>
      <c r="L36" s="466">
        <v>278188</v>
      </c>
    </row>
    <row r="37" spans="1:14" x14ac:dyDescent="0.2">
      <c r="A37" s="1491" t="s">
        <v>1090</v>
      </c>
      <c r="B37" s="605">
        <v>2120</v>
      </c>
      <c r="C37" s="466">
        <v>857516</v>
      </c>
      <c r="D37" s="466">
        <v>115375</v>
      </c>
      <c r="E37" s="466">
        <v>3037</v>
      </c>
      <c r="F37" s="466">
        <v>1533</v>
      </c>
      <c r="G37" s="466">
        <v>0</v>
      </c>
      <c r="H37" s="466">
        <v>0</v>
      </c>
      <c r="I37" s="466">
        <v>0</v>
      </c>
      <c r="J37" s="466">
        <v>0</v>
      </c>
      <c r="K37" s="1658">
        <f t="shared" si="2"/>
        <v>977461</v>
      </c>
      <c r="L37" s="466">
        <v>983696</v>
      </c>
    </row>
    <row r="38" spans="1:14" x14ac:dyDescent="0.2">
      <c r="A38" s="1491" t="s">
        <v>198</v>
      </c>
      <c r="B38" s="605">
        <v>2130</v>
      </c>
      <c r="C38" s="466">
        <v>123632</v>
      </c>
      <c r="D38" s="466">
        <v>27766</v>
      </c>
      <c r="E38" s="466">
        <v>878</v>
      </c>
      <c r="F38" s="466">
        <v>1976</v>
      </c>
      <c r="G38" s="466">
        <v>0</v>
      </c>
      <c r="H38" s="466">
        <v>0</v>
      </c>
      <c r="I38" s="466">
        <v>0</v>
      </c>
      <c r="J38" s="466">
        <v>0</v>
      </c>
      <c r="K38" s="1658">
        <f t="shared" si="2"/>
        <v>154252</v>
      </c>
      <c r="L38" s="466">
        <v>152274</v>
      </c>
    </row>
    <row r="39" spans="1:14" x14ac:dyDescent="0.2">
      <c r="A39" s="1491" t="s">
        <v>199</v>
      </c>
      <c r="B39" s="605">
        <v>2140</v>
      </c>
      <c r="C39" s="466">
        <v>78878</v>
      </c>
      <c r="D39" s="466">
        <v>13996</v>
      </c>
      <c r="E39" s="466">
        <v>0</v>
      </c>
      <c r="F39" s="466">
        <v>0</v>
      </c>
      <c r="G39" s="466">
        <v>0</v>
      </c>
      <c r="H39" s="466">
        <v>0</v>
      </c>
      <c r="I39" s="466">
        <v>0</v>
      </c>
      <c r="J39" s="466">
        <v>0</v>
      </c>
      <c r="K39" s="1658">
        <f t="shared" si="2"/>
        <v>92874</v>
      </c>
      <c r="L39" s="466">
        <v>195335</v>
      </c>
    </row>
    <row r="40" spans="1:14" x14ac:dyDescent="0.2">
      <c r="A40" s="1491" t="s">
        <v>200</v>
      </c>
      <c r="B40" s="605">
        <v>2150</v>
      </c>
      <c r="C40" s="466">
        <v>21083</v>
      </c>
      <c r="D40" s="466">
        <v>453</v>
      </c>
      <c r="E40" s="466">
        <v>0</v>
      </c>
      <c r="F40" s="466">
        <v>0</v>
      </c>
      <c r="G40" s="466">
        <v>0</v>
      </c>
      <c r="H40" s="466">
        <v>0</v>
      </c>
      <c r="I40" s="466">
        <v>0</v>
      </c>
      <c r="J40" s="466">
        <v>0</v>
      </c>
      <c r="K40" s="1658">
        <f t="shared" si="2"/>
        <v>21536</v>
      </c>
      <c r="L40" s="466">
        <v>13022</v>
      </c>
    </row>
    <row r="41" spans="1:14" x14ac:dyDescent="0.2">
      <c r="A41" s="1491" t="s">
        <v>1669</v>
      </c>
      <c r="B41" s="605">
        <v>2190</v>
      </c>
      <c r="C41" s="466">
        <v>536641</v>
      </c>
      <c r="D41" s="466">
        <v>95281</v>
      </c>
      <c r="E41" s="466">
        <v>95639</v>
      </c>
      <c r="F41" s="466">
        <v>2914</v>
      </c>
      <c r="G41" s="466">
        <v>0</v>
      </c>
      <c r="H41" s="466">
        <v>0</v>
      </c>
      <c r="I41" s="466">
        <v>0</v>
      </c>
      <c r="J41" s="466">
        <v>0</v>
      </c>
      <c r="K41" s="1658">
        <f t="shared" si="2"/>
        <v>730475</v>
      </c>
      <c r="L41" s="466">
        <v>722818</v>
      </c>
    </row>
    <row r="42" spans="1:14" ht="12.75" customHeight="1" thickBot="1" x14ac:dyDescent="0.25">
      <c r="A42" s="1655" t="s">
        <v>560</v>
      </c>
      <c r="B42" s="1656" t="s">
        <v>716</v>
      </c>
      <c r="C42" s="1657">
        <f>SUM(C36:C41)</f>
        <v>1883272</v>
      </c>
      <c r="D42" s="1657">
        <f t="shared" ref="D42:L42" si="3">SUM(D36:D41)</f>
        <v>265987</v>
      </c>
      <c r="E42" s="1657">
        <f t="shared" si="3"/>
        <v>99554</v>
      </c>
      <c r="F42" s="1657">
        <f t="shared" si="3"/>
        <v>6423</v>
      </c>
      <c r="G42" s="1657">
        <f t="shared" si="3"/>
        <v>0</v>
      </c>
      <c r="H42" s="1657">
        <f t="shared" si="3"/>
        <v>0</v>
      </c>
      <c r="I42" s="1657">
        <f t="shared" si="3"/>
        <v>0</v>
      </c>
      <c r="J42" s="1657">
        <f t="shared" si="3"/>
        <v>0</v>
      </c>
      <c r="K42" s="1657">
        <f t="shared" si="3"/>
        <v>2255236</v>
      </c>
      <c r="L42" s="1657">
        <f t="shared" si="3"/>
        <v>2345333</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6">
        <v>212989</v>
      </c>
      <c r="D44" s="466">
        <v>42856</v>
      </c>
      <c r="E44" s="466">
        <v>194464</v>
      </c>
      <c r="F44" s="466">
        <v>9509</v>
      </c>
      <c r="G44" s="466">
        <v>0</v>
      </c>
      <c r="H44" s="466">
        <v>1185</v>
      </c>
      <c r="I44" s="466">
        <v>0</v>
      </c>
      <c r="J44" s="466">
        <v>0</v>
      </c>
      <c r="K44" s="1659">
        <f>SUM(C44:J44)</f>
        <v>461003</v>
      </c>
      <c r="L44" s="466">
        <v>428471</v>
      </c>
    </row>
    <row r="45" spans="1:14" x14ac:dyDescent="0.2">
      <c r="A45" s="1491" t="s">
        <v>815</v>
      </c>
      <c r="B45" s="605">
        <v>2220</v>
      </c>
      <c r="C45" s="466">
        <v>192764</v>
      </c>
      <c r="D45" s="466">
        <v>43137</v>
      </c>
      <c r="E45" s="466">
        <v>3464</v>
      </c>
      <c r="F45" s="466">
        <v>34554</v>
      </c>
      <c r="G45" s="466">
        <v>3325</v>
      </c>
      <c r="H45" s="466">
        <v>0</v>
      </c>
      <c r="I45" s="466">
        <v>896</v>
      </c>
      <c r="J45" s="466">
        <v>0</v>
      </c>
      <c r="K45" s="1659">
        <f>SUM(C45:J45)</f>
        <v>278140</v>
      </c>
      <c r="L45" s="466">
        <v>231778</v>
      </c>
    </row>
    <row r="46" spans="1:14" x14ac:dyDescent="0.2">
      <c r="A46" s="1491" t="s">
        <v>816</v>
      </c>
      <c r="B46" s="605">
        <v>2230</v>
      </c>
      <c r="C46" s="466">
        <v>0</v>
      </c>
      <c r="D46" s="466">
        <v>0</v>
      </c>
      <c r="E46" s="466">
        <v>35075</v>
      </c>
      <c r="F46" s="466">
        <v>749</v>
      </c>
      <c r="G46" s="466">
        <v>0</v>
      </c>
      <c r="H46" s="466">
        <v>0</v>
      </c>
      <c r="I46" s="466">
        <v>0</v>
      </c>
      <c r="J46" s="466">
        <v>0</v>
      </c>
      <c r="K46" s="1659">
        <f>SUM(C46:J46)</f>
        <v>35824</v>
      </c>
      <c r="L46" s="466">
        <v>26000</v>
      </c>
    </row>
    <row r="47" spans="1:14" ht="12.75" customHeight="1" thickBot="1" x14ac:dyDescent="0.25">
      <c r="A47" s="1655" t="s">
        <v>561</v>
      </c>
      <c r="B47" s="1656" t="s">
        <v>32</v>
      </c>
      <c r="C47" s="1657">
        <f>SUM(C44:C46)</f>
        <v>405753</v>
      </c>
      <c r="D47" s="1657">
        <f t="shared" ref="D47:K47" si="4">SUM(D44:D46)</f>
        <v>85993</v>
      </c>
      <c r="E47" s="1657">
        <f t="shared" si="4"/>
        <v>233003</v>
      </c>
      <c r="F47" s="1657">
        <f t="shared" si="4"/>
        <v>44812</v>
      </c>
      <c r="G47" s="1657">
        <f t="shared" si="4"/>
        <v>3325</v>
      </c>
      <c r="H47" s="1657">
        <f t="shared" si="4"/>
        <v>1185</v>
      </c>
      <c r="I47" s="1657">
        <f t="shared" si="4"/>
        <v>896</v>
      </c>
      <c r="J47" s="1657">
        <f t="shared" si="4"/>
        <v>0</v>
      </c>
      <c r="K47" s="1657">
        <f t="shared" si="4"/>
        <v>774967</v>
      </c>
      <c r="L47" s="1657">
        <f>SUM(L44:L46)</f>
        <v>686249</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6">
        <v>0</v>
      </c>
      <c r="D49" s="466">
        <v>0</v>
      </c>
      <c r="E49" s="466">
        <v>240522</v>
      </c>
      <c r="F49" s="466">
        <v>8223</v>
      </c>
      <c r="G49" s="466">
        <v>0</v>
      </c>
      <c r="H49" s="466">
        <v>19919</v>
      </c>
      <c r="I49" s="466">
        <v>0</v>
      </c>
      <c r="J49" s="466">
        <v>0</v>
      </c>
      <c r="K49" s="1659">
        <f>SUM(C49:J49)</f>
        <v>268664</v>
      </c>
      <c r="L49" s="466">
        <v>274306</v>
      </c>
    </row>
    <row r="50" spans="1:14" x14ac:dyDescent="0.2">
      <c r="A50" s="1491" t="s">
        <v>818</v>
      </c>
      <c r="B50" s="605">
        <v>2320</v>
      </c>
      <c r="C50" s="466">
        <v>245369</v>
      </c>
      <c r="D50" s="466">
        <v>68773</v>
      </c>
      <c r="E50" s="466">
        <v>11819</v>
      </c>
      <c r="F50" s="466">
        <v>4720</v>
      </c>
      <c r="G50" s="466">
        <v>0</v>
      </c>
      <c r="H50" s="466">
        <v>8261</v>
      </c>
      <c r="I50" s="466">
        <v>0</v>
      </c>
      <c r="J50" s="466">
        <v>0</v>
      </c>
      <c r="K50" s="1659">
        <f>SUM(C50:J50)</f>
        <v>338942</v>
      </c>
      <c r="L50" s="466">
        <v>345400</v>
      </c>
    </row>
    <row r="51" spans="1:14" x14ac:dyDescent="0.2">
      <c r="A51" s="1491" t="s">
        <v>42</v>
      </c>
      <c r="B51" s="605">
        <v>2330</v>
      </c>
      <c r="C51" s="466">
        <v>0</v>
      </c>
      <c r="D51" s="466">
        <v>0</v>
      </c>
      <c r="E51" s="466">
        <v>0</v>
      </c>
      <c r="F51" s="466">
        <v>0</v>
      </c>
      <c r="G51" s="466">
        <v>0</v>
      </c>
      <c r="H51" s="466">
        <v>0</v>
      </c>
      <c r="I51" s="466">
        <v>0</v>
      </c>
      <c r="J51" s="466">
        <v>0</v>
      </c>
      <c r="K51" s="1659">
        <f>SUM(C51:J51)</f>
        <v>0</v>
      </c>
      <c r="L51" s="466">
        <v>0</v>
      </c>
    </row>
    <row r="52" spans="1:14" ht="22.5" x14ac:dyDescent="0.2">
      <c r="A52" s="1492" t="s">
        <v>298</v>
      </c>
      <c r="B52" s="618" t="s">
        <v>366</v>
      </c>
      <c r="C52" s="466">
        <v>0</v>
      </c>
      <c r="D52" s="466">
        <v>0</v>
      </c>
      <c r="E52" s="466">
        <v>0</v>
      </c>
      <c r="F52" s="466">
        <v>0</v>
      </c>
      <c r="G52" s="466">
        <v>0</v>
      </c>
      <c r="H52" s="466">
        <v>0</v>
      </c>
      <c r="I52" s="466">
        <v>0</v>
      </c>
      <c r="J52" s="466">
        <v>0</v>
      </c>
      <c r="K52" s="1659">
        <f>SUM(C52:J52)</f>
        <v>0</v>
      </c>
      <c r="L52" s="466">
        <v>0</v>
      </c>
    </row>
    <row r="53" spans="1:14" ht="12.75" customHeight="1" thickBot="1" x14ac:dyDescent="0.25">
      <c r="A53" s="1655" t="s">
        <v>717</v>
      </c>
      <c r="B53" s="1656" t="s">
        <v>33</v>
      </c>
      <c r="C53" s="1657">
        <f>SUM(C49:C52)</f>
        <v>245369</v>
      </c>
      <c r="D53" s="1657">
        <f t="shared" ref="D53:L53" si="5">SUM(D49:D52)</f>
        <v>68773</v>
      </c>
      <c r="E53" s="1657">
        <f t="shared" si="5"/>
        <v>252341</v>
      </c>
      <c r="F53" s="1657">
        <f t="shared" si="5"/>
        <v>12943</v>
      </c>
      <c r="G53" s="1657">
        <f t="shared" si="5"/>
        <v>0</v>
      </c>
      <c r="H53" s="1657">
        <f t="shared" si="5"/>
        <v>28180</v>
      </c>
      <c r="I53" s="1657">
        <f t="shared" si="5"/>
        <v>0</v>
      </c>
      <c r="J53" s="1657">
        <f t="shared" si="5"/>
        <v>0</v>
      </c>
      <c r="K53" s="1657">
        <f t="shared" si="5"/>
        <v>607606</v>
      </c>
      <c r="L53" s="1657">
        <f t="shared" si="5"/>
        <v>619706</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6">
        <v>869659</v>
      </c>
      <c r="D55" s="466">
        <v>216304</v>
      </c>
      <c r="E55" s="466">
        <v>34320</v>
      </c>
      <c r="F55" s="466">
        <v>18278</v>
      </c>
      <c r="G55" s="466">
        <v>0</v>
      </c>
      <c r="H55" s="466">
        <v>2546</v>
      </c>
      <c r="I55" s="466">
        <v>0</v>
      </c>
      <c r="J55" s="466">
        <v>0</v>
      </c>
      <c r="K55" s="1659">
        <f>SUM(C55:J55)</f>
        <v>1141107</v>
      </c>
      <c r="L55" s="466">
        <v>1107409</v>
      </c>
    </row>
    <row r="56" spans="1:14" ht="12.75" customHeight="1" x14ac:dyDescent="0.2">
      <c r="A56" s="1495" t="s">
        <v>376</v>
      </c>
      <c r="B56" s="619">
        <v>2490</v>
      </c>
      <c r="C56" s="466">
        <v>0</v>
      </c>
      <c r="D56" s="466">
        <v>0</v>
      </c>
      <c r="E56" s="466">
        <v>0</v>
      </c>
      <c r="F56" s="466">
        <v>0</v>
      </c>
      <c r="G56" s="466">
        <v>0</v>
      </c>
      <c r="H56" s="466">
        <v>0</v>
      </c>
      <c r="I56" s="466">
        <v>0</v>
      </c>
      <c r="J56" s="466">
        <v>0</v>
      </c>
      <c r="K56" s="1659">
        <f>SUM(C56:J56)</f>
        <v>0</v>
      </c>
      <c r="L56" s="466">
        <v>0</v>
      </c>
    </row>
    <row r="57" spans="1:14" s="343" customFormat="1" ht="12.75" customHeight="1" thickBot="1" x14ac:dyDescent="0.25">
      <c r="A57" s="1655" t="s">
        <v>263</v>
      </c>
      <c r="B57" s="1660" t="s">
        <v>34</v>
      </c>
      <c r="C57" s="1661">
        <f>SUM(C55:C56)</f>
        <v>869659</v>
      </c>
      <c r="D57" s="1661">
        <f t="shared" ref="D57:K57" si="6">SUM(D55:D56)</f>
        <v>216304</v>
      </c>
      <c r="E57" s="1661">
        <f t="shared" si="6"/>
        <v>34320</v>
      </c>
      <c r="F57" s="1661">
        <f t="shared" si="6"/>
        <v>18278</v>
      </c>
      <c r="G57" s="1661">
        <f t="shared" si="6"/>
        <v>0</v>
      </c>
      <c r="H57" s="1661">
        <f t="shared" si="6"/>
        <v>2546</v>
      </c>
      <c r="I57" s="1661">
        <f t="shared" si="6"/>
        <v>0</v>
      </c>
      <c r="J57" s="1661">
        <f t="shared" si="6"/>
        <v>0</v>
      </c>
      <c r="K57" s="1661">
        <f t="shared" si="6"/>
        <v>1141107</v>
      </c>
      <c r="L57" s="1657">
        <f>SUM(L55:L56)</f>
        <v>1107409</v>
      </c>
      <c r="M57" s="600"/>
      <c r="N57" s="600"/>
    </row>
    <row r="58" spans="1:14" s="343" customFormat="1" ht="15.75" customHeight="1" thickTop="1" x14ac:dyDescent="0.2">
      <c r="A58" s="615" t="s">
        <v>612</v>
      </c>
      <c r="B58" s="616"/>
      <c r="C58" s="620"/>
      <c r="D58" s="617"/>
      <c r="E58" s="617"/>
      <c r="F58" s="617"/>
      <c r="G58" s="617"/>
      <c r="H58" s="617"/>
      <c r="I58" s="607"/>
      <c r="J58" s="607"/>
      <c r="K58" s="617"/>
      <c r="L58" s="617"/>
      <c r="M58" s="600"/>
      <c r="N58" s="600"/>
    </row>
    <row r="59" spans="1:14" s="343" customFormat="1" x14ac:dyDescent="0.2">
      <c r="A59" s="1491" t="s">
        <v>1068</v>
      </c>
      <c r="B59" s="605">
        <v>2510</v>
      </c>
      <c r="C59" s="466">
        <v>147370</v>
      </c>
      <c r="D59" s="466">
        <v>48861</v>
      </c>
      <c r="E59" s="466">
        <v>1111</v>
      </c>
      <c r="F59" s="466">
        <v>0</v>
      </c>
      <c r="G59" s="466">
        <v>0</v>
      </c>
      <c r="H59" s="466">
        <v>545</v>
      </c>
      <c r="I59" s="466">
        <v>0</v>
      </c>
      <c r="J59" s="466">
        <v>0</v>
      </c>
      <c r="K59" s="1659">
        <f t="shared" ref="K59:K64" si="7">SUM(C59:J59)</f>
        <v>197887</v>
      </c>
      <c r="L59" s="466">
        <v>198957</v>
      </c>
      <c r="M59" s="600"/>
      <c r="N59" s="600"/>
    </row>
    <row r="60" spans="1:14" s="343" customFormat="1" x14ac:dyDescent="0.2">
      <c r="A60" s="1491" t="s">
        <v>463</v>
      </c>
      <c r="B60" s="605">
        <v>2520</v>
      </c>
      <c r="C60" s="466">
        <v>345068</v>
      </c>
      <c r="D60" s="466">
        <v>83006</v>
      </c>
      <c r="E60" s="466">
        <v>21343</v>
      </c>
      <c r="F60" s="466">
        <v>0</v>
      </c>
      <c r="G60" s="466">
        <v>0</v>
      </c>
      <c r="H60" s="466">
        <v>0</v>
      </c>
      <c r="I60" s="466">
        <v>0</v>
      </c>
      <c r="J60" s="466">
        <v>0</v>
      </c>
      <c r="K60" s="1659">
        <f t="shared" si="7"/>
        <v>449417</v>
      </c>
      <c r="L60" s="466">
        <v>522370</v>
      </c>
      <c r="M60" s="600"/>
      <c r="N60" s="600"/>
    </row>
    <row r="61" spans="1:14" s="343" customFormat="1" x14ac:dyDescent="0.2">
      <c r="A61" s="1491" t="s">
        <v>197</v>
      </c>
      <c r="B61" s="605">
        <v>2540</v>
      </c>
      <c r="C61" s="466">
        <v>0</v>
      </c>
      <c r="D61" s="466">
        <v>0</v>
      </c>
      <c r="E61" s="466">
        <v>0</v>
      </c>
      <c r="F61" s="466">
        <v>0</v>
      </c>
      <c r="G61" s="466">
        <v>0</v>
      </c>
      <c r="H61" s="466">
        <v>0</v>
      </c>
      <c r="I61" s="466">
        <v>0</v>
      </c>
      <c r="J61" s="466">
        <v>0</v>
      </c>
      <c r="K61" s="1659">
        <f t="shared" si="7"/>
        <v>0</v>
      </c>
      <c r="L61" s="466">
        <v>0</v>
      </c>
      <c r="M61" s="600"/>
      <c r="N61" s="600"/>
    </row>
    <row r="62" spans="1:14" s="343" customFormat="1" x14ac:dyDescent="0.2">
      <c r="A62" s="1491" t="s">
        <v>953</v>
      </c>
      <c r="B62" s="605">
        <v>2550</v>
      </c>
      <c r="C62" s="466">
        <v>0</v>
      </c>
      <c r="D62" s="466">
        <v>0</v>
      </c>
      <c r="E62" s="466">
        <v>0</v>
      </c>
      <c r="F62" s="466">
        <v>0</v>
      </c>
      <c r="G62" s="466">
        <v>52188</v>
      </c>
      <c r="H62" s="466">
        <v>0</v>
      </c>
      <c r="I62" s="466">
        <v>0</v>
      </c>
      <c r="J62" s="466">
        <v>0</v>
      </c>
      <c r="K62" s="1659">
        <f t="shared" si="7"/>
        <v>52188</v>
      </c>
      <c r="L62" s="466">
        <v>52188</v>
      </c>
      <c r="M62" s="600"/>
      <c r="N62" s="600"/>
    </row>
    <row r="63" spans="1:14" s="600" customFormat="1" x14ac:dyDescent="0.2">
      <c r="A63" s="1491" t="s">
        <v>100</v>
      </c>
      <c r="B63" s="605">
        <v>2560</v>
      </c>
      <c r="C63" s="466">
        <v>65631</v>
      </c>
      <c r="D63" s="466">
        <v>2361</v>
      </c>
      <c r="E63" s="466">
        <v>480415</v>
      </c>
      <c r="F63" s="466">
        <v>0</v>
      </c>
      <c r="G63" s="466">
        <v>0</v>
      </c>
      <c r="H63" s="466">
        <v>0</v>
      </c>
      <c r="I63" s="466">
        <v>3100</v>
      </c>
      <c r="J63" s="466">
        <v>0</v>
      </c>
      <c r="K63" s="1659">
        <f t="shared" si="7"/>
        <v>551507</v>
      </c>
      <c r="L63" s="466">
        <v>551872</v>
      </c>
    </row>
    <row r="64" spans="1:14" s="600" customFormat="1" x14ac:dyDescent="0.2">
      <c r="A64" s="1496" t="s">
        <v>101</v>
      </c>
      <c r="B64" s="621">
        <v>2570</v>
      </c>
      <c r="C64" s="466">
        <v>47718</v>
      </c>
      <c r="D64" s="466">
        <v>22105</v>
      </c>
      <c r="E64" s="466">
        <v>58059</v>
      </c>
      <c r="F64" s="466">
        <v>4831</v>
      </c>
      <c r="G64" s="466">
        <v>0</v>
      </c>
      <c r="H64" s="466">
        <v>0</v>
      </c>
      <c r="I64" s="466">
        <v>0</v>
      </c>
      <c r="J64" s="466">
        <v>0</v>
      </c>
      <c r="K64" s="1659">
        <f t="shared" si="7"/>
        <v>132713</v>
      </c>
      <c r="L64" s="466">
        <v>135895</v>
      </c>
    </row>
    <row r="65" spans="1:14" s="343" customFormat="1" ht="12.75" customHeight="1" thickBot="1" x14ac:dyDescent="0.25">
      <c r="A65" s="1655" t="s">
        <v>719</v>
      </c>
      <c r="B65" s="1656" t="s">
        <v>35</v>
      </c>
      <c r="C65" s="1657">
        <f>SUM(C59:C64)</f>
        <v>605787</v>
      </c>
      <c r="D65" s="1657">
        <f t="shared" ref="D65:L65" si="8">SUM(D59:D64)</f>
        <v>156333</v>
      </c>
      <c r="E65" s="1657">
        <f t="shared" si="8"/>
        <v>560928</v>
      </c>
      <c r="F65" s="1657">
        <f t="shared" si="8"/>
        <v>4831</v>
      </c>
      <c r="G65" s="1657">
        <f t="shared" si="8"/>
        <v>52188</v>
      </c>
      <c r="H65" s="1657">
        <f t="shared" si="8"/>
        <v>545</v>
      </c>
      <c r="I65" s="1657">
        <f t="shared" si="8"/>
        <v>3100</v>
      </c>
      <c r="J65" s="1657">
        <f t="shared" si="8"/>
        <v>0</v>
      </c>
      <c r="K65" s="1657">
        <f t="shared" si="8"/>
        <v>1383712</v>
      </c>
      <c r="L65" s="1657">
        <f t="shared" si="8"/>
        <v>1461282</v>
      </c>
      <c r="M65" s="600"/>
      <c r="N65" s="600"/>
    </row>
    <row r="66" spans="1:14" s="343" customFormat="1" ht="15.75" customHeight="1" thickTop="1" x14ac:dyDescent="0.2">
      <c r="A66" s="615" t="s">
        <v>613</v>
      </c>
      <c r="B66" s="622"/>
      <c r="C66" s="607"/>
      <c r="D66" s="607"/>
      <c r="E66" s="607"/>
      <c r="F66" s="607"/>
      <c r="G66" s="607"/>
      <c r="H66" s="607"/>
      <c r="I66" s="607"/>
      <c r="J66" s="607"/>
      <c r="K66" s="617"/>
      <c r="L66" s="617"/>
      <c r="M66" s="600"/>
      <c r="N66" s="600"/>
    </row>
    <row r="67" spans="1:14" s="343" customFormat="1" x14ac:dyDescent="0.2">
      <c r="A67" s="1491" t="s">
        <v>1060</v>
      </c>
      <c r="B67" s="605">
        <v>2610</v>
      </c>
      <c r="C67" s="466">
        <v>68988</v>
      </c>
      <c r="D67" s="466">
        <v>22996</v>
      </c>
      <c r="E67" s="466">
        <v>0</v>
      </c>
      <c r="F67" s="466">
        <v>0</v>
      </c>
      <c r="G67" s="466">
        <v>0</v>
      </c>
      <c r="H67" s="466">
        <v>0</v>
      </c>
      <c r="I67" s="466">
        <v>0</v>
      </c>
      <c r="J67" s="466">
        <v>0</v>
      </c>
      <c r="K67" s="1659">
        <f>SUM(C67:J67)</f>
        <v>91984</v>
      </c>
      <c r="L67" s="466">
        <v>75554</v>
      </c>
      <c r="M67" s="600"/>
      <c r="N67" s="600"/>
    </row>
    <row r="68" spans="1:14" s="343" customFormat="1" x14ac:dyDescent="0.2">
      <c r="A68" s="1491" t="s">
        <v>607</v>
      </c>
      <c r="B68" s="605">
        <v>2620</v>
      </c>
      <c r="C68" s="466">
        <v>0</v>
      </c>
      <c r="D68" s="466">
        <v>0</v>
      </c>
      <c r="E68" s="466">
        <v>0</v>
      </c>
      <c r="F68" s="466">
        <v>0</v>
      </c>
      <c r="G68" s="466">
        <v>0</v>
      </c>
      <c r="H68" s="466">
        <v>0</v>
      </c>
      <c r="I68" s="466">
        <v>0</v>
      </c>
      <c r="J68" s="466">
        <v>0</v>
      </c>
      <c r="K68" s="1659">
        <f>SUM(C68:J68)</f>
        <v>0</v>
      </c>
      <c r="L68" s="466">
        <v>0</v>
      </c>
      <c r="M68" s="600"/>
      <c r="N68" s="600"/>
    </row>
    <row r="69" spans="1:14" s="343" customFormat="1" x14ac:dyDescent="0.2">
      <c r="A69" s="1491" t="s">
        <v>1061</v>
      </c>
      <c r="B69" s="605">
        <v>2630</v>
      </c>
      <c r="C69" s="466">
        <v>87290</v>
      </c>
      <c r="D69" s="466">
        <v>27571</v>
      </c>
      <c r="E69" s="466">
        <v>1987</v>
      </c>
      <c r="F69" s="466">
        <v>6609</v>
      </c>
      <c r="G69" s="466">
        <v>0</v>
      </c>
      <c r="H69" s="466">
        <v>585</v>
      </c>
      <c r="I69" s="466">
        <v>0</v>
      </c>
      <c r="J69" s="466">
        <v>0</v>
      </c>
      <c r="K69" s="1659">
        <f>SUM(C69:J69)</f>
        <v>124042</v>
      </c>
      <c r="L69" s="466">
        <v>123533</v>
      </c>
      <c r="M69" s="600"/>
      <c r="N69" s="600"/>
    </row>
    <row r="70" spans="1:14" s="343" customFormat="1" x14ac:dyDescent="0.2">
      <c r="A70" s="1491" t="s">
        <v>403</v>
      </c>
      <c r="B70" s="605">
        <v>2640</v>
      </c>
      <c r="C70" s="466">
        <v>50459</v>
      </c>
      <c r="D70" s="466">
        <v>8038</v>
      </c>
      <c r="E70" s="466">
        <v>0</v>
      </c>
      <c r="F70" s="466">
        <v>0</v>
      </c>
      <c r="G70" s="466">
        <v>0</v>
      </c>
      <c r="H70" s="466">
        <v>0</v>
      </c>
      <c r="I70" s="466">
        <v>0</v>
      </c>
      <c r="J70" s="466">
        <v>0</v>
      </c>
      <c r="K70" s="1659">
        <f>SUM(C70:J70)</f>
        <v>58497</v>
      </c>
      <c r="L70" s="466">
        <v>51201</v>
      </c>
      <c r="M70" s="600"/>
      <c r="N70" s="600"/>
    </row>
    <row r="71" spans="1:14" s="343" customFormat="1" x14ac:dyDescent="0.2">
      <c r="A71" s="1491" t="s">
        <v>404</v>
      </c>
      <c r="B71" s="605">
        <v>2660</v>
      </c>
      <c r="C71" s="466">
        <v>313494</v>
      </c>
      <c r="D71" s="466">
        <v>52156</v>
      </c>
      <c r="E71" s="466">
        <v>170963</v>
      </c>
      <c r="F71" s="466">
        <v>66098</v>
      </c>
      <c r="G71" s="466">
        <v>10955</v>
      </c>
      <c r="H71" s="466">
        <v>0</v>
      </c>
      <c r="I71" s="466">
        <v>91883</v>
      </c>
      <c r="J71" s="466">
        <v>0</v>
      </c>
      <c r="K71" s="1659">
        <f>SUM(C71:J71)</f>
        <v>705549</v>
      </c>
      <c r="L71" s="466">
        <v>968490</v>
      </c>
      <c r="M71" s="600"/>
      <c r="N71" s="600"/>
    </row>
    <row r="72" spans="1:14" s="343" customFormat="1" ht="12.75" customHeight="1" thickBot="1" x14ac:dyDescent="0.25">
      <c r="A72" s="1655" t="s">
        <v>37</v>
      </c>
      <c r="B72" s="1662" t="s">
        <v>36</v>
      </c>
      <c r="C72" s="1657">
        <f>SUM(C67:C71)</f>
        <v>520231</v>
      </c>
      <c r="D72" s="1657">
        <f t="shared" ref="D72:K72" si="9">SUM(D67:D71)</f>
        <v>110761</v>
      </c>
      <c r="E72" s="1657">
        <f t="shared" si="9"/>
        <v>172950</v>
      </c>
      <c r="F72" s="1657">
        <f t="shared" si="9"/>
        <v>72707</v>
      </c>
      <c r="G72" s="1657">
        <f t="shared" si="9"/>
        <v>10955</v>
      </c>
      <c r="H72" s="1657">
        <f t="shared" si="9"/>
        <v>585</v>
      </c>
      <c r="I72" s="1657">
        <f t="shared" si="9"/>
        <v>91883</v>
      </c>
      <c r="J72" s="1657">
        <f t="shared" si="9"/>
        <v>0</v>
      </c>
      <c r="K72" s="1657">
        <f t="shared" si="9"/>
        <v>980072</v>
      </c>
      <c r="L72" s="1657">
        <f>SUM(L67:L71)</f>
        <v>1218778</v>
      </c>
      <c r="M72" s="600"/>
      <c r="N72" s="600"/>
    </row>
    <row r="73" spans="1:14" s="343" customFormat="1" ht="14.25" thickTop="1" thickBot="1" x14ac:dyDescent="0.25">
      <c r="A73" s="1497" t="s">
        <v>980</v>
      </c>
      <c r="B73" s="623" t="s">
        <v>574</v>
      </c>
      <c r="C73" s="565">
        <v>0</v>
      </c>
      <c r="D73" s="565">
        <v>0</v>
      </c>
      <c r="E73" s="565">
        <v>0</v>
      </c>
      <c r="F73" s="565">
        <v>0</v>
      </c>
      <c r="G73" s="565">
        <v>0</v>
      </c>
      <c r="H73" s="565">
        <v>0</v>
      </c>
      <c r="I73" s="565">
        <v>0</v>
      </c>
      <c r="J73" s="565">
        <v>0</v>
      </c>
      <c r="K73" s="1657">
        <f>SUM(C73:J73)</f>
        <v>0</v>
      </c>
      <c r="L73" s="565">
        <v>0</v>
      </c>
      <c r="M73" s="600"/>
      <c r="N73" s="600"/>
    </row>
    <row r="74" spans="1:14" ht="12.75" customHeight="1" thickTop="1" thickBot="1" x14ac:dyDescent="0.25">
      <c r="A74" s="1655" t="s">
        <v>811</v>
      </c>
      <c r="B74" s="1663">
        <v>2000</v>
      </c>
      <c r="C74" s="1664">
        <f>SUM(C42,C47,C53,C57,C65,C72,C73)</f>
        <v>4530071</v>
      </c>
      <c r="D74" s="1664">
        <f t="shared" ref="D74:K74" si="10">SUM(D42,D47,D53,D57,D65,D72,D73)</f>
        <v>904151</v>
      </c>
      <c r="E74" s="1664">
        <f t="shared" si="10"/>
        <v>1353096</v>
      </c>
      <c r="F74" s="1664">
        <f t="shared" si="10"/>
        <v>159994</v>
      </c>
      <c r="G74" s="1664">
        <f t="shared" si="10"/>
        <v>66468</v>
      </c>
      <c r="H74" s="1664">
        <f t="shared" si="10"/>
        <v>33041</v>
      </c>
      <c r="I74" s="1664">
        <f t="shared" si="10"/>
        <v>95879</v>
      </c>
      <c r="J74" s="1664">
        <f t="shared" si="10"/>
        <v>0</v>
      </c>
      <c r="K74" s="1664">
        <f t="shared" si="10"/>
        <v>7142700</v>
      </c>
      <c r="L74" s="1664">
        <f>SUM(L42,L47,L53,L57,L65,L72,L73)</f>
        <v>7438757</v>
      </c>
    </row>
    <row r="75" spans="1:14" s="259" customFormat="1" ht="15.75" customHeight="1" thickTop="1" thickBot="1" x14ac:dyDescent="0.25">
      <c r="A75" s="1597" t="s">
        <v>47</v>
      </c>
      <c r="B75" s="1598" t="s">
        <v>575</v>
      </c>
      <c r="C75" s="565">
        <v>0</v>
      </c>
      <c r="D75" s="565">
        <v>0</v>
      </c>
      <c r="E75" s="565">
        <v>2386</v>
      </c>
      <c r="F75" s="565">
        <v>878</v>
      </c>
      <c r="G75" s="565">
        <v>0</v>
      </c>
      <c r="H75" s="565">
        <v>0</v>
      </c>
      <c r="I75" s="565">
        <v>0</v>
      </c>
      <c r="J75" s="565">
        <v>0</v>
      </c>
      <c r="K75" s="1657">
        <f>SUM(C75:J75)</f>
        <v>3264</v>
      </c>
      <c r="L75" s="565">
        <v>10500</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4"/>
      <c r="N76" s="184"/>
    </row>
    <row r="77" spans="1:14" s="259"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7">
        <v>0</v>
      </c>
      <c r="F78" s="607"/>
      <c r="G78" s="607"/>
      <c r="H78" s="477">
        <v>0</v>
      </c>
      <c r="I78" s="473"/>
      <c r="J78" s="473"/>
      <c r="K78" s="1658">
        <f t="shared" ref="K78:K83" si="11">SUM(C78:J78)</f>
        <v>0</v>
      </c>
      <c r="L78" s="477">
        <v>0</v>
      </c>
    </row>
    <row r="79" spans="1:14" x14ac:dyDescent="0.2">
      <c r="A79" s="1491" t="s">
        <v>304</v>
      </c>
      <c r="B79" s="605">
        <v>4120</v>
      </c>
      <c r="C79" s="607"/>
      <c r="D79" s="607"/>
      <c r="E79" s="477">
        <v>0</v>
      </c>
      <c r="F79" s="607"/>
      <c r="G79" s="607"/>
      <c r="H79" s="477">
        <v>0</v>
      </c>
      <c r="I79" s="473"/>
      <c r="J79" s="473"/>
      <c r="K79" s="1658">
        <f t="shared" si="11"/>
        <v>0</v>
      </c>
      <c r="L79" s="477">
        <v>0</v>
      </c>
    </row>
    <row r="80" spans="1:14" x14ac:dyDescent="0.2">
      <c r="A80" s="1491" t="s">
        <v>305</v>
      </c>
      <c r="B80" s="605">
        <v>4130</v>
      </c>
      <c r="C80" s="607"/>
      <c r="D80" s="607"/>
      <c r="E80" s="477">
        <v>0</v>
      </c>
      <c r="F80" s="607"/>
      <c r="G80" s="607"/>
      <c r="H80" s="477">
        <v>0</v>
      </c>
      <c r="I80" s="473"/>
      <c r="J80" s="473"/>
      <c r="K80" s="1658">
        <f t="shared" si="11"/>
        <v>0</v>
      </c>
      <c r="L80" s="477">
        <v>0</v>
      </c>
    </row>
    <row r="81" spans="1:12" x14ac:dyDescent="0.2">
      <c r="A81" s="1491" t="s">
        <v>697</v>
      </c>
      <c r="B81" s="605">
        <v>4140</v>
      </c>
      <c r="C81" s="607"/>
      <c r="D81" s="607"/>
      <c r="E81" s="477">
        <v>0</v>
      </c>
      <c r="F81" s="607"/>
      <c r="G81" s="607"/>
      <c r="H81" s="477">
        <v>0</v>
      </c>
      <c r="I81" s="473"/>
      <c r="J81" s="473"/>
      <c r="K81" s="1658">
        <f t="shared" si="11"/>
        <v>0</v>
      </c>
      <c r="L81" s="477">
        <v>0</v>
      </c>
    </row>
    <row r="82" spans="1:12" x14ac:dyDescent="0.2">
      <c r="A82" s="1491" t="s">
        <v>86</v>
      </c>
      <c r="B82" s="605">
        <v>4170</v>
      </c>
      <c r="C82" s="607"/>
      <c r="D82" s="607"/>
      <c r="E82" s="477">
        <v>0</v>
      </c>
      <c r="F82" s="607"/>
      <c r="G82" s="607"/>
      <c r="H82" s="477">
        <v>0</v>
      </c>
      <c r="I82" s="473"/>
      <c r="J82" s="473"/>
      <c r="K82" s="1658">
        <f t="shared" si="11"/>
        <v>0</v>
      </c>
      <c r="L82" s="477">
        <v>0</v>
      </c>
    </row>
    <row r="83" spans="1:12" x14ac:dyDescent="0.2">
      <c r="A83" s="1495" t="s">
        <v>698</v>
      </c>
      <c r="B83" s="619">
        <v>4190</v>
      </c>
      <c r="C83" s="607"/>
      <c r="D83" s="607"/>
      <c r="E83" s="477">
        <v>0</v>
      </c>
      <c r="F83" s="607"/>
      <c r="G83" s="607"/>
      <c r="H83" s="477">
        <v>0</v>
      </c>
      <c r="I83" s="473"/>
      <c r="J83" s="473"/>
      <c r="K83" s="1658">
        <f t="shared" si="11"/>
        <v>0</v>
      </c>
      <c r="L83" s="477">
        <v>0</v>
      </c>
    </row>
    <row r="84" spans="1:12" ht="13.5" thickBot="1" x14ac:dyDescent="0.25">
      <c r="A84" s="1655" t="s">
        <v>1485</v>
      </c>
      <c r="B84" s="1665">
        <v>4100</v>
      </c>
      <c r="C84" s="607"/>
      <c r="D84" s="607"/>
      <c r="E84" s="1657">
        <f>SUM(E78:E83)</f>
        <v>0</v>
      </c>
      <c r="F84" s="607"/>
      <c r="G84" s="607"/>
      <c r="H84" s="1657">
        <f>SUM(H78:H83)</f>
        <v>0</v>
      </c>
      <c r="I84" s="473"/>
      <c r="J84" s="473"/>
      <c r="K84" s="1657">
        <f>SUM(K78:K83)</f>
        <v>0</v>
      </c>
      <c r="L84" s="1657">
        <f>SUM(L78:L83)</f>
        <v>0</v>
      </c>
    </row>
    <row r="85" spans="1:12" ht="12.75" customHeight="1" thickTop="1" thickBot="1" x14ac:dyDescent="0.25">
      <c r="A85" s="1498" t="s">
        <v>255</v>
      </c>
      <c r="B85" s="625">
        <v>4210</v>
      </c>
      <c r="C85" s="607"/>
      <c r="D85" s="607"/>
      <c r="E85" s="626"/>
      <c r="F85" s="607"/>
      <c r="G85" s="607"/>
      <c r="H85" s="477">
        <v>134430</v>
      </c>
      <c r="I85" s="473"/>
      <c r="J85" s="473"/>
      <c r="K85" s="1664">
        <f>H85</f>
        <v>134430</v>
      </c>
      <c r="L85" s="525">
        <v>80000</v>
      </c>
    </row>
    <row r="86" spans="1:12" ht="12.75" customHeight="1" thickTop="1" thickBot="1" x14ac:dyDescent="0.25">
      <c r="A86" s="1499" t="s">
        <v>699</v>
      </c>
      <c r="B86" s="627">
        <v>4220</v>
      </c>
      <c r="C86" s="607"/>
      <c r="D86" s="607"/>
      <c r="E86" s="628"/>
      <c r="F86" s="607"/>
      <c r="G86" s="607"/>
      <c r="H86" s="477">
        <v>1166350</v>
      </c>
      <c r="I86" s="473"/>
      <c r="J86" s="473"/>
      <c r="K86" s="1664">
        <f t="shared" ref="K86:K98" si="12">H86</f>
        <v>1166350</v>
      </c>
      <c r="L86" s="525">
        <v>1650000</v>
      </c>
    </row>
    <row r="87" spans="1:12" ht="14.25" thickTop="1" thickBot="1" x14ac:dyDescent="0.25">
      <c r="A87" s="1500" t="s">
        <v>700</v>
      </c>
      <c r="B87" s="629">
        <v>4230</v>
      </c>
      <c r="C87" s="607"/>
      <c r="D87" s="607"/>
      <c r="E87" s="628"/>
      <c r="F87" s="607"/>
      <c r="G87" s="607"/>
      <c r="H87" s="477">
        <v>0</v>
      </c>
      <c r="I87" s="473"/>
      <c r="J87" s="473"/>
      <c r="K87" s="1664">
        <f t="shared" si="12"/>
        <v>0</v>
      </c>
      <c r="L87" s="525">
        <v>0</v>
      </c>
    </row>
    <row r="88" spans="1:12" ht="12.75" customHeight="1" thickTop="1" thickBot="1" x14ac:dyDescent="0.25">
      <c r="A88" s="1500" t="s">
        <v>765</v>
      </c>
      <c r="B88" s="629">
        <v>4240</v>
      </c>
      <c r="C88" s="607"/>
      <c r="D88" s="607"/>
      <c r="E88" s="628"/>
      <c r="F88" s="607"/>
      <c r="G88" s="607"/>
      <c r="H88" s="477">
        <v>166766</v>
      </c>
      <c r="I88" s="473"/>
      <c r="J88" s="473"/>
      <c r="K88" s="1664">
        <f t="shared" si="12"/>
        <v>166766</v>
      </c>
      <c r="L88" s="525">
        <v>232000</v>
      </c>
    </row>
    <row r="89" spans="1:12" ht="12.75" customHeight="1" thickTop="1" thickBot="1" x14ac:dyDescent="0.25">
      <c r="A89" s="1500" t="s">
        <v>701</v>
      </c>
      <c r="B89" s="629">
        <v>4270</v>
      </c>
      <c r="C89" s="607"/>
      <c r="D89" s="607"/>
      <c r="E89" s="628"/>
      <c r="F89" s="607"/>
      <c r="G89" s="607"/>
      <c r="H89" s="477">
        <v>0</v>
      </c>
      <c r="I89" s="473"/>
      <c r="J89" s="473"/>
      <c r="K89" s="1664">
        <f t="shared" si="12"/>
        <v>0</v>
      </c>
      <c r="L89" s="525">
        <v>0</v>
      </c>
    </row>
    <row r="90" spans="1:12" ht="12.75" customHeight="1" thickTop="1" thickBot="1" x14ac:dyDescent="0.25">
      <c r="A90" s="1500" t="s">
        <v>686</v>
      </c>
      <c r="B90" s="629">
        <v>4280</v>
      </c>
      <c r="C90" s="607"/>
      <c r="D90" s="607"/>
      <c r="E90" s="628"/>
      <c r="F90" s="607"/>
      <c r="G90" s="607"/>
      <c r="H90" s="477">
        <v>0</v>
      </c>
      <c r="I90" s="473"/>
      <c r="J90" s="473"/>
      <c r="K90" s="1664">
        <f t="shared" si="12"/>
        <v>0</v>
      </c>
      <c r="L90" s="525">
        <v>0</v>
      </c>
    </row>
    <row r="91" spans="1:12" ht="12.75" customHeight="1" thickTop="1" thickBot="1" x14ac:dyDescent="0.25">
      <c r="A91" s="1500" t="s">
        <v>687</v>
      </c>
      <c r="B91" s="629">
        <v>4290</v>
      </c>
      <c r="C91" s="607"/>
      <c r="D91" s="607"/>
      <c r="E91" s="628"/>
      <c r="F91" s="607"/>
      <c r="G91" s="607"/>
      <c r="H91" s="477">
        <v>0</v>
      </c>
      <c r="I91" s="473"/>
      <c r="J91" s="473"/>
      <c r="K91" s="1664">
        <f t="shared" si="12"/>
        <v>0</v>
      </c>
      <c r="L91" s="525">
        <v>0</v>
      </c>
    </row>
    <row r="92" spans="1:12" ht="14.25" thickTop="1" thickBot="1" x14ac:dyDescent="0.25">
      <c r="A92" s="1667" t="s">
        <v>1560</v>
      </c>
      <c r="B92" s="1665">
        <v>4200</v>
      </c>
      <c r="C92" s="607"/>
      <c r="D92" s="607"/>
      <c r="E92" s="628"/>
      <c r="F92" s="607"/>
      <c r="G92" s="607"/>
      <c r="H92" s="1657">
        <f>SUM(H85:H91)</f>
        <v>1467546</v>
      </c>
      <c r="I92" s="473"/>
      <c r="J92" s="473"/>
      <c r="K92" s="1664">
        <f t="shared" si="12"/>
        <v>1467546</v>
      </c>
      <c r="L92" s="1657">
        <f>SUM(L85:L91)</f>
        <v>1962000</v>
      </c>
    </row>
    <row r="93" spans="1:12" ht="14.25" thickTop="1" thickBot="1" x14ac:dyDescent="0.25">
      <c r="A93" s="1499" t="s">
        <v>688</v>
      </c>
      <c r="B93" s="630">
        <v>4310</v>
      </c>
      <c r="C93" s="607"/>
      <c r="D93" s="607"/>
      <c r="E93" s="628"/>
      <c r="F93" s="607"/>
      <c r="G93" s="607"/>
      <c r="H93" s="477">
        <v>0</v>
      </c>
      <c r="I93" s="473"/>
      <c r="J93" s="473"/>
      <c r="K93" s="1664">
        <f t="shared" si="12"/>
        <v>0</v>
      </c>
      <c r="L93" s="527">
        <v>0</v>
      </c>
    </row>
    <row r="94" spans="1:12" ht="12.75" customHeight="1" thickTop="1" thickBot="1" x14ac:dyDescent="0.25">
      <c r="A94" s="1500" t="s">
        <v>689</v>
      </c>
      <c r="B94" s="629">
        <v>4320</v>
      </c>
      <c r="C94" s="607"/>
      <c r="D94" s="607"/>
      <c r="E94" s="628"/>
      <c r="F94" s="607"/>
      <c r="G94" s="607"/>
      <c r="H94" s="477">
        <v>0</v>
      </c>
      <c r="I94" s="473"/>
      <c r="J94" s="473"/>
      <c r="K94" s="1664">
        <f t="shared" si="12"/>
        <v>0</v>
      </c>
      <c r="L94" s="527">
        <v>0</v>
      </c>
    </row>
    <row r="95" spans="1:12" ht="15" customHeight="1" thickTop="1" thickBot="1" x14ac:dyDescent="0.25">
      <c r="A95" s="1500" t="s">
        <v>1488</v>
      </c>
      <c r="B95" s="629">
        <v>4330</v>
      </c>
      <c r="C95" s="607"/>
      <c r="D95" s="607"/>
      <c r="E95" s="628"/>
      <c r="F95" s="607"/>
      <c r="G95" s="607"/>
      <c r="H95" s="477">
        <v>0</v>
      </c>
      <c r="I95" s="473"/>
      <c r="J95" s="473"/>
      <c r="K95" s="1664">
        <f t="shared" si="12"/>
        <v>0</v>
      </c>
      <c r="L95" s="527">
        <v>0</v>
      </c>
    </row>
    <row r="96" spans="1:12" ht="14.25" thickTop="1" thickBot="1" x14ac:dyDescent="0.25">
      <c r="A96" s="1500" t="s">
        <v>690</v>
      </c>
      <c r="B96" s="629">
        <v>4340</v>
      </c>
      <c r="C96" s="607"/>
      <c r="D96" s="607"/>
      <c r="E96" s="628"/>
      <c r="F96" s="607"/>
      <c r="G96" s="607"/>
      <c r="H96" s="477">
        <v>0</v>
      </c>
      <c r="I96" s="473"/>
      <c r="J96" s="473"/>
      <c r="K96" s="1664">
        <f t="shared" si="12"/>
        <v>0</v>
      </c>
      <c r="L96" s="527">
        <v>0</v>
      </c>
    </row>
    <row r="97" spans="1:14" ht="12.75" customHeight="1" thickTop="1" thickBot="1" x14ac:dyDescent="0.25">
      <c r="A97" s="1500" t="s">
        <v>763</v>
      </c>
      <c r="B97" s="629">
        <v>4370</v>
      </c>
      <c r="C97" s="607"/>
      <c r="D97" s="607"/>
      <c r="E97" s="628"/>
      <c r="F97" s="607"/>
      <c r="G97" s="607"/>
      <c r="H97" s="477">
        <v>0</v>
      </c>
      <c r="I97" s="473"/>
      <c r="J97" s="473"/>
      <c r="K97" s="1664">
        <f t="shared" si="12"/>
        <v>0</v>
      </c>
      <c r="L97" s="527">
        <v>0</v>
      </c>
    </row>
    <row r="98" spans="1:14" ht="14.25" thickTop="1" thickBot="1" x14ac:dyDescent="0.25">
      <c r="A98" s="1500" t="s">
        <v>764</v>
      </c>
      <c r="B98" s="629">
        <v>4380</v>
      </c>
      <c r="C98" s="607"/>
      <c r="D98" s="607"/>
      <c r="E98" s="631"/>
      <c r="F98" s="607"/>
      <c r="G98" s="607"/>
      <c r="H98" s="477">
        <v>0</v>
      </c>
      <c r="I98" s="473"/>
      <c r="J98" s="473"/>
      <c r="K98" s="1664">
        <f t="shared" si="12"/>
        <v>0</v>
      </c>
      <c r="L98" s="527">
        <v>0</v>
      </c>
    </row>
    <row r="99" spans="1:14" ht="14.25" thickTop="1" thickBot="1" x14ac:dyDescent="0.25">
      <c r="A99" s="1500" t="s">
        <v>367</v>
      </c>
      <c r="B99" s="629">
        <v>4390</v>
      </c>
      <c r="C99" s="607"/>
      <c r="D99" s="607"/>
      <c r="E99" s="527">
        <v>0</v>
      </c>
      <c r="F99" s="607"/>
      <c r="G99" s="607"/>
      <c r="H99" s="477">
        <v>0</v>
      </c>
      <c r="I99" s="473"/>
      <c r="J99" s="473"/>
      <c r="K99" s="1664">
        <f>SUM(E99,H99)</f>
        <v>0</v>
      </c>
      <c r="L99" s="527">
        <v>0</v>
      </c>
    </row>
    <row r="100" spans="1:14" ht="14.25" thickTop="1" thickBot="1" x14ac:dyDescent="0.25">
      <c r="A100" s="1667" t="s">
        <v>1486</v>
      </c>
      <c r="B100" s="1668">
        <v>4300</v>
      </c>
      <c r="C100" s="607"/>
      <c r="D100" s="607"/>
      <c r="E100" s="1664">
        <f>SUM(E93:E99)</f>
        <v>0</v>
      </c>
      <c r="F100" s="607"/>
      <c r="G100" s="607"/>
      <c r="H100" s="1664">
        <f>SUM(H93:H99)</f>
        <v>0</v>
      </c>
      <c r="I100" s="473"/>
      <c r="J100" s="473"/>
      <c r="K100" s="1664">
        <f>SUM(K93:K99)</f>
        <v>0</v>
      </c>
      <c r="L100" s="1664">
        <f>SUM(L93:L99)</f>
        <v>0</v>
      </c>
    </row>
    <row r="101" spans="1:14" ht="12.75" customHeight="1" thickTop="1" thickBot="1" x14ac:dyDescent="0.25">
      <c r="A101" s="1497" t="s">
        <v>1489</v>
      </c>
      <c r="B101" s="632" t="s">
        <v>931</v>
      </c>
      <c r="C101" s="607"/>
      <c r="D101" s="607"/>
      <c r="E101" s="526">
        <v>0</v>
      </c>
      <c r="F101" s="607"/>
      <c r="G101" s="607"/>
      <c r="H101" s="526">
        <v>0</v>
      </c>
      <c r="I101" s="473"/>
      <c r="J101" s="473"/>
      <c r="K101" s="1666">
        <f>SUM(C101:J101)</f>
        <v>0</v>
      </c>
      <c r="L101" s="525">
        <v>0</v>
      </c>
    </row>
    <row r="102" spans="1:14" ht="12.75" customHeight="1" thickTop="1" thickBot="1" x14ac:dyDescent="0.25">
      <c r="A102" s="1655" t="s">
        <v>1487</v>
      </c>
      <c r="B102" s="1665">
        <v>4000</v>
      </c>
      <c r="C102" s="607"/>
      <c r="D102" s="607"/>
      <c r="E102" s="1664">
        <f>SUM(E84,E92,E100,E101)</f>
        <v>0</v>
      </c>
      <c r="F102" s="607"/>
      <c r="G102" s="607"/>
      <c r="H102" s="1664">
        <f>SUM(H84,H92,H100,H101)</f>
        <v>1467546</v>
      </c>
      <c r="I102" s="473"/>
      <c r="J102" s="473"/>
      <c r="K102" s="1664">
        <f>SUM(K84,K92,K100,K101)</f>
        <v>1467546</v>
      </c>
      <c r="L102" s="1664">
        <f>SUM(L84,L92,L100,L101)</f>
        <v>1962000</v>
      </c>
    </row>
    <row r="103" spans="1:14" s="624" customFormat="1" ht="15.75" customHeight="1" thickTop="1" x14ac:dyDescent="0.2">
      <c r="A103" s="1599" t="s">
        <v>513</v>
      </c>
      <c r="B103" s="1596" t="s">
        <v>492</v>
      </c>
      <c r="C103" s="607"/>
      <c r="D103" s="607"/>
      <c r="E103" s="607"/>
      <c r="F103" s="607"/>
      <c r="G103" s="607"/>
      <c r="H103" s="609"/>
      <c r="I103" s="468"/>
      <c r="J103" s="468"/>
      <c r="K103" s="609"/>
      <c r="L103" s="609"/>
      <c r="M103" s="184"/>
      <c r="N103" s="184"/>
    </row>
    <row r="104" spans="1:14" s="635" customFormat="1" ht="15.75" customHeight="1" x14ac:dyDescent="0.2">
      <c r="A104" s="633" t="s">
        <v>615</v>
      </c>
      <c r="B104" s="634"/>
      <c r="C104" s="607"/>
      <c r="D104" s="607"/>
      <c r="E104" s="607"/>
      <c r="F104" s="607"/>
      <c r="G104" s="607"/>
      <c r="H104" s="614"/>
      <c r="I104" s="468"/>
      <c r="J104" s="468"/>
      <c r="K104" s="614"/>
      <c r="L104" s="614"/>
      <c r="M104" s="604"/>
      <c r="N104" s="604"/>
    </row>
    <row r="105" spans="1:14" s="588" customFormat="1" x14ac:dyDescent="0.2">
      <c r="A105" s="1491" t="s">
        <v>87</v>
      </c>
      <c r="B105" s="605">
        <v>5110</v>
      </c>
      <c r="C105" s="607"/>
      <c r="D105" s="607"/>
      <c r="E105" s="607"/>
      <c r="F105" s="607"/>
      <c r="G105" s="607"/>
      <c r="H105" s="477">
        <v>0</v>
      </c>
      <c r="I105" s="468"/>
      <c r="J105" s="468"/>
      <c r="K105" s="1658">
        <f>H105</f>
        <v>0</v>
      </c>
      <c r="L105" s="477">
        <v>0</v>
      </c>
      <c r="M105" s="210"/>
      <c r="N105" s="210"/>
    </row>
    <row r="106" spans="1:14" s="588" customFormat="1" x14ac:dyDescent="0.2">
      <c r="A106" s="1491" t="s">
        <v>88</v>
      </c>
      <c r="B106" s="605">
        <v>5120</v>
      </c>
      <c r="C106" s="607"/>
      <c r="D106" s="607"/>
      <c r="E106" s="607"/>
      <c r="F106" s="607"/>
      <c r="G106" s="607"/>
      <c r="H106" s="477">
        <v>0</v>
      </c>
      <c r="I106" s="468"/>
      <c r="J106" s="468"/>
      <c r="K106" s="1658">
        <f>H106</f>
        <v>0</v>
      </c>
      <c r="L106" s="477">
        <v>0</v>
      </c>
      <c r="M106" s="210"/>
      <c r="N106" s="210"/>
    </row>
    <row r="107" spans="1:14" s="588" customFormat="1" ht="12.75" customHeight="1" x14ac:dyDescent="0.2">
      <c r="A107" s="1491" t="s">
        <v>1170</v>
      </c>
      <c r="B107" s="605">
        <v>5130</v>
      </c>
      <c r="C107" s="607"/>
      <c r="D107" s="607"/>
      <c r="E107" s="607"/>
      <c r="F107" s="607"/>
      <c r="G107" s="607"/>
      <c r="H107" s="477">
        <v>0</v>
      </c>
      <c r="I107" s="468"/>
      <c r="J107" s="468"/>
      <c r="K107" s="1658">
        <f>H107</f>
        <v>0</v>
      </c>
      <c r="L107" s="477">
        <v>0</v>
      </c>
      <c r="M107" s="210"/>
      <c r="N107" s="210"/>
    </row>
    <row r="108" spans="1:14" s="588" customFormat="1" x14ac:dyDescent="0.2">
      <c r="A108" s="1491" t="s">
        <v>89</v>
      </c>
      <c r="B108" s="605" t="s">
        <v>589</v>
      </c>
      <c r="C108" s="607"/>
      <c r="D108" s="607"/>
      <c r="E108" s="607"/>
      <c r="F108" s="607"/>
      <c r="G108" s="607"/>
      <c r="H108" s="477">
        <v>0</v>
      </c>
      <c r="I108" s="468"/>
      <c r="J108" s="468"/>
      <c r="K108" s="1658">
        <f>H108</f>
        <v>0</v>
      </c>
      <c r="L108" s="477">
        <v>0</v>
      </c>
      <c r="M108" s="210"/>
      <c r="N108" s="210"/>
    </row>
    <row r="109" spans="1:14" s="588" customFormat="1" x14ac:dyDescent="0.2">
      <c r="A109" s="1491" t="s">
        <v>254</v>
      </c>
      <c r="B109" s="619">
        <v>5150</v>
      </c>
      <c r="C109" s="607"/>
      <c r="D109" s="607"/>
      <c r="E109" s="607"/>
      <c r="F109" s="607"/>
      <c r="G109" s="607"/>
      <c r="H109" s="477">
        <v>0</v>
      </c>
      <c r="I109" s="468"/>
      <c r="J109" s="468"/>
      <c r="K109" s="1658">
        <f>H109</f>
        <v>0</v>
      </c>
      <c r="L109" s="477">
        <v>0</v>
      </c>
      <c r="M109" s="210"/>
      <c r="N109" s="210"/>
    </row>
    <row r="110" spans="1:14" s="588" customFormat="1" ht="12.75" customHeight="1" thickBot="1" x14ac:dyDescent="0.25">
      <c r="A110" s="1655" t="s">
        <v>1102</v>
      </c>
      <c r="B110" s="1662" t="s">
        <v>718</v>
      </c>
      <c r="C110" s="607"/>
      <c r="D110" s="607"/>
      <c r="E110" s="607"/>
      <c r="F110" s="607"/>
      <c r="G110" s="607"/>
      <c r="H110" s="1657">
        <f>SUM(H105:H109)</f>
        <v>0</v>
      </c>
      <c r="I110" s="468"/>
      <c r="J110" s="468"/>
      <c r="K110" s="1657">
        <f>SUM(K105:K109)</f>
        <v>0</v>
      </c>
      <c r="L110" s="1657">
        <f>SUM(L105:L109)</f>
        <v>0</v>
      </c>
      <c r="M110" s="210"/>
      <c r="N110" s="210"/>
    </row>
    <row r="111" spans="1:14" s="588" customFormat="1" ht="12.75" customHeight="1" thickTop="1" thickBot="1" x14ac:dyDescent="0.25">
      <c r="A111" s="1501" t="s">
        <v>368</v>
      </c>
      <c r="B111" s="636" t="s">
        <v>38</v>
      </c>
      <c r="C111" s="607"/>
      <c r="D111" s="607"/>
      <c r="E111" s="607"/>
      <c r="F111" s="607"/>
      <c r="G111" s="607"/>
      <c r="H111" s="530">
        <v>0</v>
      </c>
      <c r="I111" s="468"/>
      <c r="J111" s="468"/>
      <c r="K111" s="1670">
        <f>H111</f>
        <v>0</v>
      </c>
      <c r="L111" s="527">
        <v>0</v>
      </c>
      <c r="M111" s="210"/>
      <c r="N111" s="210"/>
    </row>
    <row r="112" spans="1:14" s="588" customFormat="1" ht="12.75" customHeight="1" thickTop="1" thickBot="1" x14ac:dyDescent="0.25">
      <c r="A112" s="1655" t="s">
        <v>638</v>
      </c>
      <c r="B112" s="1656" t="s">
        <v>492</v>
      </c>
      <c r="C112" s="607"/>
      <c r="D112" s="607"/>
      <c r="E112" s="607"/>
      <c r="F112" s="607"/>
      <c r="G112" s="607"/>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14"/>
      <c r="D113" s="614"/>
      <c r="E113" s="607"/>
      <c r="F113" s="607"/>
      <c r="G113" s="607"/>
      <c r="H113" s="614"/>
      <c r="I113" s="468"/>
      <c r="J113" s="468"/>
      <c r="K113" s="614"/>
      <c r="L113" s="526">
        <v>0</v>
      </c>
      <c r="M113" s="604"/>
      <c r="N113" s="604"/>
    </row>
    <row r="114" spans="1:14" ht="12.75" customHeight="1" thickTop="1" thickBot="1" x14ac:dyDescent="0.25">
      <c r="A114" s="1655" t="s">
        <v>48</v>
      </c>
      <c r="B114" s="1669"/>
      <c r="C114" s="1657">
        <f>SUM(C33,C74,C75,C102,C112,C113)</f>
        <v>16816341</v>
      </c>
      <c r="D114" s="1657">
        <f t="shared" ref="D114:K114" si="13">SUM(D33,D74,D75,D102,D112,D113)</f>
        <v>2887021</v>
      </c>
      <c r="E114" s="1657">
        <f t="shared" si="13"/>
        <v>1610623</v>
      </c>
      <c r="F114" s="1657">
        <f t="shared" si="13"/>
        <v>708391</v>
      </c>
      <c r="G114" s="1657">
        <f t="shared" si="13"/>
        <v>124384</v>
      </c>
      <c r="H114" s="1657">
        <f>SUM(H33,H74,H75,H102,H112,H113)</f>
        <v>1963923</v>
      </c>
      <c r="I114" s="1657">
        <f t="shared" si="13"/>
        <v>103627</v>
      </c>
      <c r="J114" s="1657">
        <f t="shared" si="13"/>
        <v>0</v>
      </c>
      <c r="K114" s="1657">
        <f t="shared" si="13"/>
        <v>24214310</v>
      </c>
      <c r="L114" s="1657">
        <f>SUM(L33,L74,L75,L102,L112,L113)</f>
        <v>25381956</v>
      </c>
    </row>
    <row r="115" spans="1:14" ht="13.5" thickTop="1" x14ac:dyDescent="0.2">
      <c r="A115" s="2331" t="s">
        <v>996</v>
      </c>
      <c r="B115" s="2332"/>
      <c r="C115" s="609"/>
      <c r="D115" s="609"/>
      <c r="E115" s="609"/>
      <c r="F115" s="609"/>
      <c r="G115" s="609"/>
      <c r="H115" s="609"/>
      <c r="I115" s="609"/>
      <c r="J115" s="609"/>
      <c r="K115" s="1671">
        <f>'Revenues 9-14'!C268-'Expenditures 15-22'!K114</f>
        <v>2156762</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309" t="s">
        <v>296</v>
      </c>
      <c r="B117" s="2310"/>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2057</v>
      </c>
      <c r="B120" s="619" t="s">
        <v>716</v>
      </c>
      <c r="C120" s="466">
        <v>0</v>
      </c>
      <c r="D120" s="466">
        <v>0</v>
      </c>
      <c r="E120" s="466">
        <v>0</v>
      </c>
      <c r="F120" s="466">
        <v>0</v>
      </c>
      <c r="G120" s="466">
        <v>0</v>
      </c>
      <c r="H120" s="466">
        <v>0</v>
      </c>
      <c r="I120" s="466">
        <v>0</v>
      </c>
      <c r="J120" s="466">
        <v>0</v>
      </c>
      <c r="K120" s="1658">
        <f>SUM(C120:J120)</f>
        <v>0</v>
      </c>
      <c r="L120" s="466">
        <v>0</v>
      </c>
    </row>
    <row r="121" spans="1:14" ht="15.75" customHeight="1" x14ac:dyDescent="0.2">
      <c r="A121" s="642" t="s">
        <v>612</v>
      </c>
      <c r="B121" s="613"/>
      <c r="C121" s="516"/>
      <c r="D121" s="516"/>
      <c r="E121" s="516"/>
      <c r="F121" s="516"/>
      <c r="G121" s="516"/>
      <c r="H121" s="516"/>
      <c r="I121" s="607"/>
      <c r="J121" s="607"/>
      <c r="K121" s="614"/>
      <c r="L121" s="516"/>
    </row>
    <row r="122" spans="1:14" ht="13.5" thickBot="1" x14ac:dyDescent="0.25">
      <c r="A122" s="1491" t="s">
        <v>1068</v>
      </c>
      <c r="B122" s="605">
        <v>2510</v>
      </c>
      <c r="C122" s="466">
        <v>0</v>
      </c>
      <c r="D122" s="466">
        <v>0</v>
      </c>
      <c r="E122" s="466">
        <v>0</v>
      </c>
      <c r="F122" s="466">
        <v>0</v>
      </c>
      <c r="G122" s="466">
        <v>0</v>
      </c>
      <c r="H122" s="466">
        <v>0</v>
      </c>
      <c r="I122" s="466">
        <v>0</v>
      </c>
      <c r="J122" s="466">
        <v>0</v>
      </c>
      <c r="K122" s="1657">
        <f>SUM(C122:J122)</f>
        <v>0</v>
      </c>
      <c r="L122" s="466">
        <v>0</v>
      </c>
    </row>
    <row r="123" spans="1:14" ht="14.25" thickTop="1" thickBot="1" x14ac:dyDescent="0.25">
      <c r="A123" s="1491" t="s">
        <v>4</v>
      </c>
      <c r="B123" s="605">
        <v>2530</v>
      </c>
      <c r="C123" s="466">
        <v>0</v>
      </c>
      <c r="D123" s="466">
        <v>0</v>
      </c>
      <c r="E123" s="466">
        <v>204009</v>
      </c>
      <c r="F123" s="466">
        <v>0</v>
      </c>
      <c r="G123" s="466">
        <v>0</v>
      </c>
      <c r="H123" s="466">
        <v>0</v>
      </c>
      <c r="I123" s="466">
        <v>0</v>
      </c>
      <c r="J123" s="466">
        <v>0</v>
      </c>
      <c r="K123" s="1657">
        <f>SUM(C123:J123)</f>
        <v>204009</v>
      </c>
      <c r="L123" s="466">
        <v>0</v>
      </c>
    </row>
    <row r="124" spans="1:14" ht="14.25" thickTop="1" thickBot="1" x14ac:dyDescent="0.25">
      <c r="A124" s="1491" t="s">
        <v>197</v>
      </c>
      <c r="B124" s="605">
        <v>2540</v>
      </c>
      <c r="C124" s="466">
        <v>1232289</v>
      </c>
      <c r="D124" s="466">
        <v>250803</v>
      </c>
      <c r="E124" s="466">
        <v>401723</v>
      </c>
      <c r="F124" s="466">
        <v>477246</v>
      </c>
      <c r="G124" s="466">
        <v>11541</v>
      </c>
      <c r="H124" s="466">
        <v>146</v>
      </c>
      <c r="I124" s="466">
        <v>0</v>
      </c>
      <c r="J124" s="466">
        <v>0</v>
      </c>
      <c r="K124" s="1657">
        <f>SUM(C124:J124)</f>
        <v>2373748</v>
      </c>
      <c r="L124" s="466">
        <v>2692335</v>
      </c>
    </row>
    <row r="125" spans="1:14" ht="14.25" thickTop="1" thickBot="1" x14ac:dyDescent="0.25">
      <c r="A125" s="1491" t="s">
        <v>953</v>
      </c>
      <c r="B125" s="605">
        <v>2550</v>
      </c>
      <c r="C125" s="466">
        <v>0</v>
      </c>
      <c r="D125" s="466">
        <v>0</v>
      </c>
      <c r="E125" s="466">
        <v>0</v>
      </c>
      <c r="F125" s="466">
        <v>0</v>
      </c>
      <c r="G125" s="466">
        <v>0</v>
      </c>
      <c r="H125" s="466">
        <v>0</v>
      </c>
      <c r="I125" s="466">
        <v>0</v>
      </c>
      <c r="J125" s="466">
        <v>0</v>
      </c>
      <c r="K125" s="1657">
        <f>SUM(C125:J125)</f>
        <v>0</v>
      </c>
      <c r="L125" s="466">
        <v>0</v>
      </c>
    </row>
    <row r="126" spans="1:14" ht="14.25" thickTop="1" thickBot="1" x14ac:dyDescent="0.25">
      <c r="A126" s="1491" t="s">
        <v>100</v>
      </c>
      <c r="B126" s="605">
        <v>2560</v>
      </c>
      <c r="C126" s="643"/>
      <c r="D126" s="643"/>
      <c r="E126" s="643"/>
      <c r="F126" s="643"/>
      <c r="G126" s="466">
        <v>0</v>
      </c>
      <c r="H126" s="643"/>
      <c r="I126" s="466">
        <v>0</v>
      </c>
      <c r="J126" s="607"/>
      <c r="K126" s="1657">
        <f>SUM(C126:J126)</f>
        <v>0</v>
      </c>
      <c r="L126" s="466">
        <v>0</v>
      </c>
    </row>
    <row r="127" spans="1:14" ht="12.75" customHeight="1" thickTop="1" thickBot="1" x14ac:dyDescent="0.25">
      <c r="A127" s="1655" t="s">
        <v>719</v>
      </c>
      <c r="B127" s="1656" t="s">
        <v>35</v>
      </c>
      <c r="C127" s="1657">
        <f>SUM(C122:C126)</f>
        <v>1232289</v>
      </c>
      <c r="D127" s="1657">
        <f t="shared" ref="D127:L127" si="14">SUM(D122:D126)</f>
        <v>250803</v>
      </c>
      <c r="E127" s="1657">
        <f t="shared" si="14"/>
        <v>605732</v>
      </c>
      <c r="F127" s="1657">
        <f t="shared" si="14"/>
        <v>477246</v>
      </c>
      <c r="G127" s="1657">
        <f t="shared" si="14"/>
        <v>11541</v>
      </c>
      <c r="H127" s="1657">
        <f t="shared" si="14"/>
        <v>146</v>
      </c>
      <c r="I127" s="1657">
        <f t="shared" si="14"/>
        <v>0</v>
      </c>
      <c r="J127" s="1657">
        <f t="shared" si="14"/>
        <v>0</v>
      </c>
      <c r="K127" s="1657">
        <f t="shared" si="14"/>
        <v>2577757</v>
      </c>
      <c r="L127" s="1657">
        <f t="shared" si="14"/>
        <v>2692335</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2">
        <f>SUM(C128:J128)</f>
        <v>0</v>
      </c>
      <c r="L128" s="645">
        <v>0</v>
      </c>
    </row>
    <row r="129" spans="1:14" ht="12.75" customHeight="1" thickBot="1" x14ac:dyDescent="0.25">
      <c r="A129" s="1673" t="s">
        <v>811</v>
      </c>
      <c r="B129" s="1674" t="s">
        <v>569</v>
      </c>
      <c r="C129" s="1664">
        <f>SUM(C120,C127,C128)</f>
        <v>1232289</v>
      </c>
      <c r="D129" s="1664">
        <f t="shared" ref="D129:L129" si="15">SUM(D120,D127,D128)</f>
        <v>250803</v>
      </c>
      <c r="E129" s="1664">
        <f t="shared" si="15"/>
        <v>605732</v>
      </c>
      <c r="F129" s="1664">
        <f t="shared" si="15"/>
        <v>477246</v>
      </c>
      <c r="G129" s="1664">
        <f t="shared" si="15"/>
        <v>11541</v>
      </c>
      <c r="H129" s="1664">
        <f t="shared" si="15"/>
        <v>146</v>
      </c>
      <c r="I129" s="1664">
        <f t="shared" si="15"/>
        <v>0</v>
      </c>
      <c r="J129" s="1664">
        <f t="shared" si="15"/>
        <v>0</v>
      </c>
      <c r="K129" s="1664">
        <f t="shared" si="15"/>
        <v>2577757</v>
      </c>
      <c r="L129" s="1664">
        <f t="shared" si="15"/>
        <v>2692335</v>
      </c>
    </row>
    <row r="130" spans="1:14" ht="15.75" customHeight="1" thickTop="1" thickBot="1" x14ac:dyDescent="0.25">
      <c r="A130" s="1597" t="s">
        <v>1036</v>
      </c>
      <c r="B130" s="1598" t="s">
        <v>575</v>
      </c>
      <c r="C130" s="568">
        <v>0</v>
      </c>
      <c r="D130" s="568">
        <v>0</v>
      </c>
      <c r="E130" s="568">
        <v>0</v>
      </c>
      <c r="F130" s="568">
        <v>0</v>
      </c>
      <c r="G130" s="568">
        <v>0</v>
      </c>
      <c r="H130" s="568">
        <v>0</v>
      </c>
      <c r="I130" s="568">
        <v>0</v>
      </c>
      <c r="J130" s="568">
        <v>0</v>
      </c>
      <c r="K130" s="1657">
        <f>SUM(C130:J130)</f>
        <v>0</v>
      </c>
      <c r="L130" s="568">
        <v>0</v>
      </c>
    </row>
    <row r="131" spans="1:14" ht="15.75" customHeight="1" thickTop="1" x14ac:dyDescent="0.2">
      <c r="A131" s="1603" t="s">
        <v>616</v>
      </c>
      <c r="B131" s="1596" t="s">
        <v>860</v>
      </c>
      <c r="C131" s="468"/>
      <c r="D131" s="468"/>
      <c r="E131" s="558"/>
      <c r="F131" s="468"/>
      <c r="G131" s="468"/>
      <c r="H131" s="558"/>
      <c r="I131" s="468"/>
      <c r="J131" s="468"/>
      <c r="K131" s="558"/>
      <c r="L131" s="558"/>
    </row>
    <row r="132" spans="1:14" s="384" customFormat="1" ht="13.5" customHeight="1" x14ac:dyDescent="0.2">
      <c r="A132" s="646" t="s">
        <v>614</v>
      </c>
      <c r="B132" s="647"/>
      <c r="C132" s="468"/>
      <c r="D132" s="468"/>
      <c r="E132" s="516"/>
      <c r="F132" s="468"/>
      <c r="G132" s="468"/>
      <c r="H132" s="516"/>
      <c r="I132" s="468"/>
      <c r="J132" s="468"/>
      <c r="K132" s="516"/>
      <c r="L132" s="516"/>
      <c r="M132" s="206"/>
      <c r="N132" s="206"/>
    </row>
    <row r="133" spans="1:14" s="384" customFormat="1" ht="13.5" customHeight="1" x14ac:dyDescent="0.2">
      <c r="A133" s="1477" t="s">
        <v>496</v>
      </c>
      <c r="B133" s="1828" t="s">
        <v>1842</v>
      </c>
      <c r="C133" s="468"/>
      <c r="D133" s="468"/>
      <c r="E133" s="466">
        <v>0</v>
      </c>
      <c r="F133" s="468"/>
      <c r="G133" s="468"/>
      <c r="H133" s="466">
        <v>0</v>
      </c>
      <c r="I133" s="468"/>
      <c r="J133" s="468"/>
      <c r="K133" s="1808">
        <f>SUM(E133,H133)</f>
        <v>0</v>
      </c>
      <c r="L133" s="466">
        <v>0</v>
      </c>
      <c r="M133" s="206"/>
      <c r="N133" s="206"/>
    </row>
    <row r="134" spans="1:14" x14ac:dyDescent="0.2">
      <c r="A134" s="1491" t="s">
        <v>304</v>
      </c>
      <c r="B134" s="605">
        <v>4120</v>
      </c>
      <c r="C134" s="607"/>
      <c r="D134" s="607"/>
      <c r="E134" s="466">
        <v>0</v>
      </c>
      <c r="F134" s="607"/>
      <c r="G134" s="607"/>
      <c r="H134" s="466">
        <v>0</v>
      </c>
      <c r="I134" s="473"/>
      <c r="J134" s="607"/>
      <c r="K134" s="1659">
        <f>SUM(E134,H134)</f>
        <v>0</v>
      </c>
      <c r="L134" s="466">
        <v>0</v>
      </c>
    </row>
    <row r="135" spans="1:14" x14ac:dyDescent="0.2">
      <c r="A135" s="1491" t="s">
        <v>697</v>
      </c>
      <c r="B135" s="605">
        <v>4140</v>
      </c>
      <c r="C135" s="607"/>
      <c r="D135" s="607"/>
      <c r="E135" s="466">
        <v>0</v>
      </c>
      <c r="F135" s="607"/>
      <c r="G135" s="607"/>
      <c r="H135" s="466">
        <v>20554</v>
      </c>
      <c r="I135" s="473"/>
      <c r="J135" s="607"/>
      <c r="K135" s="1659">
        <f>SUM(E135,H135)</f>
        <v>20554</v>
      </c>
      <c r="L135" s="466">
        <v>0</v>
      </c>
    </row>
    <row r="136" spans="1:14" x14ac:dyDescent="0.2">
      <c r="A136" s="1495" t="s">
        <v>698</v>
      </c>
      <c r="B136" s="619">
        <v>4190</v>
      </c>
      <c r="C136" s="607"/>
      <c r="D136" s="607"/>
      <c r="E136" s="466">
        <v>0</v>
      </c>
      <c r="F136" s="607"/>
      <c r="G136" s="607"/>
      <c r="H136" s="466">
        <v>0</v>
      </c>
      <c r="I136" s="473"/>
      <c r="J136" s="607"/>
      <c r="K136" s="1659">
        <f>SUM(E136,H136)</f>
        <v>0</v>
      </c>
      <c r="L136" s="466">
        <v>0</v>
      </c>
    </row>
    <row r="137" spans="1:14" ht="12.75" customHeight="1" thickBot="1" x14ac:dyDescent="0.25">
      <c r="A137" s="1655" t="s">
        <v>480</v>
      </c>
      <c r="B137" s="1665">
        <v>4100</v>
      </c>
      <c r="C137" s="607"/>
      <c r="D137" s="607"/>
      <c r="E137" s="1657">
        <f>SUM(E133:E136)</f>
        <v>0</v>
      </c>
      <c r="F137" s="607"/>
      <c r="G137" s="607"/>
      <c r="H137" s="1657">
        <f>SUM(H133:H136)</f>
        <v>20554</v>
      </c>
      <c r="I137" s="473"/>
      <c r="J137" s="607"/>
      <c r="K137" s="1657">
        <f>SUM(K133:K136)</f>
        <v>20554</v>
      </c>
      <c r="L137" s="1657">
        <f>SUM(L133:L136)</f>
        <v>0</v>
      </c>
    </row>
    <row r="138" spans="1:14" ht="12.75" customHeight="1" thickTop="1" thickBot="1" x14ac:dyDescent="0.25">
      <c r="A138" s="1497" t="s">
        <v>96</v>
      </c>
      <c r="B138" s="632" t="s">
        <v>931</v>
      </c>
      <c r="C138" s="607"/>
      <c r="D138" s="607"/>
      <c r="E138" s="475">
        <v>0</v>
      </c>
      <c r="F138" s="607"/>
      <c r="G138" s="607"/>
      <c r="H138" s="568">
        <v>0</v>
      </c>
      <c r="I138" s="473"/>
      <c r="J138" s="607"/>
      <c r="K138" s="1659">
        <f>SUM(E138,H138)</f>
        <v>0</v>
      </c>
      <c r="L138" s="568">
        <v>0</v>
      </c>
    </row>
    <row r="139" spans="1:14" ht="12.75" customHeight="1" thickTop="1" thickBot="1" x14ac:dyDescent="0.25">
      <c r="A139" s="1655" t="s">
        <v>1487</v>
      </c>
      <c r="B139" s="1665">
        <v>4000</v>
      </c>
      <c r="C139" s="607"/>
      <c r="D139" s="607"/>
      <c r="E139" s="1657">
        <f>SUM(E137,E138)</f>
        <v>0</v>
      </c>
      <c r="F139" s="607"/>
      <c r="G139" s="607"/>
      <c r="H139" s="1666">
        <f>SUM(H137:H138)</f>
        <v>20554</v>
      </c>
      <c r="I139" s="473"/>
      <c r="J139" s="607"/>
      <c r="K139" s="1659">
        <f>SUM(K137,K138)</f>
        <v>20554</v>
      </c>
      <c r="L139" s="1666">
        <f>SUM(L137,L138)</f>
        <v>0</v>
      </c>
    </row>
    <row r="140" spans="1:14" ht="15.75" customHeight="1" thickTop="1" x14ac:dyDescent="0.2">
      <c r="A140" s="1599" t="s">
        <v>1037</v>
      </c>
      <c r="B140" s="1600" t="s">
        <v>492</v>
      </c>
      <c r="C140" s="607"/>
      <c r="D140" s="607"/>
      <c r="E140" s="628"/>
      <c r="F140" s="628"/>
      <c r="G140" s="628"/>
      <c r="H140" s="626"/>
      <c r="I140" s="473"/>
      <c r="J140" s="628"/>
      <c r="K140" s="626"/>
      <c r="L140" s="626"/>
    </row>
    <row r="141" spans="1:14" ht="15.75" customHeight="1" x14ac:dyDescent="0.2">
      <c r="A141" s="642" t="s">
        <v>615</v>
      </c>
      <c r="B141" s="613"/>
      <c r="C141" s="607"/>
      <c r="D141" s="607"/>
      <c r="E141" s="607"/>
      <c r="F141" s="607"/>
      <c r="G141" s="607"/>
      <c r="H141" s="614"/>
      <c r="I141" s="468"/>
      <c r="J141" s="607"/>
      <c r="K141" s="614"/>
      <c r="L141" s="614"/>
    </row>
    <row r="142" spans="1:14" x14ac:dyDescent="0.2">
      <c r="A142" s="1491" t="s">
        <v>87</v>
      </c>
      <c r="B142" s="605">
        <v>5110</v>
      </c>
      <c r="C142" s="607"/>
      <c r="D142" s="607"/>
      <c r="E142" s="607"/>
      <c r="F142" s="607"/>
      <c r="G142" s="607"/>
      <c r="H142" s="466">
        <v>0</v>
      </c>
      <c r="I142" s="468"/>
      <c r="J142" s="607"/>
      <c r="K142" s="1659">
        <f>SUM(H142)</f>
        <v>0</v>
      </c>
      <c r="L142" s="466">
        <v>0</v>
      </c>
    </row>
    <row r="143" spans="1:14" x14ac:dyDescent="0.2">
      <c r="A143" s="1491" t="s">
        <v>88</v>
      </c>
      <c r="B143" s="605">
        <v>5120</v>
      </c>
      <c r="C143" s="607"/>
      <c r="D143" s="607"/>
      <c r="E143" s="607"/>
      <c r="F143" s="607"/>
      <c r="G143" s="607"/>
      <c r="H143" s="466">
        <v>0</v>
      </c>
      <c r="I143" s="468"/>
      <c r="J143" s="607"/>
      <c r="K143" s="1659">
        <f>SUM(H143)</f>
        <v>0</v>
      </c>
      <c r="L143" s="466">
        <v>0</v>
      </c>
    </row>
    <row r="144" spans="1:14" ht="12.75" customHeight="1" x14ac:dyDescent="0.2">
      <c r="A144" s="1491" t="s">
        <v>1170</v>
      </c>
      <c r="B144" s="619" t="s">
        <v>617</v>
      </c>
      <c r="C144" s="607"/>
      <c r="D144" s="607"/>
      <c r="E144" s="607"/>
      <c r="F144" s="607"/>
      <c r="G144" s="607"/>
      <c r="H144" s="466">
        <v>0</v>
      </c>
      <c r="I144" s="468"/>
      <c r="J144" s="607"/>
      <c r="K144" s="1659">
        <f>SUM(H144)</f>
        <v>0</v>
      </c>
      <c r="L144" s="466">
        <v>0</v>
      </c>
    </row>
    <row r="145" spans="1:14" x14ac:dyDescent="0.2">
      <c r="A145" s="1491" t="s">
        <v>89</v>
      </c>
      <c r="B145" s="605" t="s">
        <v>589</v>
      </c>
      <c r="C145" s="607"/>
      <c r="D145" s="607"/>
      <c r="E145" s="607"/>
      <c r="F145" s="607"/>
      <c r="G145" s="607"/>
      <c r="H145" s="466">
        <v>0</v>
      </c>
      <c r="I145" s="468"/>
      <c r="J145" s="607"/>
      <c r="K145" s="1659">
        <f>SUM(H145)</f>
        <v>0</v>
      </c>
      <c r="L145" s="466">
        <v>0</v>
      </c>
    </row>
    <row r="146" spans="1:14" ht="12.75" customHeight="1" x14ac:dyDescent="0.2">
      <c r="A146" s="1491" t="s">
        <v>619</v>
      </c>
      <c r="B146" s="605" t="s">
        <v>618</v>
      </c>
      <c r="C146" s="607"/>
      <c r="D146" s="607"/>
      <c r="E146" s="607"/>
      <c r="F146" s="607"/>
      <c r="G146" s="607"/>
      <c r="H146" s="466">
        <v>0</v>
      </c>
      <c r="I146" s="468"/>
      <c r="J146" s="607"/>
      <c r="K146" s="1659">
        <f>SUM(H146)</f>
        <v>0</v>
      </c>
      <c r="L146" s="466">
        <v>0</v>
      </c>
    </row>
    <row r="147" spans="1:14" ht="12.75" customHeight="1" thickBot="1" x14ac:dyDescent="0.25">
      <c r="A147" s="1502" t="s">
        <v>626</v>
      </c>
      <c r="B147" s="648" t="s">
        <v>718</v>
      </c>
      <c r="C147" s="607"/>
      <c r="D147" s="607"/>
      <c r="E147" s="607"/>
      <c r="F147" s="607"/>
      <c r="G147" s="607"/>
      <c r="H147" s="1675">
        <f>SUM(H142:H146)</f>
        <v>0</v>
      </c>
      <c r="I147" s="468"/>
      <c r="J147" s="607"/>
      <c r="K147" s="1657">
        <f>SUM(K142:K146)</f>
        <v>0</v>
      </c>
      <c r="L147" s="1675">
        <f>SUM(L142:L146)</f>
        <v>0</v>
      </c>
    </row>
    <row r="148" spans="1:14" ht="15.75" customHeight="1" thickTop="1" x14ac:dyDescent="0.2">
      <c r="A148" s="649" t="s">
        <v>1103</v>
      </c>
      <c r="B148" s="650" t="s">
        <v>38</v>
      </c>
      <c r="C148" s="607"/>
      <c r="D148" s="607"/>
      <c r="E148" s="607"/>
      <c r="F148" s="607"/>
      <c r="G148" s="607"/>
      <c r="H148" s="475">
        <v>0</v>
      </c>
      <c r="I148" s="468"/>
      <c r="J148" s="607"/>
      <c r="K148" s="1659">
        <f>SUM(H148)</f>
        <v>0</v>
      </c>
      <c r="L148" s="487">
        <v>0</v>
      </c>
    </row>
    <row r="149" spans="1:14" ht="12.75" customHeight="1" thickBot="1" x14ac:dyDescent="0.25">
      <c r="A149" s="1494" t="s">
        <v>638</v>
      </c>
      <c r="B149" s="608" t="s">
        <v>492</v>
      </c>
      <c r="C149" s="607"/>
      <c r="D149" s="607"/>
      <c r="E149" s="607"/>
      <c r="F149" s="607"/>
      <c r="G149" s="607"/>
      <c r="H149" s="1657">
        <f>SUM(H147,H148)</f>
        <v>0</v>
      </c>
      <c r="I149" s="468"/>
      <c r="J149" s="607"/>
      <c r="K149" s="1657">
        <f>SUM(K147:K148)</f>
        <v>0</v>
      </c>
      <c r="L149" s="1657">
        <f>SUM(L142:L146,L148)</f>
        <v>0</v>
      </c>
    </row>
    <row r="150" spans="1:14" ht="15.75" customHeight="1" thickTop="1" thickBot="1" x14ac:dyDescent="0.25">
      <c r="A150" s="1593" t="s">
        <v>1038</v>
      </c>
      <c r="B150" s="1600" t="s">
        <v>861</v>
      </c>
      <c r="C150" s="607"/>
      <c r="D150" s="607"/>
      <c r="E150" s="607"/>
      <c r="F150" s="607"/>
      <c r="G150" s="607"/>
      <c r="H150" s="651"/>
      <c r="I150" s="516"/>
      <c r="J150" s="607"/>
      <c r="K150" s="614"/>
      <c r="L150" s="565">
        <v>0</v>
      </c>
    </row>
    <row r="151" spans="1:14" ht="12.75" customHeight="1" thickTop="1" thickBot="1" x14ac:dyDescent="0.25">
      <c r="A151" s="2321" t="s">
        <v>620</v>
      </c>
      <c r="B151" s="2303"/>
      <c r="C151" s="1657">
        <f>SUM(C129,C130,C139,C149,C150)</f>
        <v>1232289</v>
      </c>
      <c r="D151" s="1657">
        <f t="shared" ref="D151:K151" si="16">SUM(D129,D130,D139,D149,D150)</f>
        <v>250803</v>
      </c>
      <c r="E151" s="1657">
        <f t="shared" si="16"/>
        <v>605732</v>
      </c>
      <c r="F151" s="1657">
        <f t="shared" si="16"/>
        <v>477246</v>
      </c>
      <c r="G151" s="1657">
        <f t="shared" si="16"/>
        <v>11541</v>
      </c>
      <c r="H151" s="1657">
        <f t="shared" si="16"/>
        <v>20700</v>
      </c>
      <c r="I151" s="1657">
        <f t="shared" si="16"/>
        <v>0</v>
      </c>
      <c r="J151" s="1657">
        <f t="shared" si="16"/>
        <v>0</v>
      </c>
      <c r="K151" s="1657">
        <f t="shared" si="16"/>
        <v>2598311</v>
      </c>
      <c r="L151" s="1657">
        <f>SUM(L129,L130,L139,L149,L150)</f>
        <v>2692335</v>
      </c>
    </row>
    <row r="152" spans="1:14" ht="12.75" customHeight="1" thickTop="1" x14ac:dyDescent="0.2">
      <c r="A152" s="2324" t="s">
        <v>1178</v>
      </c>
      <c r="B152" s="2325"/>
      <c r="C152" s="609"/>
      <c r="D152" s="609"/>
      <c r="E152" s="609"/>
      <c r="F152" s="609"/>
      <c r="G152" s="609"/>
      <c r="H152" s="609"/>
      <c r="I152" s="609"/>
      <c r="J152" s="607"/>
      <c r="K152" s="1671">
        <f>'Revenues 9-14'!D268-'Expenditures 15-22'!K151</f>
        <v>-218429</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309" t="s">
        <v>621</v>
      </c>
      <c r="B154" s="2311"/>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9"/>
      <c r="I155" s="607"/>
      <c r="J155" s="607"/>
      <c r="K155" s="1812"/>
      <c r="L155" s="1829"/>
      <c r="M155" s="610"/>
      <c r="N155" s="610"/>
    </row>
    <row r="156" spans="1:14" s="611" customFormat="1" ht="15.75" customHeight="1" thickTop="1" x14ac:dyDescent="0.2">
      <c r="A156" s="1809" t="s">
        <v>1843</v>
      </c>
      <c r="B156" s="1810"/>
      <c r="C156" s="607"/>
      <c r="D156" s="607"/>
      <c r="E156" s="607"/>
      <c r="F156" s="607"/>
      <c r="G156" s="607"/>
      <c r="H156" s="1830"/>
      <c r="I156" s="607"/>
      <c r="J156" s="607"/>
      <c r="K156" s="1811"/>
      <c r="L156" s="1830"/>
      <c r="M156" s="610"/>
      <c r="N156" s="610"/>
    </row>
    <row r="157" spans="1:14" s="611" customFormat="1" ht="12" x14ac:dyDescent="0.2">
      <c r="A157" s="1813" t="s">
        <v>496</v>
      </c>
      <c r="B157" s="1814" t="s">
        <v>1842</v>
      </c>
      <c r="C157" s="607"/>
      <c r="D157" s="607"/>
      <c r="E157" s="607"/>
      <c r="F157" s="607"/>
      <c r="G157" s="607"/>
      <c r="H157" s="466">
        <v>0</v>
      </c>
      <c r="I157" s="607"/>
      <c r="J157" s="607"/>
      <c r="K157" s="1658">
        <f>H157</f>
        <v>0</v>
      </c>
      <c r="L157" s="466">
        <v>0</v>
      </c>
      <c r="M157" s="610"/>
      <c r="N157" s="610"/>
    </row>
    <row r="158" spans="1:14" s="611" customFormat="1" ht="12" x14ac:dyDescent="0.2">
      <c r="A158" s="1813" t="s">
        <v>304</v>
      </c>
      <c r="B158" s="1814" t="s">
        <v>1844</v>
      </c>
      <c r="C158" s="607"/>
      <c r="D158" s="607"/>
      <c r="E158" s="607"/>
      <c r="F158" s="607"/>
      <c r="G158" s="607"/>
      <c r="H158" s="466">
        <v>0</v>
      </c>
      <c r="I158" s="607"/>
      <c r="J158" s="607"/>
      <c r="K158" s="1658">
        <f>H158</f>
        <v>0</v>
      </c>
      <c r="L158" s="466">
        <v>0</v>
      </c>
      <c r="M158" s="610"/>
      <c r="N158" s="610"/>
    </row>
    <row r="159" spans="1:14" s="611" customFormat="1" ht="12" x14ac:dyDescent="0.2">
      <c r="A159" s="1813" t="s">
        <v>1845</v>
      </c>
      <c r="B159" s="1814" t="s">
        <v>558</v>
      </c>
      <c r="C159" s="607"/>
      <c r="D159" s="607"/>
      <c r="E159" s="607"/>
      <c r="F159" s="607"/>
      <c r="G159" s="607"/>
      <c r="H159" s="466">
        <v>0</v>
      </c>
      <c r="I159" s="607"/>
      <c r="J159" s="607"/>
      <c r="K159" s="1658">
        <f>H159</f>
        <v>0</v>
      </c>
      <c r="L159" s="466">
        <v>0</v>
      </c>
      <c r="M159" s="610"/>
      <c r="N159" s="610"/>
    </row>
    <row r="160" spans="1:14" s="611" customFormat="1" ht="15.75" customHeight="1" thickBot="1" x14ac:dyDescent="0.25">
      <c r="A160" s="1815" t="s">
        <v>1846</v>
      </c>
      <c r="B160" s="1816" t="s">
        <v>860</v>
      </c>
      <c r="C160" s="607"/>
      <c r="D160" s="607"/>
      <c r="E160" s="607"/>
      <c r="F160" s="607"/>
      <c r="G160" s="607"/>
      <c r="H160" s="1675">
        <f>SUM(H157:H159)</f>
        <v>0</v>
      </c>
      <c r="I160" s="607"/>
      <c r="J160" s="607"/>
      <c r="K160" s="1657">
        <f>SUM(K157:K159)</f>
        <v>0</v>
      </c>
      <c r="L160" s="1675">
        <f>SUM(L157:L159)</f>
        <v>0</v>
      </c>
      <c r="M160" s="610"/>
      <c r="N160" s="610"/>
    </row>
    <row r="161" spans="1:14" s="259"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9"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66">
        <v>0</v>
      </c>
      <c r="I163" s="607"/>
      <c r="J163" s="607"/>
      <c r="K163" s="1658">
        <f>SUM(C163:J163)</f>
        <v>0</v>
      </c>
      <c r="L163" s="466">
        <v>0</v>
      </c>
    </row>
    <row r="164" spans="1:14" x14ac:dyDescent="0.2">
      <c r="A164" s="1491" t="s">
        <v>88</v>
      </c>
      <c r="B164" s="605">
        <v>5120</v>
      </c>
      <c r="C164" s="607"/>
      <c r="D164" s="607"/>
      <c r="E164" s="607"/>
      <c r="F164" s="607"/>
      <c r="G164" s="607"/>
      <c r="H164" s="466">
        <v>0</v>
      </c>
      <c r="I164" s="607"/>
      <c r="J164" s="607"/>
      <c r="K164" s="1658">
        <f>SUM(C164:J164)</f>
        <v>0</v>
      </c>
      <c r="L164" s="466">
        <v>0</v>
      </c>
    </row>
    <row r="165" spans="1:14" ht="12.75" customHeight="1" x14ac:dyDescent="0.2">
      <c r="A165" s="1491" t="s">
        <v>1170</v>
      </c>
      <c r="B165" s="605" t="s">
        <v>617</v>
      </c>
      <c r="C165" s="607"/>
      <c r="D165" s="607"/>
      <c r="E165" s="607"/>
      <c r="F165" s="607"/>
      <c r="G165" s="607"/>
      <c r="H165" s="466">
        <v>0</v>
      </c>
      <c r="I165" s="607"/>
      <c r="J165" s="607"/>
      <c r="K165" s="1658">
        <f>SUM(C165:J165)</f>
        <v>0</v>
      </c>
      <c r="L165" s="466">
        <v>0</v>
      </c>
    </row>
    <row r="166" spans="1:14" x14ac:dyDescent="0.2">
      <c r="A166" s="1491" t="s">
        <v>89</v>
      </c>
      <c r="B166" s="619" t="s">
        <v>589</v>
      </c>
      <c r="C166" s="607"/>
      <c r="D166" s="607"/>
      <c r="E166" s="607"/>
      <c r="F166" s="607"/>
      <c r="G166" s="607"/>
      <c r="H166" s="466">
        <v>0</v>
      </c>
      <c r="I166" s="607"/>
      <c r="J166" s="607"/>
      <c r="K166" s="1658">
        <f>SUM(C166:J166)</f>
        <v>0</v>
      </c>
      <c r="L166" s="466">
        <v>0</v>
      </c>
    </row>
    <row r="167" spans="1:14" ht="12.75" customHeight="1" x14ac:dyDescent="0.2">
      <c r="A167" s="1491" t="s">
        <v>619</v>
      </c>
      <c r="B167" s="605" t="s">
        <v>618</v>
      </c>
      <c r="C167" s="607"/>
      <c r="D167" s="607"/>
      <c r="E167" s="607"/>
      <c r="F167" s="607"/>
      <c r="G167" s="607"/>
      <c r="H167" s="466">
        <v>0</v>
      </c>
      <c r="I167" s="607"/>
      <c r="J167" s="607"/>
      <c r="K167" s="1658">
        <f>SUM(C167:J167)</f>
        <v>0</v>
      </c>
      <c r="L167" s="466">
        <v>0</v>
      </c>
    </row>
    <row r="168" spans="1:14" ht="13.5" thickBot="1" x14ac:dyDescent="0.25">
      <c r="A168" s="1655" t="s">
        <v>276</v>
      </c>
      <c r="B168" s="1662" t="s">
        <v>718</v>
      </c>
      <c r="C168" s="607"/>
      <c r="D168" s="607"/>
      <c r="E168" s="607"/>
      <c r="F168" s="607"/>
      <c r="G168" s="607"/>
      <c r="H168" s="1657">
        <f>SUM(H163:H167)</f>
        <v>0</v>
      </c>
      <c r="I168" s="607"/>
      <c r="J168" s="607"/>
      <c r="K168" s="1657">
        <f>SUM(K163:K167)</f>
        <v>0</v>
      </c>
      <c r="L168" s="1657">
        <f>SUM(L163:L167)</f>
        <v>0</v>
      </c>
    </row>
    <row r="169" spans="1:14" ht="15.75" customHeight="1" thickTop="1" x14ac:dyDescent="0.2">
      <c r="A169" s="658" t="s">
        <v>83</v>
      </c>
      <c r="B169" s="659" t="s">
        <v>38</v>
      </c>
      <c r="C169" s="607"/>
      <c r="D169" s="607"/>
      <c r="E169" s="607"/>
      <c r="F169" s="607"/>
      <c r="G169" s="607"/>
      <c r="H169" s="466">
        <v>298475</v>
      </c>
      <c r="I169" s="607"/>
      <c r="J169" s="607"/>
      <c r="K169" s="1658">
        <f>SUM(C169:H169)</f>
        <v>298475</v>
      </c>
      <c r="L169" s="466">
        <v>707725</v>
      </c>
    </row>
    <row r="170" spans="1:14" ht="33.75" customHeight="1" x14ac:dyDescent="0.2">
      <c r="A170" s="658" t="s">
        <v>1670</v>
      </c>
      <c r="B170" s="660" t="s">
        <v>31</v>
      </c>
      <c r="C170" s="607"/>
      <c r="D170" s="607"/>
      <c r="E170" s="607"/>
      <c r="F170" s="607"/>
      <c r="G170" s="607"/>
      <c r="H170" s="466">
        <v>405000</v>
      </c>
      <c r="I170" s="607"/>
      <c r="J170" s="607"/>
      <c r="K170" s="1658">
        <f>SUM(C170:J170)</f>
        <v>405000</v>
      </c>
      <c r="L170" s="466">
        <v>0</v>
      </c>
    </row>
    <row r="171" spans="1:14" ht="15.75" customHeight="1" x14ac:dyDescent="0.2">
      <c r="A171" s="612" t="s">
        <v>766</v>
      </c>
      <c r="B171" s="661" t="s">
        <v>84</v>
      </c>
      <c r="C171" s="607"/>
      <c r="D171" s="607"/>
      <c r="E171" s="466">
        <v>0</v>
      </c>
      <c r="F171" s="607"/>
      <c r="G171" s="607"/>
      <c r="H171" s="466">
        <v>2750</v>
      </c>
      <c r="I171" s="473"/>
      <c r="J171" s="607"/>
      <c r="K171" s="1658">
        <f>SUM(C171:J171)</f>
        <v>2750</v>
      </c>
      <c r="L171" s="466">
        <v>0</v>
      </c>
    </row>
    <row r="172" spans="1:14" ht="12.75" customHeight="1" thickBot="1" x14ac:dyDescent="0.25">
      <c r="A172" s="1655" t="s">
        <v>638</v>
      </c>
      <c r="B172" s="1656" t="s">
        <v>492</v>
      </c>
      <c r="C172" s="607"/>
      <c r="D172" s="607"/>
      <c r="E172" s="1664">
        <f>SUM(E168,E169,E170,E171)</f>
        <v>0</v>
      </c>
      <c r="F172" s="607"/>
      <c r="G172" s="607"/>
      <c r="H172" s="1664">
        <f>SUM(H168,H169,H170,H171)</f>
        <v>706225</v>
      </c>
      <c r="I172" s="628"/>
      <c r="J172" s="607"/>
      <c r="K172" s="1664">
        <f>SUM(K168,K169,K170,K171)</f>
        <v>706225</v>
      </c>
      <c r="L172" s="1664">
        <f>SUM(L168,L169,L170,L171)</f>
        <v>707725</v>
      </c>
    </row>
    <row r="173" spans="1:14" ht="15.75" customHeight="1" thickTop="1" thickBot="1" x14ac:dyDescent="0.25">
      <c r="A173" s="1606" t="s">
        <v>85</v>
      </c>
      <c r="B173" s="1598" t="s">
        <v>861</v>
      </c>
      <c r="C173" s="607"/>
      <c r="D173" s="607"/>
      <c r="E173" s="614"/>
      <c r="F173" s="607"/>
      <c r="G173" s="607"/>
      <c r="H173" s="617"/>
      <c r="I173" s="628"/>
      <c r="J173" s="607"/>
      <c r="K173" s="614"/>
      <c r="L173" s="568">
        <v>0</v>
      </c>
    </row>
    <row r="174" spans="1:14" ht="12.75" customHeight="1" thickTop="1" thickBot="1" x14ac:dyDescent="0.25">
      <c r="A174" s="1676" t="s">
        <v>90</v>
      </c>
      <c r="B174" s="1677"/>
      <c r="C174" s="607"/>
      <c r="D174" s="607"/>
      <c r="E174" s="1664">
        <f>SUM(E172,E173)</f>
        <v>0</v>
      </c>
      <c r="F174" s="607"/>
      <c r="G174" s="607"/>
      <c r="H174" s="1664">
        <f>SUM(H160,H172,H173)</f>
        <v>706225</v>
      </c>
      <c r="I174" s="628"/>
      <c r="J174" s="607"/>
      <c r="K174" s="1664">
        <f>SUM(K160,K172,K173)</f>
        <v>706225</v>
      </c>
      <c r="L174" s="1664">
        <f>SUM(L160,L172,L173)</f>
        <v>707725</v>
      </c>
    </row>
    <row r="175" spans="1:14" ht="13.5" thickTop="1" x14ac:dyDescent="0.2">
      <c r="A175" s="2331" t="s">
        <v>996</v>
      </c>
      <c r="B175" s="2332"/>
      <c r="C175" s="607"/>
      <c r="D175" s="607"/>
      <c r="E175" s="607"/>
      <c r="F175" s="607"/>
      <c r="G175" s="607"/>
      <c r="H175" s="609"/>
      <c r="I175" s="607"/>
      <c r="J175" s="607"/>
      <c r="K175" s="1671">
        <f>'Revenues 9-14'!E268-'Expenditures 15-22'!K174</f>
        <v>17324</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2057</v>
      </c>
      <c r="B180" s="605" t="s">
        <v>716</v>
      </c>
      <c r="C180" s="466">
        <v>0</v>
      </c>
      <c r="D180" s="466">
        <v>0</v>
      </c>
      <c r="E180" s="466">
        <v>0</v>
      </c>
      <c r="F180" s="466">
        <v>0</v>
      </c>
      <c r="G180" s="466">
        <v>0</v>
      </c>
      <c r="H180" s="466">
        <v>0</v>
      </c>
      <c r="I180" s="466">
        <v>0</v>
      </c>
      <c r="J180" s="466">
        <v>0</v>
      </c>
      <c r="K180" s="1658">
        <f>SUM(C180:J180)</f>
        <v>0</v>
      </c>
      <c r="L180" s="466">
        <v>0</v>
      </c>
    </row>
    <row r="181" spans="1:14" ht="15.75" customHeight="1" x14ac:dyDescent="0.2">
      <c r="A181" s="615" t="s">
        <v>612</v>
      </c>
      <c r="B181" s="665"/>
      <c r="C181" s="562"/>
      <c r="D181" s="562"/>
      <c r="E181" s="562"/>
      <c r="F181" s="562"/>
      <c r="G181" s="562"/>
      <c r="H181" s="562"/>
      <c r="I181" s="468"/>
      <c r="J181" s="468"/>
      <c r="K181" s="562"/>
      <c r="L181" s="562"/>
    </row>
    <row r="182" spans="1:14" ht="12.75" customHeight="1" x14ac:dyDescent="0.2">
      <c r="A182" s="1491" t="s">
        <v>953</v>
      </c>
      <c r="B182" s="605">
        <v>2550</v>
      </c>
      <c r="C182" s="466">
        <v>816224</v>
      </c>
      <c r="D182" s="466">
        <v>23419</v>
      </c>
      <c r="E182" s="466">
        <v>449620</v>
      </c>
      <c r="F182" s="466">
        <v>94342</v>
      </c>
      <c r="G182" s="466">
        <v>0</v>
      </c>
      <c r="H182" s="466">
        <v>7173</v>
      </c>
      <c r="I182" s="466">
        <v>0</v>
      </c>
      <c r="J182" s="466">
        <v>0</v>
      </c>
      <c r="K182" s="1658">
        <f>SUM(C182:J182)</f>
        <v>1390778</v>
      </c>
      <c r="L182" s="466">
        <v>1464516</v>
      </c>
    </row>
    <row r="183" spans="1:14" ht="12.75" customHeight="1" thickBot="1" x14ac:dyDescent="0.25">
      <c r="A183" s="1496" t="s">
        <v>980</v>
      </c>
      <c r="B183" s="666">
        <v>2900</v>
      </c>
      <c r="C183" s="565">
        <v>0</v>
      </c>
      <c r="D183" s="565">
        <v>0</v>
      </c>
      <c r="E183" s="565">
        <v>0</v>
      </c>
      <c r="F183" s="565">
        <v>0</v>
      </c>
      <c r="G183" s="565">
        <v>0</v>
      </c>
      <c r="H183" s="565">
        <v>0</v>
      </c>
      <c r="I183" s="565">
        <v>0</v>
      </c>
      <c r="J183" s="565">
        <v>0</v>
      </c>
      <c r="K183" s="1664">
        <f>SUM(C183:J183)</f>
        <v>0</v>
      </c>
      <c r="L183" s="565">
        <v>0</v>
      </c>
    </row>
    <row r="184" spans="1:14" ht="12.75" customHeight="1" thickTop="1" thickBot="1" x14ac:dyDescent="0.25">
      <c r="A184" s="1678" t="s">
        <v>811</v>
      </c>
      <c r="B184" s="1656" t="s">
        <v>569</v>
      </c>
      <c r="C184" s="1664">
        <f>SUM(C180,C182,C183)</f>
        <v>816224</v>
      </c>
      <c r="D184" s="1664">
        <f t="shared" ref="D184:J184" si="17">SUM(D180,D182,D183)</f>
        <v>23419</v>
      </c>
      <c r="E184" s="1664">
        <f t="shared" si="17"/>
        <v>449620</v>
      </c>
      <c r="F184" s="1664">
        <f t="shared" si="17"/>
        <v>94342</v>
      </c>
      <c r="G184" s="1664">
        <f t="shared" si="17"/>
        <v>0</v>
      </c>
      <c r="H184" s="1664">
        <f t="shared" si="17"/>
        <v>7173</v>
      </c>
      <c r="I184" s="1664">
        <f t="shared" si="17"/>
        <v>0</v>
      </c>
      <c r="J184" s="1664">
        <f t="shared" si="17"/>
        <v>0</v>
      </c>
      <c r="K184" s="1664">
        <f>SUM(K180,K182,K183)</f>
        <v>1390778</v>
      </c>
      <c r="L184" s="1664">
        <f>SUM(L180, L182:L183)</f>
        <v>1464516</v>
      </c>
    </row>
    <row r="185" spans="1:14" ht="15.75" customHeight="1" thickTop="1" thickBot="1" x14ac:dyDescent="0.25">
      <c r="A185" s="1609" t="s">
        <v>939</v>
      </c>
      <c r="B185" s="1598">
        <v>3000</v>
      </c>
      <c r="C185" s="568">
        <v>0</v>
      </c>
      <c r="D185" s="568">
        <v>0</v>
      </c>
      <c r="E185" s="568">
        <v>0</v>
      </c>
      <c r="F185" s="568">
        <v>0</v>
      </c>
      <c r="G185" s="568">
        <v>0</v>
      </c>
      <c r="H185" s="568">
        <v>0</v>
      </c>
      <c r="I185" s="568">
        <v>0</v>
      </c>
      <c r="J185" s="568">
        <v>0</v>
      </c>
      <c r="K185" s="1657">
        <f>SUM(C185:J185)</f>
        <v>0</v>
      </c>
      <c r="L185" s="568">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6">
        <v>0</v>
      </c>
      <c r="F188" s="607"/>
      <c r="G188" s="607"/>
      <c r="H188" s="466">
        <v>0</v>
      </c>
      <c r="I188" s="473"/>
      <c r="J188" s="607"/>
      <c r="K188" s="1658">
        <f t="shared" ref="K188:K193" si="18">SUM(E188,H188)</f>
        <v>0</v>
      </c>
      <c r="L188" s="466">
        <v>0</v>
      </c>
    </row>
    <row r="189" spans="1:14" x14ac:dyDescent="0.2">
      <c r="A189" s="1491" t="s">
        <v>304</v>
      </c>
      <c r="B189" s="605">
        <v>4120</v>
      </c>
      <c r="C189" s="607"/>
      <c r="D189" s="607"/>
      <c r="E189" s="466">
        <v>0</v>
      </c>
      <c r="F189" s="607"/>
      <c r="G189" s="607"/>
      <c r="H189" s="466">
        <v>0</v>
      </c>
      <c r="I189" s="473"/>
      <c r="J189" s="607"/>
      <c r="K189" s="1658">
        <f t="shared" si="18"/>
        <v>0</v>
      </c>
      <c r="L189" s="466">
        <v>0</v>
      </c>
    </row>
    <row r="190" spans="1:14" x14ac:dyDescent="0.2">
      <c r="A190" s="1491" t="s">
        <v>305</v>
      </c>
      <c r="B190" s="619">
        <v>4130</v>
      </c>
      <c r="C190" s="607"/>
      <c r="D190" s="607"/>
      <c r="E190" s="466">
        <v>0</v>
      </c>
      <c r="F190" s="607"/>
      <c r="G190" s="607"/>
      <c r="H190" s="466">
        <v>0</v>
      </c>
      <c r="I190" s="473"/>
      <c r="J190" s="607"/>
      <c r="K190" s="1658">
        <f t="shared" si="18"/>
        <v>0</v>
      </c>
      <c r="L190" s="466">
        <v>0</v>
      </c>
    </row>
    <row r="191" spans="1:14" x14ac:dyDescent="0.2">
      <c r="A191" s="1491" t="s">
        <v>697</v>
      </c>
      <c r="B191" s="605">
        <v>4140</v>
      </c>
      <c r="C191" s="607"/>
      <c r="D191" s="607"/>
      <c r="E191" s="466">
        <v>0</v>
      </c>
      <c r="F191" s="607"/>
      <c r="G191" s="607"/>
      <c r="H191" s="466">
        <v>0</v>
      </c>
      <c r="I191" s="473"/>
      <c r="J191" s="607"/>
      <c r="K191" s="1658">
        <f t="shared" si="18"/>
        <v>0</v>
      </c>
      <c r="L191" s="466">
        <v>0</v>
      </c>
    </row>
    <row r="192" spans="1:14" x14ac:dyDescent="0.2">
      <c r="A192" s="1491" t="s">
        <v>86</v>
      </c>
      <c r="B192" s="605">
        <v>4170</v>
      </c>
      <c r="C192" s="607"/>
      <c r="D192" s="607"/>
      <c r="E192" s="466">
        <v>0</v>
      </c>
      <c r="F192" s="607"/>
      <c r="G192" s="607"/>
      <c r="H192" s="466">
        <v>0</v>
      </c>
      <c r="I192" s="473"/>
      <c r="J192" s="607"/>
      <c r="K192" s="1658">
        <f t="shared" si="18"/>
        <v>0</v>
      </c>
      <c r="L192" s="466">
        <v>0</v>
      </c>
    </row>
    <row r="193" spans="1:14" x14ac:dyDescent="0.2">
      <c r="A193" s="1495" t="s">
        <v>698</v>
      </c>
      <c r="B193" s="619">
        <v>4190</v>
      </c>
      <c r="C193" s="607"/>
      <c r="D193" s="607"/>
      <c r="E193" s="466">
        <v>0</v>
      </c>
      <c r="F193" s="607"/>
      <c r="G193" s="607"/>
      <c r="H193" s="466">
        <v>0</v>
      </c>
      <c r="I193" s="473"/>
      <c r="J193" s="607"/>
      <c r="K193" s="1658">
        <f t="shared" si="18"/>
        <v>0</v>
      </c>
      <c r="L193" s="466">
        <v>0</v>
      </c>
    </row>
    <row r="194" spans="1:14" ht="12.75" customHeight="1" thickBot="1" x14ac:dyDescent="0.25">
      <c r="A194" s="1655" t="s">
        <v>1140</v>
      </c>
      <c r="B194" s="1656" t="s">
        <v>559</v>
      </c>
      <c r="C194" s="607"/>
      <c r="D194" s="607"/>
      <c r="E194" s="1657">
        <f>SUM(E188:E193)</f>
        <v>0</v>
      </c>
      <c r="F194" s="607"/>
      <c r="G194" s="607"/>
      <c r="H194" s="1657">
        <f>SUM(H188:H193)</f>
        <v>0</v>
      </c>
      <c r="I194" s="473"/>
      <c r="J194" s="607"/>
      <c r="K194" s="1657">
        <f>SUM(K188:K193)</f>
        <v>0</v>
      </c>
      <c r="L194" s="1657">
        <f>SUM(L188:L193)</f>
        <v>0</v>
      </c>
    </row>
    <row r="195" spans="1:14" ht="15.75" customHeight="1" thickTop="1" x14ac:dyDescent="0.2">
      <c r="A195" s="658" t="s">
        <v>92</v>
      </c>
      <c r="B195" s="667" t="s">
        <v>931</v>
      </c>
      <c r="C195" s="607"/>
      <c r="D195" s="607"/>
      <c r="E195" s="645">
        <v>0</v>
      </c>
      <c r="F195" s="607"/>
      <c r="G195" s="607"/>
      <c r="H195" s="645">
        <v>0</v>
      </c>
      <c r="I195" s="473"/>
      <c r="J195" s="607"/>
      <c r="K195" s="1672">
        <f>SUM(E195,H195)</f>
        <v>0</v>
      </c>
      <c r="L195" s="645">
        <v>0</v>
      </c>
    </row>
    <row r="196" spans="1:14" ht="12.75" customHeight="1" thickBot="1" x14ac:dyDescent="0.25">
      <c r="A196" s="1655" t="s">
        <v>1487</v>
      </c>
      <c r="B196" s="1656" t="s">
        <v>860</v>
      </c>
      <c r="C196" s="607"/>
      <c r="D196" s="607"/>
      <c r="E196" s="1664">
        <f>SUM(E194,E195)</f>
        <v>0</v>
      </c>
      <c r="F196" s="607"/>
      <c r="G196" s="607"/>
      <c r="H196" s="1664">
        <f>SUM(H194,H195)</f>
        <v>0</v>
      </c>
      <c r="I196" s="473"/>
      <c r="J196" s="607"/>
      <c r="K196" s="1664">
        <f>SUM(K194,K195)</f>
        <v>0</v>
      </c>
      <c r="L196" s="1664">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6">
        <v>0</v>
      </c>
      <c r="I199" s="607"/>
      <c r="J199" s="607"/>
      <c r="K199" s="1658">
        <f>SUM(H199)</f>
        <v>0</v>
      </c>
      <c r="L199" s="466">
        <v>0</v>
      </c>
    </row>
    <row r="200" spans="1:14" x14ac:dyDescent="0.2">
      <c r="A200" s="1491" t="s">
        <v>88</v>
      </c>
      <c r="B200" s="605">
        <v>5120</v>
      </c>
      <c r="C200" s="607"/>
      <c r="D200" s="607"/>
      <c r="E200" s="607"/>
      <c r="F200" s="607"/>
      <c r="G200" s="607"/>
      <c r="H200" s="466">
        <v>0</v>
      </c>
      <c r="I200" s="607"/>
      <c r="J200" s="607"/>
      <c r="K200" s="1658">
        <f>SUM(H200)</f>
        <v>0</v>
      </c>
      <c r="L200" s="466">
        <v>0</v>
      </c>
    </row>
    <row r="201" spans="1:14" ht="12.75" customHeight="1" x14ac:dyDescent="0.2">
      <c r="A201" s="1491" t="s">
        <v>1170</v>
      </c>
      <c r="B201" s="619" t="s">
        <v>617</v>
      </c>
      <c r="C201" s="607"/>
      <c r="D201" s="607"/>
      <c r="E201" s="607"/>
      <c r="F201" s="607"/>
      <c r="G201" s="607"/>
      <c r="H201" s="466">
        <v>0</v>
      </c>
      <c r="I201" s="607"/>
      <c r="J201" s="607"/>
      <c r="K201" s="1658">
        <f>SUM(H201)</f>
        <v>0</v>
      </c>
      <c r="L201" s="466">
        <v>0</v>
      </c>
    </row>
    <row r="202" spans="1:14" x14ac:dyDescent="0.2">
      <c r="A202" s="1491" t="s">
        <v>89</v>
      </c>
      <c r="B202" s="605" t="s">
        <v>589</v>
      </c>
      <c r="C202" s="607"/>
      <c r="D202" s="607"/>
      <c r="E202" s="607"/>
      <c r="F202" s="607"/>
      <c r="G202" s="607"/>
      <c r="H202" s="466">
        <v>0</v>
      </c>
      <c r="I202" s="607"/>
      <c r="J202" s="607"/>
      <c r="K202" s="1658">
        <f>SUM(H202)</f>
        <v>0</v>
      </c>
      <c r="L202" s="466">
        <v>0</v>
      </c>
    </row>
    <row r="203" spans="1:14" x14ac:dyDescent="0.2">
      <c r="A203" s="1503" t="s">
        <v>619</v>
      </c>
      <c r="B203" s="605" t="s">
        <v>618</v>
      </c>
      <c r="C203" s="607"/>
      <c r="D203" s="607"/>
      <c r="E203" s="607"/>
      <c r="F203" s="607"/>
      <c r="G203" s="607"/>
      <c r="H203" s="466">
        <v>0</v>
      </c>
      <c r="I203" s="607"/>
      <c r="J203" s="607"/>
      <c r="K203" s="1658">
        <f>SUM(H203)</f>
        <v>0</v>
      </c>
      <c r="L203" s="466">
        <v>0</v>
      </c>
    </row>
    <row r="204" spans="1:14" ht="13.5" thickBot="1" x14ac:dyDescent="0.25">
      <c r="A204" s="1655" t="s">
        <v>276</v>
      </c>
      <c r="B204" s="1656" t="s">
        <v>718</v>
      </c>
      <c r="C204" s="607"/>
      <c r="D204" s="607"/>
      <c r="E204" s="607"/>
      <c r="F204" s="607"/>
      <c r="G204" s="607"/>
      <c r="H204" s="1657">
        <f>SUM(H199:H203)</f>
        <v>0</v>
      </c>
      <c r="I204" s="607"/>
      <c r="J204" s="607"/>
      <c r="K204" s="1657">
        <f>SUM(K199:K203)</f>
        <v>0</v>
      </c>
      <c r="L204" s="1657">
        <f>SUM(L199:L203)</f>
        <v>0</v>
      </c>
    </row>
    <row r="205" spans="1:14" ht="15.75" customHeight="1" thickTop="1" x14ac:dyDescent="0.2">
      <c r="A205" s="668" t="s">
        <v>83</v>
      </c>
      <c r="B205" s="669" t="s">
        <v>38</v>
      </c>
      <c r="C205" s="607"/>
      <c r="D205" s="607"/>
      <c r="E205" s="607"/>
      <c r="F205" s="607"/>
      <c r="G205" s="607"/>
      <c r="H205" s="530">
        <v>0</v>
      </c>
      <c r="I205" s="607"/>
      <c r="J205" s="607"/>
      <c r="K205" s="1672">
        <f>SUM(H205)</f>
        <v>0</v>
      </c>
      <c r="L205" s="530">
        <v>0</v>
      </c>
    </row>
    <row r="206" spans="1:14" ht="30" customHeight="1" x14ac:dyDescent="0.2">
      <c r="A206" s="670" t="s">
        <v>1671</v>
      </c>
      <c r="B206" s="661" t="s">
        <v>31</v>
      </c>
      <c r="C206" s="607"/>
      <c r="D206" s="607"/>
      <c r="E206" s="607"/>
      <c r="F206" s="607"/>
      <c r="G206" s="607"/>
      <c r="H206" s="466">
        <v>0</v>
      </c>
      <c r="I206" s="607"/>
      <c r="J206" s="607"/>
      <c r="K206" s="1658">
        <f>SUM(H206)</f>
        <v>0</v>
      </c>
      <c r="L206" s="466">
        <v>0</v>
      </c>
    </row>
    <row r="207" spans="1:14" ht="15.75" customHeight="1" x14ac:dyDescent="0.2">
      <c r="A207" s="612" t="s">
        <v>766</v>
      </c>
      <c r="B207" s="661" t="s">
        <v>84</v>
      </c>
      <c r="C207" s="607"/>
      <c r="D207" s="607"/>
      <c r="E207" s="607"/>
      <c r="F207" s="607"/>
      <c r="G207" s="607"/>
      <c r="H207" s="467">
        <v>0</v>
      </c>
      <c r="I207" s="607"/>
      <c r="J207" s="607"/>
      <c r="K207" s="1658">
        <f>H207</f>
        <v>0</v>
      </c>
      <c r="L207" s="467">
        <v>0</v>
      </c>
    </row>
    <row r="208" spans="1:14" ht="12.75" customHeight="1" thickBot="1" x14ac:dyDescent="0.25">
      <c r="A208" s="1673" t="s">
        <v>638</v>
      </c>
      <c r="B208" s="1674" t="s">
        <v>492</v>
      </c>
      <c r="C208" s="607"/>
      <c r="D208" s="607"/>
      <c r="E208" s="607"/>
      <c r="F208" s="607"/>
      <c r="G208" s="607"/>
      <c r="H208" s="1664">
        <f>SUM(H204,H205,H206,H207)</f>
        <v>0</v>
      </c>
      <c r="I208" s="607"/>
      <c r="J208" s="607"/>
      <c r="K208" s="1664">
        <f>SUM(K204,K205,K206,K207)</f>
        <v>0</v>
      </c>
      <c r="L208" s="1664">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68">
        <v>0</v>
      </c>
    </row>
    <row r="210" spans="1:14" ht="12.75" customHeight="1" thickTop="1" thickBot="1" x14ac:dyDescent="0.25">
      <c r="A210" s="1679" t="s">
        <v>277</v>
      </c>
      <c r="B210" s="1680"/>
      <c r="C210" s="1657">
        <f>SUM(C184,C185)</f>
        <v>816224</v>
      </c>
      <c r="D210" s="1657">
        <f>SUM(D184,D185)</f>
        <v>23419</v>
      </c>
      <c r="E210" s="1657">
        <f>SUM(E184,E185,E196)</f>
        <v>449620</v>
      </c>
      <c r="F210" s="1657">
        <f>SUM(F184,F185)</f>
        <v>94342</v>
      </c>
      <c r="G210" s="1657">
        <f>SUM(G184,G185)</f>
        <v>0</v>
      </c>
      <c r="H210" s="1657">
        <f>SUM(H184,H185,H196,H208,H209)</f>
        <v>7173</v>
      </c>
      <c r="I210" s="1657">
        <f>SUM(I184,I185)</f>
        <v>0</v>
      </c>
      <c r="J210" s="1657">
        <f>SUM(J184,J185)</f>
        <v>0</v>
      </c>
      <c r="K210" s="1658">
        <f>SUM(K184,K185,K196,K208,K209)</f>
        <v>1390778</v>
      </c>
      <c r="L210" s="1657">
        <f>SUM(L184,L185,L196,L208,L209)</f>
        <v>1464516</v>
      </c>
    </row>
    <row r="211" spans="1:14" ht="13.5" thickTop="1" x14ac:dyDescent="0.2">
      <c r="A211" s="2331" t="s">
        <v>996</v>
      </c>
      <c r="B211" s="2332"/>
      <c r="C211" s="609"/>
      <c r="D211" s="609"/>
      <c r="E211" s="609"/>
      <c r="F211" s="609"/>
      <c r="G211" s="609"/>
      <c r="H211" s="609"/>
      <c r="I211" s="607"/>
      <c r="J211" s="607"/>
      <c r="K211" s="1671">
        <f>'Revenues 9-14'!F268-'Expenditures 15-22'!K210</f>
        <v>-352089</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326" t="s">
        <v>965</v>
      </c>
      <c r="B213" s="2327"/>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6">
        <v>110980</v>
      </c>
      <c r="E215" s="607"/>
      <c r="F215" s="607"/>
      <c r="G215" s="607"/>
      <c r="H215" s="607"/>
      <c r="I215" s="607"/>
      <c r="J215" s="607"/>
      <c r="K215" s="1658">
        <f>D215</f>
        <v>110980</v>
      </c>
      <c r="L215" s="466">
        <v>109997</v>
      </c>
    </row>
    <row r="216" spans="1:14" x14ac:dyDescent="0.2">
      <c r="A216" s="1491" t="s">
        <v>163</v>
      </c>
      <c r="B216" s="605" t="s">
        <v>967</v>
      </c>
      <c r="C216" s="607"/>
      <c r="D216" s="466">
        <v>0</v>
      </c>
      <c r="E216" s="607"/>
      <c r="F216" s="607"/>
      <c r="G216" s="607"/>
      <c r="H216" s="607"/>
      <c r="I216" s="607"/>
      <c r="J216" s="607"/>
      <c r="K216" s="1658">
        <f t="shared" ref="K216:K228" si="19">D216</f>
        <v>0</v>
      </c>
      <c r="L216" s="466">
        <v>0</v>
      </c>
    </row>
    <row r="217" spans="1:14" x14ac:dyDescent="0.2">
      <c r="A217" s="1491" t="s">
        <v>164</v>
      </c>
      <c r="B217" s="605">
        <v>1200</v>
      </c>
      <c r="C217" s="607"/>
      <c r="D217" s="466">
        <v>80871</v>
      </c>
      <c r="E217" s="607"/>
      <c r="F217" s="607"/>
      <c r="G217" s="607"/>
      <c r="H217" s="607"/>
      <c r="I217" s="607"/>
      <c r="J217" s="607"/>
      <c r="K217" s="1658">
        <f t="shared" si="19"/>
        <v>80871</v>
      </c>
      <c r="L217" s="466">
        <v>90365</v>
      </c>
    </row>
    <row r="218" spans="1:14" x14ac:dyDescent="0.2">
      <c r="A218" s="1491" t="s">
        <v>278</v>
      </c>
      <c r="B218" s="605" t="s">
        <v>968</v>
      </c>
      <c r="C218" s="607"/>
      <c r="D218" s="466">
        <v>0</v>
      </c>
      <c r="E218" s="607"/>
      <c r="F218" s="607"/>
      <c r="G218" s="607"/>
      <c r="H218" s="607"/>
      <c r="I218" s="607"/>
      <c r="J218" s="607"/>
      <c r="K218" s="1658">
        <f t="shared" si="19"/>
        <v>0</v>
      </c>
      <c r="L218" s="466">
        <v>0</v>
      </c>
    </row>
    <row r="219" spans="1:14" x14ac:dyDescent="0.2">
      <c r="A219" s="1491" t="s">
        <v>279</v>
      </c>
      <c r="B219" s="605">
        <v>1250</v>
      </c>
      <c r="C219" s="607"/>
      <c r="D219" s="466">
        <v>0</v>
      </c>
      <c r="E219" s="607"/>
      <c r="F219" s="607"/>
      <c r="G219" s="607"/>
      <c r="H219" s="607"/>
      <c r="I219" s="607"/>
      <c r="J219" s="607"/>
      <c r="K219" s="1658">
        <f t="shared" si="19"/>
        <v>0</v>
      </c>
      <c r="L219" s="466">
        <v>261</v>
      </c>
    </row>
    <row r="220" spans="1:14" x14ac:dyDescent="0.2">
      <c r="A220" s="1491" t="s">
        <v>280</v>
      </c>
      <c r="B220" s="605" t="s">
        <v>161</v>
      </c>
      <c r="C220" s="607"/>
      <c r="D220" s="466">
        <v>0</v>
      </c>
      <c r="E220" s="607"/>
      <c r="F220" s="607"/>
      <c r="G220" s="607"/>
      <c r="H220" s="607"/>
      <c r="I220" s="607"/>
      <c r="J220" s="607"/>
      <c r="K220" s="1658">
        <f t="shared" si="19"/>
        <v>0</v>
      </c>
      <c r="L220" s="466">
        <v>0</v>
      </c>
    </row>
    <row r="221" spans="1:14" x14ac:dyDescent="0.2">
      <c r="A221" s="1491" t="s">
        <v>962</v>
      </c>
      <c r="B221" s="605">
        <v>1300</v>
      </c>
      <c r="C221" s="607"/>
      <c r="D221" s="466">
        <v>0</v>
      </c>
      <c r="E221" s="607"/>
      <c r="F221" s="607"/>
      <c r="G221" s="607"/>
      <c r="H221" s="607"/>
      <c r="I221" s="607"/>
      <c r="J221" s="607"/>
      <c r="K221" s="1658">
        <f t="shared" si="19"/>
        <v>0</v>
      </c>
      <c r="L221" s="466">
        <v>0</v>
      </c>
    </row>
    <row r="222" spans="1:14" x14ac:dyDescent="0.2">
      <c r="A222" s="1491" t="s">
        <v>723</v>
      </c>
      <c r="B222" s="605">
        <v>1400</v>
      </c>
      <c r="C222" s="607"/>
      <c r="D222" s="466">
        <v>15462</v>
      </c>
      <c r="E222" s="607"/>
      <c r="F222" s="607"/>
      <c r="G222" s="607"/>
      <c r="H222" s="607"/>
      <c r="I222" s="607"/>
      <c r="J222" s="607"/>
      <c r="K222" s="1658">
        <f t="shared" si="19"/>
        <v>15462</v>
      </c>
      <c r="L222" s="466">
        <v>15319</v>
      </c>
    </row>
    <row r="223" spans="1:14" x14ac:dyDescent="0.2">
      <c r="A223" s="1491" t="s">
        <v>963</v>
      </c>
      <c r="B223" s="605">
        <v>1500</v>
      </c>
      <c r="C223" s="607"/>
      <c r="D223" s="466">
        <v>56640</v>
      </c>
      <c r="E223" s="607"/>
      <c r="F223" s="607"/>
      <c r="G223" s="607"/>
      <c r="H223" s="607"/>
      <c r="I223" s="607"/>
      <c r="J223" s="607"/>
      <c r="K223" s="1658">
        <f t="shared" si="19"/>
        <v>56640</v>
      </c>
      <c r="L223" s="466">
        <v>53937</v>
      </c>
    </row>
    <row r="224" spans="1:14" x14ac:dyDescent="0.2">
      <c r="A224" s="1491" t="s">
        <v>964</v>
      </c>
      <c r="B224" s="605">
        <v>1600</v>
      </c>
      <c r="C224" s="607"/>
      <c r="D224" s="466">
        <v>2049</v>
      </c>
      <c r="E224" s="607"/>
      <c r="F224" s="607"/>
      <c r="G224" s="607"/>
      <c r="H224" s="607"/>
      <c r="I224" s="607"/>
      <c r="J224" s="607"/>
      <c r="K224" s="1658">
        <f t="shared" si="19"/>
        <v>2049</v>
      </c>
      <c r="L224" s="466">
        <v>914</v>
      </c>
    </row>
    <row r="225" spans="1:12" x14ac:dyDescent="0.2">
      <c r="A225" s="1491" t="s">
        <v>987</v>
      </c>
      <c r="B225" s="605">
        <v>1650</v>
      </c>
      <c r="C225" s="607"/>
      <c r="D225" s="466">
        <v>0</v>
      </c>
      <c r="E225" s="607"/>
      <c r="F225" s="607"/>
      <c r="G225" s="607"/>
      <c r="H225" s="607"/>
      <c r="I225" s="607"/>
      <c r="J225" s="607"/>
      <c r="K225" s="1658">
        <f t="shared" si="19"/>
        <v>0</v>
      </c>
      <c r="L225" s="466">
        <v>0</v>
      </c>
    </row>
    <row r="226" spans="1:12" x14ac:dyDescent="0.2">
      <c r="A226" s="1491" t="s">
        <v>724</v>
      </c>
      <c r="B226" s="605" t="s">
        <v>162</v>
      </c>
      <c r="C226" s="607"/>
      <c r="D226" s="466">
        <v>2097</v>
      </c>
      <c r="E226" s="607"/>
      <c r="F226" s="607"/>
      <c r="G226" s="607"/>
      <c r="H226" s="607"/>
      <c r="I226" s="607"/>
      <c r="J226" s="607"/>
      <c r="K226" s="1658">
        <f t="shared" si="19"/>
        <v>2097</v>
      </c>
      <c r="L226" s="466">
        <v>1738</v>
      </c>
    </row>
    <row r="227" spans="1:12" x14ac:dyDescent="0.2">
      <c r="A227" s="1491" t="s">
        <v>1087</v>
      </c>
      <c r="B227" s="605">
        <v>1800</v>
      </c>
      <c r="C227" s="607"/>
      <c r="D227" s="466">
        <v>6989</v>
      </c>
      <c r="E227" s="607"/>
      <c r="F227" s="607"/>
      <c r="G227" s="607"/>
      <c r="H227" s="607"/>
      <c r="I227" s="607"/>
      <c r="J227" s="607"/>
      <c r="K227" s="1658">
        <f t="shared" si="19"/>
        <v>6989</v>
      </c>
      <c r="L227" s="466">
        <v>8561</v>
      </c>
    </row>
    <row r="228" spans="1:12" x14ac:dyDescent="0.2">
      <c r="A228" s="1491" t="s">
        <v>1088</v>
      </c>
      <c r="B228" s="605">
        <v>1900</v>
      </c>
      <c r="C228" s="607"/>
      <c r="D228" s="466">
        <v>0</v>
      </c>
      <c r="E228" s="607"/>
      <c r="F228" s="607"/>
      <c r="G228" s="607"/>
      <c r="H228" s="607"/>
      <c r="I228" s="607"/>
      <c r="J228" s="607"/>
      <c r="K228" s="1658">
        <f t="shared" si="19"/>
        <v>0</v>
      </c>
      <c r="L228" s="466">
        <v>0</v>
      </c>
    </row>
    <row r="229" spans="1:12" ht="12.75" customHeight="1" thickBot="1" x14ac:dyDescent="0.25">
      <c r="A229" s="1655" t="s">
        <v>715</v>
      </c>
      <c r="B229" s="1662" t="s">
        <v>570</v>
      </c>
      <c r="C229" s="607"/>
      <c r="D229" s="1657">
        <f>SUM(D215:D228)</f>
        <v>275088</v>
      </c>
      <c r="E229" s="607"/>
      <c r="F229" s="607"/>
      <c r="G229" s="607"/>
      <c r="H229" s="607"/>
      <c r="I229" s="607"/>
      <c r="J229" s="607"/>
      <c r="K229" s="1657">
        <f>SUM(K215:K228)</f>
        <v>275088</v>
      </c>
      <c r="L229" s="1657">
        <f>SUM(L215:L228)</f>
        <v>281092</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6">
        <v>4373</v>
      </c>
      <c r="E232" s="607"/>
      <c r="F232" s="607"/>
      <c r="G232" s="607"/>
      <c r="H232" s="607"/>
      <c r="I232" s="607"/>
      <c r="J232" s="607"/>
      <c r="K232" s="1658">
        <f t="shared" ref="K232:K237" si="20">D232</f>
        <v>4373</v>
      </c>
      <c r="L232" s="466">
        <v>3489</v>
      </c>
    </row>
    <row r="233" spans="1:12" x14ac:dyDescent="0.2">
      <c r="A233" s="1491" t="s">
        <v>1090</v>
      </c>
      <c r="B233" s="605">
        <v>2120</v>
      </c>
      <c r="C233" s="607"/>
      <c r="D233" s="466">
        <v>18296</v>
      </c>
      <c r="E233" s="607"/>
      <c r="F233" s="607"/>
      <c r="G233" s="607"/>
      <c r="H233" s="607"/>
      <c r="I233" s="607"/>
      <c r="J233" s="607"/>
      <c r="K233" s="1658">
        <f t="shared" si="20"/>
        <v>18296</v>
      </c>
      <c r="L233" s="466">
        <v>18654</v>
      </c>
    </row>
    <row r="234" spans="1:12" x14ac:dyDescent="0.2">
      <c r="A234" s="1491" t="s">
        <v>198</v>
      </c>
      <c r="B234" s="605">
        <v>2130</v>
      </c>
      <c r="C234" s="607"/>
      <c r="D234" s="466">
        <v>6497</v>
      </c>
      <c r="E234" s="607"/>
      <c r="F234" s="607"/>
      <c r="G234" s="607"/>
      <c r="H234" s="607"/>
      <c r="I234" s="607"/>
      <c r="J234" s="607"/>
      <c r="K234" s="1658">
        <f t="shared" si="20"/>
        <v>6497</v>
      </c>
      <c r="L234" s="466">
        <v>4836</v>
      </c>
    </row>
    <row r="235" spans="1:12" x14ac:dyDescent="0.2">
      <c r="A235" s="1491" t="s">
        <v>199</v>
      </c>
      <c r="B235" s="605">
        <v>2140</v>
      </c>
      <c r="C235" s="607"/>
      <c r="D235" s="466">
        <v>1104</v>
      </c>
      <c r="E235" s="607"/>
      <c r="F235" s="607"/>
      <c r="G235" s="607"/>
      <c r="H235" s="607"/>
      <c r="I235" s="607"/>
      <c r="J235" s="607"/>
      <c r="K235" s="1658">
        <f t="shared" si="20"/>
        <v>1104</v>
      </c>
      <c r="L235" s="466">
        <v>4227</v>
      </c>
    </row>
    <row r="236" spans="1:12" x14ac:dyDescent="0.2">
      <c r="A236" s="1491" t="s">
        <v>200</v>
      </c>
      <c r="B236" s="605">
        <v>2150</v>
      </c>
      <c r="C236" s="607"/>
      <c r="D236" s="466">
        <v>304</v>
      </c>
      <c r="E236" s="607"/>
      <c r="F236" s="607"/>
      <c r="G236" s="607"/>
      <c r="H236" s="607"/>
      <c r="I236" s="607"/>
      <c r="J236" s="607"/>
      <c r="K236" s="1658">
        <f t="shared" si="20"/>
        <v>304</v>
      </c>
      <c r="L236" s="466">
        <v>0</v>
      </c>
    </row>
    <row r="237" spans="1:12" x14ac:dyDescent="0.2">
      <c r="A237" s="1491" t="s">
        <v>165</v>
      </c>
      <c r="B237" s="605">
        <v>2190</v>
      </c>
      <c r="C237" s="607"/>
      <c r="D237" s="466">
        <v>52992</v>
      </c>
      <c r="E237" s="607"/>
      <c r="F237" s="607"/>
      <c r="G237" s="607"/>
      <c r="H237" s="607"/>
      <c r="I237" s="607"/>
      <c r="J237" s="607"/>
      <c r="K237" s="1658">
        <f t="shared" si="20"/>
        <v>52992</v>
      </c>
      <c r="L237" s="466">
        <v>51678</v>
      </c>
    </row>
    <row r="238" spans="1:12" ht="12.75" customHeight="1" thickBot="1" x14ac:dyDescent="0.25">
      <c r="A238" s="1655" t="s">
        <v>560</v>
      </c>
      <c r="B238" s="1662" t="s">
        <v>716</v>
      </c>
      <c r="C238" s="607"/>
      <c r="D238" s="1657">
        <f>SUM(D232:D237)</f>
        <v>83566</v>
      </c>
      <c r="E238" s="607"/>
      <c r="F238" s="607"/>
      <c r="G238" s="607"/>
      <c r="H238" s="607"/>
      <c r="I238" s="607"/>
      <c r="J238" s="607"/>
      <c r="K238" s="1657">
        <f>SUM(K232:K237)</f>
        <v>83566</v>
      </c>
      <c r="L238" s="1657">
        <f>SUM(L232:L237)</f>
        <v>82884</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6">
        <v>12776</v>
      </c>
      <c r="E240" s="607"/>
      <c r="F240" s="607"/>
      <c r="G240" s="607"/>
      <c r="H240" s="607"/>
      <c r="I240" s="607"/>
      <c r="J240" s="607"/>
      <c r="K240" s="1659">
        <f>D240</f>
        <v>12776</v>
      </c>
      <c r="L240" s="466">
        <v>10274</v>
      </c>
    </row>
    <row r="241" spans="1:12" x14ac:dyDescent="0.2">
      <c r="A241" s="1491" t="s">
        <v>815</v>
      </c>
      <c r="B241" s="605">
        <v>2220</v>
      </c>
      <c r="C241" s="607"/>
      <c r="D241" s="466">
        <v>7375</v>
      </c>
      <c r="E241" s="607"/>
      <c r="F241" s="607"/>
      <c r="G241" s="607"/>
      <c r="H241" s="607"/>
      <c r="I241" s="607"/>
      <c r="J241" s="607"/>
      <c r="K241" s="1659">
        <f>D241</f>
        <v>7375</v>
      </c>
      <c r="L241" s="466">
        <v>9355</v>
      </c>
    </row>
    <row r="242" spans="1:12" x14ac:dyDescent="0.2">
      <c r="A242" s="1491" t="s">
        <v>816</v>
      </c>
      <c r="B242" s="605">
        <v>2230</v>
      </c>
      <c r="C242" s="607"/>
      <c r="D242" s="466">
        <v>0</v>
      </c>
      <c r="E242" s="607"/>
      <c r="F242" s="607"/>
      <c r="G242" s="607"/>
      <c r="H242" s="607"/>
      <c r="I242" s="607"/>
      <c r="J242" s="607"/>
      <c r="K242" s="1659">
        <f>D242</f>
        <v>0</v>
      </c>
      <c r="L242" s="466">
        <v>0</v>
      </c>
    </row>
    <row r="243" spans="1:12" ht="12.75" customHeight="1" thickBot="1" x14ac:dyDescent="0.25">
      <c r="A243" s="1681" t="s">
        <v>561</v>
      </c>
      <c r="B243" s="1682">
        <v>2200</v>
      </c>
      <c r="C243" s="607"/>
      <c r="D243" s="1657">
        <f>SUM(D240:D242)</f>
        <v>20151</v>
      </c>
      <c r="E243" s="607"/>
      <c r="F243" s="607"/>
      <c r="G243" s="607"/>
      <c r="H243" s="607"/>
      <c r="I243" s="607"/>
      <c r="J243" s="607"/>
      <c r="K243" s="1657">
        <f>SUM(K240:K242)</f>
        <v>20151</v>
      </c>
      <c r="L243" s="1657">
        <f>SUM(L240:L242)</f>
        <v>19629</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6">
        <v>0</v>
      </c>
      <c r="E245" s="607"/>
      <c r="F245" s="607"/>
      <c r="G245" s="607"/>
      <c r="H245" s="607"/>
      <c r="I245" s="607"/>
      <c r="J245" s="607"/>
      <c r="K245" s="1659">
        <f>D245</f>
        <v>0</v>
      </c>
      <c r="L245" s="466">
        <v>0</v>
      </c>
    </row>
    <row r="246" spans="1:12" x14ac:dyDescent="0.2">
      <c r="A246" s="1491" t="s">
        <v>818</v>
      </c>
      <c r="B246" s="605">
        <v>2320</v>
      </c>
      <c r="C246" s="607"/>
      <c r="D246" s="466">
        <v>17727</v>
      </c>
      <c r="E246" s="607"/>
      <c r="F246" s="607"/>
      <c r="G246" s="607"/>
      <c r="H246" s="607"/>
      <c r="I246" s="607"/>
      <c r="J246" s="607"/>
      <c r="K246" s="1659">
        <f t="shared" ref="K246:K256" si="21">D246</f>
        <v>17727</v>
      </c>
      <c r="L246" s="466">
        <v>16505</v>
      </c>
    </row>
    <row r="247" spans="1:12" x14ac:dyDescent="0.2">
      <c r="A247" s="1491" t="s">
        <v>819</v>
      </c>
      <c r="B247" s="605">
        <v>2330</v>
      </c>
      <c r="C247" s="607"/>
      <c r="D247" s="466">
        <v>0</v>
      </c>
      <c r="E247" s="607"/>
      <c r="F247" s="607"/>
      <c r="G247" s="607"/>
      <c r="H247" s="607"/>
      <c r="I247" s="607"/>
      <c r="J247" s="607"/>
      <c r="K247" s="1659">
        <f t="shared" si="21"/>
        <v>0</v>
      </c>
      <c r="L247" s="466">
        <v>0</v>
      </c>
    </row>
    <row r="248" spans="1:12" x14ac:dyDescent="0.2">
      <c r="A248" s="1492" t="s">
        <v>299</v>
      </c>
      <c r="B248" s="593" t="s">
        <v>281</v>
      </c>
      <c r="C248" s="607"/>
      <c r="D248" s="466">
        <v>0</v>
      </c>
      <c r="E248" s="607"/>
      <c r="F248" s="607"/>
      <c r="G248" s="607"/>
      <c r="H248" s="607"/>
      <c r="I248" s="607"/>
      <c r="J248" s="607"/>
      <c r="K248" s="1659">
        <f t="shared" si="21"/>
        <v>0</v>
      </c>
      <c r="L248" s="466">
        <v>0</v>
      </c>
    </row>
    <row r="249" spans="1:12" x14ac:dyDescent="0.2">
      <c r="A249" s="1493" t="s">
        <v>1802</v>
      </c>
      <c r="B249" s="672" t="s">
        <v>282</v>
      </c>
      <c r="C249" s="607"/>
      <c r="D249" s="466">
        <v>0</v>
      </c>
      <c r="E249" s="607"/>
      <c r="F249" s="607"/>
      <c r="G249" s="607"/>
      <c r="H249" s="607"/>
      <c r="I249" s="607"/>
      <c r="J249" s="607"/>
      <c r="K249" s="1659">
        <f t="shared" si="21"/>
        <v>0</v>
      </c>
      <c r="L249" s="466">
        <v>0</v>
      </c>
    </row>
    <row r="250" spans="1:12" x14ac:dyDescent="0.2">
      <c r="A250" s="1492" t="s">
        <v>1803</v>
      </c>
      <c r="B250" s="593" t="s">
        <v>283</v>
      </c>
      <c r="C250" s="607"/>
      <c r="D250" s="466">
        <v>0</v>
      </c>
      <c r="E250" s="607"/>
      <c r="F250" s="607"/>
      <c r="G250" s="607"/>
      <c r="H250" s="607"/>
      <c r="I250" s="607"/>
      <c r="J250" s="607"/>
      <c r="K250" s="1659">
        <f t="shared" si="21"/>
        <v>0</v>
      </c>
      <c r="L250" s="466">
        <v>0</v>
      </c>
    </row>
    <row r="251" spans="1:12" x14ac:dyDescent="0.2">
      <c r="A251" s="1492" t="s">
        <v>238</v>
      </c>
      <c r="B251" s="593" t="s">
        <v>284</v>
      </c>
      <c r="C251" s="607"/>
      <c r="D251" s="466">
        <v>0</v>
      </c>
      <c r="E251" s="607"/>
      <c r="F251" s="607"/>
      <c r="G251" s="607"/>
      <c r="H251" s="607"/>
      <c r="I251" s="607"/>
      <c r="J251" s="607"/>
      <c r="K251" s="1659">
        <f t="shared" si="21"/>
        <v>0</v>
      </c>
      <c r="L251" s="466">
        <v>0</v>
      </c>
    </row>
    <row r="252" spans="1:12" x14ac:dyDescent="0.2">
      <c r="A252" s="1492" t="s">
        <v>702</v>
      </c>
      <c r="B252" s="593" t="s">
        <v>285</v>
      </c>
      <c r="C252" s="607"/>
      <c r="D252" s="466">
        <v>0</v>
      </c>
      <c r="E252" s="607"/>
      <c r="F252" s="607"/>
      <c r="G252" s="607"/>
      <c r="H252" s="607"/>
      <c r="I252" s="607"/>
      <c r="J252" s="607"/>
      <c r="K252" s="1659">
        <f t="shared" si="21"/>
        <v>0</v>
      </c>
      <c r="L252" s="466">
        <v>0</v>
      </c>
    </row>
    <row r="253" spans="1:12" x14ac:dyDescent="0.2">
      <c r="A253" s="1492" t="s">
        <v>239</v>
      </c>
      <c r="B253" s="593" t="s">
        <v>286</v>
      </c>
      <c r="C253" s="607"/>
      <c r="D253" s="466">
        <v>0</v>
      </c>
      <c r="E253" s="607"/>
      <c r="F253" s="607"/>
      <c r="G253" s="607"/>
      <c r="H253" s="607"/>
      <c r="I253" s="607"/>
      <c r="J253" s="607"/>
      <c r="K253" s="1659">
        <f t="shared" si="21"/>
        <v>0</v>
      </c>
      <c r="L253" s="466">
        <v>0</v>
      </c>
    </row>
    <row r="254" spans="1:12" ht="22.5" x14ac:dyDescent="0.2">
      <c r="A254" s="1492" t="s">
        <v>1029</v>
      </c>
      <c r="B254" s="672" t="s">
        <v>287</v>
      </c>
      <c r="C254" s="607"/>
      <c r="D254" s="466">
        <v>0</v>
      </c>
      <c r="E254" s="607"/>
      <c r="F254" s="607"/>
      <c r="G254" s="607"/>
      <c r="H254" s="607"/>
      <c r="I254" s="607"/>
      <c r="J254" s="607"/>
      <c r="K254" s="1659">
        <f t="shared" si="21"/>
        <v>0</v>
      </c>
      <c r="L254" s="466">
        <v>0</v>
      </c>
    </row>
    <row r="255" spans="1:12" x14ac:dyDescent="0.2">
      <c r="A255" s="1492" t="s">
        <v>1030</v>
      </c>
      <c r="B255" s="593" t="s">
        <v>288</v>
      </c>
      <c r="C255" s="607"/>
      <c r="D255" s="466">
        <v>0</v>
      </c>
      <c r="E255" s="607"/>
      <c r="F255" s="607"/>
      <c r="G255" s="607"/>
      <c r="H255" s="607"/>
      <c r="I255" s="607"/>
      <c r="J255" s="607"/>
      <c r="K255" s="1659">
        <f t="shared" si="21"/>
        <v>0</v>
      </c>
      <c r="L255" s="466">
        <v>0</v>
      </c>
    </row>
    <row r="256" spans="1:12" x14ac:dyDescent="0.2">
      <c r="A256" s="1492" t="s">
        <v>971</v>
      </c>
      <c r="B256" s="605" t="s">
        <v>289</v>
      </c>
      <c r="C256" s="607"/>
      <c r="D256" s="466">
        <v>0</v>
      </c>
      <c r="E256" s="607"/>
      <c r="F256" s="607"/>
      <c r="G256" s="607"/>
      <c r="H256" s="607"/>
      <c r="I256" s="607"/>
      <c r="J256" s="607"/>
      <c r="K256" s="1659">
        <f t="shared" si="21"/>
        <v>0</v>
      </c>
      <c r="L256" s="466">
        <v>0</v>
      </c>
    </row>
    <row r="257" spans="1:14" ht="12.75" customHeight="1" thickBot="1" x14ac:dyDescent="0.25">
      <c r="A257" s="1655" t="s">
        <v>717</v>
      </c>
      <c r="B257" s="1683">
        <v>2300</v>
      </c>
      <c r="C257" s="607"/>
      <c r="D257" s="1657">
        <f>SUM(D245:D256)</f>
        <v>17727</v>
      </c>
      <c r="E257" s="607"/>
      <c r="F257" s="607"/>
      <c r="G257" s="607"/>
      <c r="H257" s="607"/>
      <c r="I257" s="607"/>
      <c r="J257" s="607"/>
      <c r="K257" s="1657">
        <f>SUM(K245:K256)</f>
        <v>17727</v>
      </c>
      <c r="L257" s="1657">
        <f>SUM(L245:L256)</f>
        <v>16505</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6">
        <v>60782</v>
      </c>
      <c r="E259" s="607"/>
      <c r="F259" s="607"/>
      <c r="G259" s="607"/>
      <c r="H259" s="607"/>
      <c r="I259" s="607"/>
      <c r="J259" s="607"/>
      <c r="K259" s="1659">
        <f>D259</f>
        <v>60782</v>
      </c>
      <c r="L259" s="466">
        <v>60768</v>
      </c>
    </row>
    <row r="260" spans="1:14" s="588" customFormat="1" x14ac:dyDescent="0.2">
      <c r="A260" s="1509" t="s">
        <v>1801</v>
      </c>
      <c r="B260" s="619">
        <v>2490</v>
      </c>
      <c r="C260" s="607"/>
      <c r="D260" s="466">
        <v>0</v>
      </c>
      <c r="E260" s="607"/>
      <c r="F260" s="607"/>
      <c r="G260" s="607"/>
      <c r="H260" s="607"/>
      <c r="I260" s="607"/>
      <c r="J260" s="607"/>
      <c r="K260" s="1659">
        <f>D260</f>
        <v>0</v>
      </c>
      <c r="L260" s="466">
        <v>0</v>
      </c>
      <c r="M260" s="210"/>
      <c r="N260" s="210"/>
    </row>
    <row r="261" spans="1:14" ht="12.75" customHeight="1" thickBot="1" x14ac:dyDescent="0.25">
      <c r="A261" s="1679" t="s">
        <v>263</v>
      </c>
      <c r="B261" s="1684" t="s">
        <v>34</v>
      </c>
      <c r="C261" s="607"/>
      <c r="D261" s="1657">
        <f>SUM(D259:D260)</f>
        <v>60782</v>
      </c>
      <c r="E261" s="607"/>
      <c r="F261" s="607"/>
      <c r="G261" s="607"/>
      <c r="H261" s="607"/>
      <c r="I261" s="607"/>
      <c r="J261" s="607"/>
      <c r="K261" s="1657">
        <f>SUM(K259:K260)</f>
        <v>60782</v>
      </c>
      <c r="L261" s="1657">
        <f>SUM(L259:L260)</f>
        <v>60768</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6">
        <v>4216</v>
      </c>
      <c r="E263" s="607"/>
      <c r="F263" s="607"/>
      <c r="G263" s="607"/>
      <c r="H263" s="607"/>
      <c r="I263" s="607"/>
      <c r="J263" s="607"/>
      <c r="K263" s="1659">
        <f>D263</f>
        <v>4216</v>
      </c>
      <c r="L263" s="466">
        <v>2123</v>
      </c>
    </row>
    <row r="264" spans="1:14" x14ac:dyDescent="0.2">
      <c r="A264" s="1491" t="s">
        <v>463</v>
      </c>
      <c r="B264" s="674">
        <v>2520</v>
      </c>
      <c r="C264" s="607"/>
      <c r="D264" s="466">
        <v>48237</v>
      </c>
      <c r="E264" s="607"/>
      <c r="F264" s="607"/>
      <c r="G264" s="607"/>
      <c r="H264" s="607"/>
      <c r="I264" s="607"/>
      <c r="J264" s="607"/>
      <c r="K264" s="1659">
        <f t="shared" ref="K264:K269" si="22">D264</f>
        <v>48237</v>
      </c>
      <c r="L264" s="466">
        <v>58758</v>
      </c>
    </row>
    <row r="265" spans="1:14" x14ac:dyDescent="0.2">
      <c r="A265" s="1491" t="s">
        <v>4</v>
      </c>
      <c r="B265" s="605">
        <v>2530</v>
      </c>
      <c r="C265" s="607"/>
      <c r="D265" s="466">
        <v>0</v>
      </c>
      <c r="E265" s="607"/>
      <c r="F265" s="607"/>
      <c r="G265" s="607"/>
      <c r="H265" s="607"/>
      <c r="I265" s="607"/>
      <c r="J265" s="607"/>
      <c r="K265" s="1659">
        <f t="shared" si="22"/>
        <v>0</v>
      </c>
      <c r="L265" s="466">
        <v>0</v>
      </c>
    </row>
    <row r="266" spans="1:14" x14ac:dyDescent="0.2">
      <c r="A266" s="1491" t="s">
        <v>197</v>
      </c>
      <c r="B266" s="605">
        <v>2540</v>
      </c>
      <c r="C266" s="607"/>
      <c r="D266" s="466">
        <v>202421</v>
      </c>
      <c r="E266" s="607"/>
      <c r="F266" s="607"/>
      <c r="G266" s="607"/>
      <c r="H266" s="607"/>
      <c r="I266" s="607"/>
      <c r="J266" s="607"/>
      <c r="K266" s="1659">
        <f t="shared" si="22"/>
        <v>202421</v>
      </c>
      <c r="L266" s="466">
        <v>211419</v>
      </c>
    </row>
    <row r="267" spans="1:14" x14ac:dyDescent="0.2">
      <c r="A267" s="1491" t="s">
        <v>953</v>
      </c>
      <c r="B267" s="605">
        <v>2550</v>
      </c>
      <c r="C267" s="607"/>
      <c r="D267" s="466">
        <v>139439</v>
      </c>
      <c r="E267" s="607"/>
      <c r="F267" s="607"/>
      <c r="G267" s="607"/>
      <c r="H267" s="607"/>
      <c r="I267" s="607"/>
      <c r="J267" s="607"/>
      <c r="K267" s="1659">
        <f t="shared" si="22"/>
        <v>139439</v>
      </c>
      <c r="L267" s="466">
        <v>145985</v>
      </c>
    </row>
    <row r="268" spans="1:14" x14ac:dyDescent="0.2">
      <c r="A268" s="1491" t="s">
        <v>100</v>
      </c>
      <c r="B268" s="605">
        <v>2560</v>
      </c>
      <c r="C268" s="607"/>
      <c r="D268" s="466">
        <v>923</v>
      </c>
      <c r="E268" s="607"/>
      <c r="F268" s="607"/>
      <c r="G268" s="607"/>
      <c r="H268" s="607"/>
      <c r="I268" s="607"/>
      <c r="J268" s="607"/>
      <c r="K268" s="1659">
        <f t="shared" si="22"/>
        <v>923</v>
      </c>
      <c r="L268" s="466">
        <v>943</v>
      </c>
    </row>
    <row r="269" spans="1:14" x14ac:dyDescent="0.2">
      <c r="A269" s="1491" t="s">
        <v>101</v>
      </c>
      <c r="B269" s="605">
        <v>2570</v>
      </c>
      <c r="C269" s="607"/>
      <c r="D269" s="466">
        <v>7535</v>
      </c>
      <c r="E269" s="607"/>
      <c r="F269" s="607"/>
      <c r="G269" s="607"/>
      <c r="H269" s="607"/>
      <c r="I269" s="607"/>
      <c r="J269" s="607"/>
      <c r="K269" s="1659">
        <f t="shared" si="22"/>
        <v>7535</v>
      </c>
      <c r="L269" s="466">
        <v>8148</v>
      </c>
    </row>
    <row r="270" spans="1:14" ht="12.75" customHeight="1" thickBot="1" x14ac:dyDescent="0.25">
      <c r="A270" s="1655" t="s">
        <v>719</v>
      </c>
      <c r="B270" s="1662" t="s">
        <v>35</v>
      </c>
      <c r="C270" s="607"/>
      <c r="D270" s="1657">
        <f>SUM(D263:D269)</f>
        <v>402771</v>
      </c>
      <c r="E270" s="607"/>
      <c r="F270" s="607"/>
      <c r="G270" s="607"/>
      <c r="H270" s="607"/>
      <c r="I270" s="607"/>
      <c r="J270" s="607"/>
      <c r="K270" s="1657">
        <f>SUM(K263:K269)</f>
        <v>402771</v>
      </c>
      <c r="L270" s="1657">
        <f>SUM(L263:L269)</f>
        <v>427376</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6">
        <v>1987</v>
      </c>
      <c r="E272" s="607"/>
      <c r="F272" s="607"/>
      <c r="G272" s="607"/>
      <c r="H272" s="607"/>
      <c r="I272" s="607"/>
      <c r="J272" s="607"/>
      <c r="K272" s="1659">
        <f>D272</f>
        <v>1987</v>
      </c>
      <c r="L272" s="466">
        <v>1918</v>
      </c>
    </row>
    <row r="273" spans="1:12" x14ac:dyDescent="0.2">
      <c r="A273" s="1491" t="s">
        <v>607</v>
      </c>
      <c r="B273" s="619">
        <v>2620</v>
      </c>
      <c r="C273" s="607"/>
      <c r="D273" s="466">
        <v>0</v>
      </c>
      <c r="E273" s="607"/>
      <c r="F273" s="607"/>
      <c r="G273" s="607"/>
      <c r="H273" s="607"/>
      <c r="I273" s="607"/>
      <c r="J273" s="607"/>
      <c r="K273" s="1659">
        <f>D273</f>
        <v>0</v>
      </c>
      <c r="L273" s="466">
        <v>0</v>
      </c>
    </row>
    <row r="274" spans="1:12" ht="12" customHeight="1" x14ac:dyDescent="0.2">
      <c r="A274" s="1491" t="s">
        <v>1061</v>
      </c>
      <c r="B274" s="605">
        <v>2630</v>
      </c>
      <c r="C274" s="607"/>
      <c r="D274" s="466">
        <v>14898</v>
      </c>
      <c r="E274" s="607"/>
      <c r="F274" s="607"/>
      <c r="G274" s="607"/>
      <c r="H274" s="607"/>
      <c r="I274" s="607"/>
      <c r="J274" s="607"/>
      <c r="K274" s="1659">
        <f>D274</f>
        <v>14898</v>
      </c>
      <c r="L274" s="466">
        <v>14448</v>
      </c>
    </row>
    <row r="275" spans="1:12" x14ac:dyDescent="0.2">
      <c r="A275" s="1491" t="s">
        <v>403</v>
      </c>
      <c r="B275" s="605">
        <v>2640</v>
      </c>
      <c r="C275" s="607"/>
      <c r="D275" s="466">
        <v>8431</v>
      </c>
      <c r="E275" s="607"/>
      <c r="F275" s="607"/>
      <c r="G275" s="607"/>
      <c r="H275" s="607"/>
      <c r="I275" s="607"/>
      <c r="J275" s="607"/>
      <c r="K275" s="1659">
        <f>D275</f>
        <v>8431</v>
      </c>
      <c r="L275" s="466">
        <v>8007</v>
      </c>
    </row>
    <row r="276" spans="1:12" x14ac:dyDescent="0.2">
      <c r="A276" s="1491" t="s">
        <v>404</v>
      </c>
      <c r="B276" s="605">
        <v>2660</v>
      </c>
      <c r="C276" s="607"/>
      <c r="D276" s="466">
        <v>53508</v>
      </c>
      <c r="E276" s="607"/>
      <c r="F276" s="607"/>
      <c r="G276" s="607"/>
      <c r="H276" s="607"/>
      <c r="I276" s="607"/>
      <c r="J276" s="607"/>
      <c r="K276" s="1659">
        <f>D276</f>
        <v>53508</v>
      </c>
      <c r="L276" s="466">
        <v>52069</v>
      </c>
    </row>
    <row r="277" spans="1:12" ht="12.75" customHeight="1" thickBot="1" x14ac:dyDescent="0.25">
      <c r="A277" s="1678" t="s">
        <v>37</v>
      </c>
      <c r="B277" s="1656" t="s">
        <v>36</v>
      </c>
      <c r="C277" s="607"/>
      <c r="D277" s="1657">
        <f>SUM(D272:D276)</f>
        <v>78824</v>
      </c>
      <c r="E277" s="607"/>
      <c r="F277" s="607"/>
      <c r="G277" s="607"/>
      <c r="H277" s="607"/>
      <c r="I277" s="607"/>
      <c r="J277" s="607"/>
      <c r="K277" s="1657">
        <f>SUM(K272:K276)</f>
        <v>78824</v>
      </c>
      <c r="L277" s="1657">
        <f>SUM(L272:L276)</f>
        <v>76442</v>
      </c>
    </row>
    <row r="278" spans="1:12" ht="13.5" customHeight="1" thickTop="1" x14ac:dyDescent="0.2">
      <c r="A278" s="1497" t="s">
        <v>980</v>
      </c>
      <c r="B278" s="644" t="s">
        <v>574</v>
      </c>
      <c r="C278" s="607"/>
      <c r="D278" s="645">
        <v>0</v>
      </c>
      <c r="E278" s="607"/>
      <c r="F278" s="607"/>
      <c r="G278" s="607"/>
      <c r="H278" s="607"/>
      <c r="I278" s="607"/>
      <c r="J278" s="607"/>
      <c r="K278" s="1672">
        <f>D278</f>
        <v>0</v>
      </c>
      <c r="L278" s="645">
        <v>0</v>
      </c>
    </row>
    <row r="279" spans="1:12" ht="12.75" customHeight="1" thickBot="1" x14ac:dyDescent="0.25">
      <c r="A279" s="1685" t="s">
        <v>811</v>
      </c>
      <c r="B279" s="1668">
        <v>2000</v>
      </c>
      <c r="C279" s="607"/>
      <c r="D279" s="1664">
        <f>SUM(D238,D243,D257,D261,D270,D277,D278)</f>
        <v>663821</v>
      </c>
      <c r="E279" s="607"/>
      <c r="F279" s="607"/>
      <c r="G279" s="607"/>
      <c r="H279" s="607"/>
      <c r="I279" s="607"/>
      <c r="J279" s="607"/>
      <c r="K279" s="1664">
        <f>SUM(K238,K243,K257,K261,K270,K277,K278)</f>
        <v>663821</v>
      </c>
      <c r="L279" s="1664">
        <f>SUM(L238,L243,L257,L261,L270,L277,L278)</f>
        <v>683604</v>
      </c>
    </row>
    <row r="280" spans="1:12" ht="15.75" customHeight="1" thickTop="1" thickBot="1" x14ac:dyDescent="0.25">
      <c r="A280" s="1611" t="s">
        <v>875</v>
      </c>
      <c r="B280" s="1600">
        <v>3000</v>
      </c>
      <c r="C280" s="607"/>
      <c r="D280" s="568">
        <v>0</v>
      </c>
      <c r="E280" s="607"/>
      <c r="F280" s="607"/>
      <c r="G280" s="607"/>
      <c r="H280" s="607"/>
      <c r="I280" s="607"/>
      <c r="J280" s="607"/>
      <c r="K280" s="1666">
        <f>D280</f>
        <v>0</v>
      </c>
      <c r="L280" s="568">
        <v>0</v>
      </c>
    </row>
    <row r="281" spans="1:12" ht="15.75" customHeight="1" thickTop="1" x14ac:dyDescent="0.2">
      <c r="A281" s="1601" t="s">
        <v>142</v>
      </c>
      <c r="B281" s="1602" t="s">
        <v>860</v>
      </c>
      <c r="C281" s="607"/>
      <c r="D281" s="558"/>
      <c r="E281" s="607"/>
      <c r="F281" s="607"/>
      <c r="G281" s="607"/>
      <c r="H281" s="607"/>
      <c r="I281" s="607"/>
      <c r="J281" s="607"/>
      <c r="K281" s="607"/>
      <c r="L281" s="607"/>
    </row>
    <row r="282" spans="1:12" ht="15.75" customHeight="1" x14ac:dyDescent="0.2">
      <c r="A282" s="1817" t="s">
        <v>496</v>
      </c>
      <c r="B282" s="679" t="s">
        <v>1842</v>
      </c>
      <c r="C282" s="607"/>
      <c r="D282" s="467">
        <v>0</v>
      </c>
      <c r="E282" s="607"/>
      <c r="F282" s="607"/>
      <c r="G282" s="607"/>
      <c r="H282" s="607"/>
      <c r="I282" s="607"/>
      <c r="J282" s="607"/>
      <c r="K282" s="1658">
        <f>D282</f>
        <v>0</v>
      </c>
      <c r="L282" s="467">
        <v>0</v>
      </c>
    </row>
    <row r="283" spans="1:12" x14ac:dyDescent="0.2">
      <c r="A283" s="1491" t="s">
        <v>304</v>
      </c>
      <c r="B283" s="605">
        <v>4120</v>
      </c>
      <c r="C283" s="607"/>
      <c r="D283" s="467">
        <v>0</v>
      </c>
      <c r="E283" s="607"/>
      <c r="F283" s="607"/>
      <c r="G283" s="607"/>
      <c r="H283" s="607"/>
      <c r="I283" s="607"/>
      <c r="J283" s="607"/>
      <c r="K283" s="1658">
        <f>D283</f>
        <v>0</v>
      </c>
      <c r="L283" s="467">
        <v>0</v>
      </c>
    </row>
    <row r="284" spans="1:12" x14ac:dyDescent="0.2">
      <c r="A284" s="1491" t="s">
        <v>697</v>
      </c>
      <c r="B284" s="605">
        <v>4140</v>
      </c>
      <c r="C284" s="607"/>
      <c r="D284" s="467">
        <v>0</v>
      </c>
      <c r="E284" s="607"/>
      <c r="F284" s="607"/>
      <c r="G284" s="607"/>
      <c r="H284" s="607"/>
      <c r="I284" s="607"/>
      <c r="J284" s="607"/>
      <c r="K284" s="1658">
        <f>D284</f>
        <v>0</v>
      </c>
      <c r="L284" s="467">
        <v>0</v>
      </c>
    </row>
    <row r="285" spans="1:12" ht="12.75" customHeight="1" thickBot="1" x14ac:dyDescent="0.25">
      <c r="A285" s="1655" t="s">
        <v>1487</v>
      </c>
      <c r="B285" s="1656" t="s">
        <v>860</v>
      </c>
      <c r="C285" s="607"/>
      <c r="D285" s="1657">
        <f>SUM(D282:D284)</f>
        <v>0</v>
      </c>
      <c r="E285" s="607"/>
      <c r="F285" s="607"/>
      <c r="G285" s="607"/>
      <c r="H285" s="607"/>
      <c r="I285" s="607"/>
      <c r="J285" s="607"/>
      <c r="K285" s="1657">
        <f>SUM(K282:K284)</f>
        <v>0</v>
      </c>
      <c r="L285" s="1657">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7">
        <v>0</v>
      </c>
      <c r="I288" s="607"/>
      <c r="J288" s="607"/>
      <c r="K288" s="1658">
        <f>H288</f>
        <v>0</v>
      </c>
      <c r="L288" s="467">
        <v>0</v>
      </c>
    </row>
    <row r="289" spans="1:14" x14ac:dyDescent="0.2">
      <c r="A289" s="1491" t="s">
        <v>88</v>
      </c>
      <c r="B289" s="605">
        <v>5120</v>
      </c>
      <c r="C289" s="607"/>
      <c r="D289" s="607"/>
      <c r="E289" s="607"/>
      <c r="F289" s="607"/>
      <c r="G289" s="607"/>
      <c r="H289" s="467">
        <v>0</v>
      </c>
      <c r="I289" s="607"/>
      <c r="J289" s="607"/>
      <c r="K289" s="1658">
        <f>H289</f>
        <v>0</v>
      </c>
      <c r="L289" s="467">
        <v>0</v>
      </c>
    </row>
    <row r="290" spans="1:14" ht="12.75" customHeight="1" x14ac:dyDescent="0.2">
      <c r="A290" s="1491" t="s">
        <v>1170</v>
      </c>
      <c r="B290" s="619" t="s">
        <v>617</v>
      </c>
      <c r="C290" s="607"/>
      <c r="D290" s="607"/>
      <c r="E290" s="607"/>
      <c r="F290" s="607"/>
      <c r="G290" s="607"/>
      <c r="H290" s="467">
        <v>0</v>
      </c>
      <c r="I290" s="607"/>
      <c r="J290" s="607"/>
      <c r="K290" s="1658">
        <f>H290</f>
        <v>0</v>
      </c>
      <c r="L290" s="467">
        <v>0</v>
      </c>
    </row>
    <row r="291" spans="1:14" x14ac:dyDescent="0.2">
      <c r="A291" s="1491" t="s">
        <v>89</v>
      </c>
      <c r="B291" s="605" t="s">
        <v>589</v>
      </c>
      <c r="C291" s="607"/>
      <c r="D291" s="607"/>
      <c r="E291" s="607"/>
      <c r="F291" s="607"/>
      <c r="G291" s="607"/>
      <c r="H291" s="467">
        <v>0</v>
      </c>
      <c r="I291" s="607"/>
      <c r="J291" s="607"/>
      <c r="K291" s="1658">
        <f>H291</f>
        <v>0</v>
      </c>
      <c r="L291" s="467">
        <v>0</v>
      </c>
    </row>
    <row r="292" spans="1:14" x14ac:dyDescent="0.2">
      <c r="A292" s="1491" t="s">
        <v>762</v>
      </c>
      <c r="B292" s="605" t="s">
        <v>618</v>
      </c>
      <c r="C292" s="607"/>
      <c r="D292" s="607"/>
      <c r="E292" s="607"/>
      <c r="F292" s="607"/>
      <c r="G292" s="607"/>
      <c r="H292" s="467">
        <v>0</v>
      </c>
      <c r="I292" s="607"/>
      <c r="J292" s="607"/>
      <c r="K292" s="1658">
        <f>H292</f>
        <v>0</v>
      </c>
      <c r="L292" s="467">
        <v>0</v>
      </c>
    </row>
    <row r="293" spans="1:14" ht="12.75" customHeight="1" thickBot="1" x14ac:dyDescent="0.25">
      <c r="A293" s="1655" t="s">
        <v>484</v>
      </c>
      <c r="B293" s="1656" t="s">
        <v>492</v>
      </c>
      <c r="C293" s="607"/>
      <c r="D293" s="607"/>
      <c r="E293" s="607"/>
      <c r="F293" s="607"/>
      <c r="G293" s="607"/>
      <c r="H293" s="1657">
        <f>SUM(H288:H292)</f>
        <v>0</v>
      </c>
      <c r="I293" s="607"/>
      <c r="J293" s="607"/>
      <c r="K293" s="1657">
        <f>SUM(K288:K292)</f>
        <v>0</v>
      </c>
      <c r="L293" s="1657">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0">
        <v>0</v>
      </c>
    </row>
    <row r="295" spans="1:14" ht="12.75" customHeight="1" thickTop="1" thickBot="1" x14ac:dyDescent="0.25">
      <c r="A295" s="2322" t="s">
        <v>505</v>
      </c>
      <c r="B295" s="2323"/>
      <c r="C295" s="607"/>
      <c r="D295" s="1657">
        <f>SUM(D229,D279,D280,D285)</f>
        <v>938909</v>
      </c>
      <c r="E295" s="607"/>
      <c r="F295" s="607"/>
      <c r="G295" s="607"/>
      <c r="H295" s="1657">
        <f>H293</f>
        <v>0</v>
      </c>
      <c r="I295" s="607"/>
      <c r="J295" s="607"/>
      <c r="K295" s="1657">
        <f>SUM(K229,K279,K280,K285,K293,K294)</f>
        <v>938909</v>
      </c>
      <c r="L295" s="1657">
        <f>SUM(L229,L279,L280,L285,L293,L294)</f>
        <v>964696</v>
      </c>
    </row>
    <row r="296" spans="1:14" ht="13.5" thickTop="1" x14ac:dyDescent="0.2">
      <c r="A296" s="2331" t="s">
        <v>996</v>
      </c>
      <c r="B296" s="2332"/>
      <c r="C296" s="607"/>
      <c r="D296" s="609"/>
      <c r="E296" s="607"/>
      <c r="F296" s="607"/>
      <c r="G296" s="607"/>
      <c r="H296" s="676"/>
      <c r="I296" s="607"/>
      <c r="J296" s="607"/>
      <c r="K296" s="1671">
        <f>'Revenues 9-14'!G268-'Expenditures 15-22'!K295</f>
        <v>91366</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314" t="s">
        <v>143</v>
      </c>
      <c r="B298" s="2308"/>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6">
        <v>0</v>
      </c>
      <c r="D301" s="466">
        <v>0</v>
      </c>
      <c r="E301" s="466">
        <v>0</v>
      </c>
      <c r="F301" s="466">
        <v>0</v>
      </c>
      <c r="G301" s="466">
        <v>0</v>
      </c>
      <c r="H301" s="466">
        <v>0</v>
      </c>
      <c r="I301" s="466">
        <v>0</v>
      </c>
      <c r="J301" s="466">
        <v>0</v>
      </c>
      <c r="K301" s="1658">
        <f>SUM(C301:J301)</f>
        <v>0</v>
      </c>
      <c r="L301" s="466">
        <v>105682</v>
      </c>
    </row>
    <row r="302" spans="1:14" ht="13.5" customHeight="1" x14ac:dyDescent="0.2">
      <c r="A302" s="1504" t="s">
        <v>980</v>
      </c>
      <c r="B302" s="605" t="s">
        <v>574</v>
      </c>
      <c r="C302" s="466">
        <v>0</v>
      </c>
      <c r="D302" s="466">
        <v>0</v>
      </c>
      <c r="E302" s="466">
        <v>0</v>
      </c>
      <c r="F302" s="466">
        <v>0</v>
      </c>
      <c r="G302" s="466">
        <v>0</v>
      </c>
      <c r="H302" s="466">
        <v>0</v>
      </c>
      <c r="I302" s="466">
        <v>0</v>
      </c>
      <c r="J302" s="466">
        <v>0</v>
      </c>
      <c r="K302" s="1658">
        <f>SUM(C302:J302)</f>
        <v>0</v>
      </c>
      <c r="L302" s="466">
        <v>0</v>
      </c>
    </row>
    <row r="303" spans="1:14" ht="12.75" customHeight="1" thickBot="1" x14ac:dyDescent="0.25">
      <c r="A303" s="1655" t="s">
        <v>811</v>
      </c>
      <c r="B303" s="1656" t="s">
        <v>569</v>
      </c>
      <c r="C303" s="1664">
        <f>SUM(C301:C302)</f>
        <v>0</v>
      </c>
      <c r="D303" s="1664">
        <f t="shared" ref="D303:L303" si="23">SUM(D301:D302)</f>
        <v>0</v>
      </c>
      <c r="E303" s="1664">
        <f t="shared" si="23"/>
        <v>0</v>
      </c>
      <c r="F303" s="1664">
        <f t="shared" si="23"/>
        <v>0</v>
      </c>
      <c r="G303" s="1664">
        <f t="shared" si="23"/>
        <v>0</v>
      </c>
      <c r="H303" s="1664">
        <f t="shared" si="23"/>
        <v>0</v>
      </c>
      <c r="I303" s="1664">
        <f t="shared" si="23"/>
        <v>0</v>
      </c>
      <c r="J303" s="1664">
        <f t="shared" si="23"/>
        <v>0</v>
      </c>
      <c r="K303" s="1664">
        <f t="shared" si="23"/>
        <v>0</v>
      </c>
      <c r="L303" s="1664">
        <f t="shared" si="23"/>
        <v>105682</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1847</v>
      </c>
      <c r="B306" s="679" t="s">
        <v>1842</v>
      </c>
      <c r="C306" s="607"/>
      <c r="D306" s="607"/>
      <c r="E306" s="466">
        <v>0</v>
      </c>
      <c r="F306" s="607"/>
      <c r="G306" s="607"/>
      <c r="H306" s="466">
        <v>0</v>
      </c>
      <c r="I306" s="607"/>
      <c r="J306" s="607"/>
      <c r="K306" s="1658">
        <f>SUM(E306,H306)</f>
        <v>0</v>
      </c>
      <c r="L306" s="466">
        <v>0</v>
      </c>
    </row>
    <row r="307" spans="1:14" x14ac:dyDescent="0.2">
      <c r="A307" s="1491" t="s">
        <v>304</v>
      </c>
      <c r="B307" s="605">
        <v>4120</v>
      </c>
      <c r="C307" s="607"/>
      <c r="D307" s="607"/>
      <c r="E307" s="466">
        <v>0</v>
      </c>
      <c r="F307" s="607"/>
      <c r="G307" s="607"/>
      <c r="H307" s="466">
        <v>0</v>
      </c>
      <c r="I307" s="473"/>
      <c r="J307" s="607"/>
      <c r="K307" s="1658">
        <f>SUM(E307,H307)</f>
        <v>0</v>
      </c>
      <c r="L307" s="466">
        <v>0</v>
      </c>
    </row>
    <row r="308" spans="1:14" x14ac:dyDescent="0.2">
      <c r="A308" s="1491" t="s">
        <v>697</v>
      </c>
      <c r="B308" s="605">
        <v>4140</v>
      </c>
      <c r="C308" s="607"/>
      <c r="D308" s="607"/>
      <c r="E308" s="466">
        <v>0</v>
      </c>
      <c r="F308" s="607"/>
      <c r="G308" s="607"/>
      <c r="H308" s="466">
        <v>0</v>
      </c>
      <c r="I308" s="473"/>
      <c r="J308" s="607"/>
      <c r="K308" s="1658">
        <f>SUM(E308,H308)</f>
        <v>0</v>
      </c>
      <c r="L308" s="466">
        <v>0</v>
      </c>
    </row>
    <row r="309" spans="1:14" ht="12.75" customHeight="1" x14ac:dyDescent="0.2">
      <c r="A309" s="1495" t="s">
        <v>698</v>
      </c>
      <c r="B309" s="619">
        <v>4190</v>
      </c>
      <c r="C309" s="607"/>
      <c r="D309" s="607"/>
      <c r="E309" s="466">
        <v>0</v>
      </c>
      <c r="F309" s="607"/>
      <c r="G309" s="607"/>
      <c r="H309" s="466">
        <v>0</v>
      </c>
      <c r="I309" s="473"/>
      <c r="J309" s="607"/>
      <c r="K309" s="1658">
        <f>SUM(E309,H309)</f>
        <v>0</v>
      </c>
      <c r="L309" s="466">
        <v>0</v>
      </c>
    </row>
    <row r="310" spans="1:14" ht="12.75" customHeight="1" thickBot="1" x14ac:dyDescent="0.25">
      <c r="A310" s="1655" t="s">
        <v>1487</v>
      </c>
      <c r="B310" s="1662" t="s">
        <v>860</v>
      </c>
      <c r="C310" s="607"/>
      <c r="D310" s="607"/>
      <c r="E310" s="1657">
        <f>SUM(E306:E309)</f>
        <v>0</v>
      </c>
      <c r="F310" s="607"/>
      <c r="G310" s="607"/>
      <c r="H310" s="1657">
        <f>SUM(H306:H309)</f>
        <v>0</v>
      </c>
      <c r="I310" s="473"/>
      <c r="J310" s="607"/>
      <c r="K310" s="1657">
        <f>SUM(K306:K309)</f>
        <v>0</v>
      </c>
      <c r="L310" s="1664">
        <f>SUM(L306:L309)</f>
        <v>0</v>
      </c>
    </row>
    <row r="311" spans="1:14" ht="15.75" customHeight="1" thickTop="1" thickBot="1" x14ac:dyDescent="0.25">
      <c r="A311" s="1606" t="s">
        <v>895</v>
      </c>
      <c r="B311" s="1598" t="s">
        <v>861</v>
      </c>
      <c r="C311" s="614"/>
      <c r="D311" s="614"/>
      <c r="E311" s="614"/>
      <c r="F311" s="614"/>
      <c r="G311" s="614"/>
      <c r="H311" s="614"/>
      <c r="I311" s="614"/>
      <c r="J311" s="607"/>
      <c r="K311" s="614"/>
      <c r="L311" s="568">
        <v>0</v>
      </c>
    </row>
    <row r="312" spans="1:14" s="663" customFormat="1" ht="12.75" customHeight="1" thickTop="1" thickBot="1" x14ac:dyDescent="0.25">
      <c r="A312" s="2319" t="s">
        <v>277</v>
      </c>
      <c r="B312" s="2320"/>
      <c r="C312" s="1657">
        <f>SUM(C303)</f>
        <v>0</v>
      </c>
      <c r="D312" s="1657">
        <f>SUM(D303)</f>
        <v>0</v>
      </c>
      <c r="E312" s="1657">
        <f>SUM(E303,E310)</f>
        <v>0</v>
      </c>
      <c r="F312" s="1657">
        <f>SUM(F303)</f>
        <v>0</v>
      </c>
      <c r="G312" s="1657">
        <f>SUM(G303)</f>
        <v>0</v>
      </c>
      <c r="H312" s="1657">
        <f>SUM(H303,H310)</f>
        <v>0</v>
      </c>
      <c r="I312" s="1657">
        <f>SUM(I303)</f>
        <v>0</v>
      </c>
      <c r="J312" s="1657">
        <f>SUM(J303)</f>
        <v>0</v>
      </c>
      <c r="K312" s="1657">
        <f>SUM(K303,K310,K311)</f>
        <v>0</v>
      </c>
      <c r="L312" s="1657">
        <f>SUM(L303,L310,L311)</f>
        <v>105682</v>
      </c>
      <c r="M312" s="654"/>
      <c r="N312" s="654"/>
    </row>
    <row r="313" spans="1:14" ht="13.5" thickTop="1" x14ac:dyDescent="0.2">
      <c r="A313" s="2315" t="s">
        <v>996</v>
      </c>
      <c r="B313" s="2316"/>
      <c r="C313" s="617"/>
      <c r="D313" s="617"/>
      <c r="E313" s="617"/>
      <c r="F313" s="617"/>
      <c r="G313" s="617"/>
      <c r="H313" s="617"/>
      <c r="I313" s="617"/>
      <c r="J313" s="617"/>
      <c r="K313" s="1672">
        <f>'Revenues 9-14'!H268-'Expenditures 15-22'!K312</f>
        <v>2678</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328" t="s">
        <v>149</v>
      </c>
      <c r="B315" s="2329"/>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330" t="s">
        <v>898</v>
      </c>
      <c r="B317" s="2329"/>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8">
        <f>SUM(C319:J319)</f>
        <v>0</v>
      </c>
      <c r="L319" s="466">
        <v>0</v>
      </c>
      <c r="M319" s="654"/>
      <c r="N319" s="654"/>
    </row>
    <row r="320" spans="1:14" s="663" customFormat="1" x14ac:dyDescent="0.2">
      <c r="A320" s="1510" t="s">
        <v>1802</v>
      </c>
      <c r="B320" s="687" t="s">
        <v>282</v>
      </c>
      <c r="C320" s="466">
        <v>0</v>
      </c>
      <c r="D320" s="466">
        <v>0</v>
      </c>
      <c r="E320" s="466">
        <v>0</v>
      </c>
      <c r="F320" s="466">
        <v>0</v>
      </c>
      <c r="G320" s="466">
        <v>0</v>
      </c>
      <c r="H320" s="466">
        <v>0</v>
      </c>
      <c r="I320" s="466">
        <v>0</v>
      </c>
      <c r="J320" s="466">
        <v>0</v>
      </c>
      <c r="K320" s="1658">
        <f t="shared" ref="K320:K327" si="24">SUM(C320:J320)</f>
        <v>0</v>
      </c>
      <c r="L320" s="466">
        <v>0</v>
      </c>
      <c r="M320" s="654"/>
      <c r="N320" s="654"/>
    </row>
    <row r="321" spans="1:14" s="663" customFormat="1" x14ac:dyDescent="0.2">
      <c r="A321" s="1506" t="s">
        <v>300</v>
      </c>
      <c r="B321" s="686" t="s">
        <v>283</v>
      </c>
      <c r="C321" s="466">
        <v>0</v>
      </c>
      <c r="D321" s="466">
        <v>0</v>
      </c>
      <c r="E321" s="466">
        <v>0</v>
      </c>
      <c r="F321" s="466">
        <v>0</v>
      </c>
      <c r="G321" s="466">
        <v>0</v>
      </c>
      <c r="H321" s="466">
        <v>0</v>
      </c>
      <c r="I321" s="466">
        <v>0</v>
      </c>
      <c r="J321" s="466">
        <v>0</v>
      </c>
      <c r="K321" s="1658">
        <f t="shared" si="24"/>
        <v>0</v>
      </c>
      <c r="L321" s="466">
        <v>0</v>
      </c>
      <c r="M321" s="654"/>
      <c r="N321" s="654"/>
    </row>
    <row r="322" spans="1:14" s="663" customFormat="1" x14ac:dyDescent="0.2">
      <c r="A322" s="1506" t="s">
        <v>238</v>
      </c>
      <c r="B322" s="686" t="s">
        <v>284</v>
      </c>
      <c r="C322" s="466">
        <v>0</v>
      </c>
      <c r="D322" s="466">
        <v>0</v>
      </c>
      <c r="E322" s="466">
        <v>0</v>
      </c>
      <c r="F322" s="466">
        <v>0</v>
      </c>
      <c r="G322" s="466">
        <v>0</v>
      </c>
      <c r="H322" s="466">
        <v>0</v>
      </c>
      <c r="I322" s="466">
        <v>0</v>
      </c>
      <c r="J322" s="466">
        <v>0</v>
      </c>
      <c r="K322" s="1658">
        <f t="shared" si="24"/>
        <v>0</v>
      </c>
      <c r="L322" s="466">
        <v>0</v>
      </c>
      <c r="M322" s="654"/>
      <c r="N322" s="654"/>
    </row>
    <row r="323" spans="1:14" s="663" customFormat="1" x14ac:dyDescent="0.2">
      <c r="A323" s="1506" t="s">
        <v>702</v>
      </c>
      <c r="B323" s="686" t="s">
        <v>285</v>
      </c>
      <c r="C323" s="466">
        <v>0</v>
      </c>
      <c r="D323" s="466">
        <v>0</v>
      </c>
      <c r="E323" s="466">
        <v>0</v>
      </c>
      <c r="F323" s="466">
        <v>0</v>
      </c>
      <c r="G323" s="466">
        <v>0</v>
      </c>
      <c r="H323" s="466">
        <v>0</v>
      </c>
      <c r="I323" s="466">
        <v>0</v>
      </c>
      <c r="J323" s="466">
        <v>0</v>
      </c>
      <c r="K323" s="1658">
        <f t="shared" si="24"/>
        <v>0</v>
      </c>
      <c r="L323" s="466">
        <v>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8">
        <f t="shared" si="24"/>
        <v>0</v>
      </c>
      <c r="L324" s="466">
        <v>0</v>
      </c>
      <c r="M324" s="654"/>
      <c r="N324" s="654"/>
    </row>
    <row r="325" spans="1:14" s="663" customFormat="1" ht="22.5" x14ac:dyDescent="0.2">
      <c r="A325" s="1506" t="s">
        <v>1029</v>
      </c>
      <c r="B325" s="687" t="s">
        <v>287</v>
      </c>
      <c r="C325" s="466">
        <v>0</v>
      </c>
      <c r="D325" s="466">
        <v>0</v>
      </c>
      <c r="E325" s="466">
        <v>0</v>
      </c>
      <c r="F325" s="466">
        <v>0</v>
      </c>
      <c r="G325" s="466">
        <v>0</v>
      </c>
      <c r="H325" s="466">
        <v>0</v>
      </c>
      <c r="I325" s="466">
        <v>0</v>
      </c>
      <c r="J325" s="466">
        <v>0</v>
      </c>
      <c r="K325" s="1658">
        <f t="shared" si="24"/>
        <v>0</v>
      </c>
      <c r="L325" s="466">
        <v>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8">
        <f t="shared" si="24"/>
        <v>0</v>
      </c>
      <c r="L326" s="466">
        <v>0</v>
      </c>
      <c r="M326" s="654"/>
      <c r="N326" s="654"/>
    </row>
    <row r="327" spans="1:14" s="663" customFormat="1" x14ac:dyDescent="0.2">
      <c r="A327" s="1506" t="s">
        <v>971</v>
      </c>
      <c r="B327" s="686" t="s">
        <v>289</v>
      </c>
      <c r="C327" s="466">
        <v>0</v>
      </c>
      <c r="D327" s="466">
        <v>0</v>
      </c>
      <c r="E327" s="466">
        <v>0</v>
      </c>
      <c r="F327" s="466">
        <v>0</v>
      </c>
      <c r="G327" s="466">
        <v>0</v>
      </c>
      <c r="H327" s="466">
        <v>0</v>
      </c>
      <c r="I327" s="466">
        <v>0</v>
      </c>
      <c r="J327" s="466">
        <v>0</v>
      </c>
      <c r="K327" s="1658">
        <f t="shared" si="24"/>
        <v>0</v>
      </c>
      <c r="L327" s="466">
        <v>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6">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6">
        <f>SUM(C329:J329)</f>
        <v>0</v>
      </c>
      <c r="L329" s="466">
        <v>0</v>
      </c>
      <c r="M329" s="654"/>
      <c r="N329" s="654"/>
    </row>
    <row r="330" spans="1:14" s="663" customFormat="1" ht="12.75" customHeight="1" thickBot="1" x14ac:dyDescent="0.25">
      <c r="A330" s="1687" t="s">
        <v>717</v>
      </c>
      <c r="B330" s="1656" t="s">
        <v>569</v>
      </c>
      <c r="C330" s="1657">
        <f>SUM(C319:C329)</f>
        <v>0</v>
      </c>
      <c r="D330" s="1657">
        <f t="shared" ref="D330:J330" si="25">SUM(D319:D329)</f>
        <v>0</v>
      </c>
      <c r="E330" s="1657">
        <f t="shared" si="25"/>
        <v>0</v>
      </c>
      <c r="F330" s="1657">
        <f t="shared" si="25"/>
        <v>0</v>
      </c>
      <c r="G330" s="1657">
        <f t="shared" si="25"/>
        <v>0</v>
      </c>
      <c r="H330" s="1657">
        <f t="shared" si="25"/>
        <v>0</v>
      </c>
      <c r="I330" s="1657">
        <f t="shared" si="25"/>
        <v>0</v>
      </c>
      <c r="J330" s="1657">
        <f t="shared" si="25"/>
        <v>0</v>
      </c>
      <c r="K330" s="1657">
        <f>SUM(K319:K329)</f>
        <v>0</v>
      </c>
      <c r="L330" s="1657">
        <f>SUM(L319:L329)</f>
        <v>0</v>
      </c>
      <c r="M330" s="654"/>
      <c r="N330" s="654"/>
    </row>
    <row r="331" spans="1:14" s="663" customFormat="1" ht="12.75" customHeight="1" thickTop="1" x14ac:dyDescent="0.2">
      <c r="A331" s="1818" t="s">
        <v>1848</v>
      </c>
      <c r="B331" s="636" t="s">
        <v>860</v>
      </c>
      <c r="C331" s="1820"/>
      <c r="D331" s="1820"/>
      <c r="E331" s="1820"/>
      <c r="F331" s="1820"/>
      <c r="G331" s="1820"/>
      <c r="H331" s="1820"/>
      <c r="I331" s="1820"/>
      <c r="J331" s="1820"/>
      <c r="K331" s="1820"/>
      <c r="L331" s="1820"/>
      <c r="M331" s="654"/>
      <c r="N331" s="654"/>
    </row>
    <row r="332" spans="1:14" s="663" customFormat="1" ht="12.75" customHeight="1" x14ac:dyDescent="0.2">
      <c r="A332" s="1819" t="s">
        <v>496</v>
      </c>
      <c r="B332" s="1814" t="s">
        <v>1842</v>
      </c>
      <c r="C332" s="1820"/>
      <c r="D332" s="1820"/>
      <c r="E332" s="1820"/>
      <c r="F332" s="1820"/>
      <c r="G332" s="1820"/>
      <c r="H332" s="467">
        <v>0</v>
      </c>
      <c r="I332" s="1820"/>
      <c r="J332" s="1820"/>
      <c r="K332" s="1658">
        <f>H332</f>
        <v>0</v>
      </c>
      <c r="L332" s="467">
        <v>0</v>
      </c>
      <c r="M332" s="654"/>
      <c r="N332" s="654"/>
    </row>
    <row r="333" spans="1:14" s="663" customFormat="1" ht="12.75" customHeight="1" x14ac:dyDescent="0.2">
      <c r="A333" s="1819" t="s">
        <v>304</v>
      </c>
      <c r="B333" s="1814" t="s">
        <v>1844</v>
      </c>
      <c r="C333" s="1820"/>
      <c r="D333" s="1820"/>
      <c r="E333" s="1820"/>
      <c r="F333" s="1820"/>
      <c r="G333" s="1820"/>
      <c r="H333" s="467">
        <v>0</v>
      </c>
      <c r="I333" s="1820"/>
      <c r="J333" s="1820"/>
      <c r="K333" s="1658">
        <f>H333</f>
        <v>0</v>
      </c>
      <c r="L333" s="467">
        <v>0</v>
      </c>
      <c r="M333" s="654"/>
      <c r="N333" s="654"/>
    </row>
    <row r="334" spans="1:14" s="663" customFormat="1" ht="12.75" customHeight="1" thickBot="1" x14ac:dyDescent="0.25">
      <c r="A334" s="1819" t="s">
        <v>1849</v>
      </c>
      <c r="B334" s="1814" t="s">
        <v>860</v>
      </c>
      <c r="C334" s="1820"/>
      <c r="D334" s="1820"/>
      <c r="E334" s="1820"/>
      <c r="F334" s="1820"/>
      <c r="G334" s="1820"/>
      <c r="H334" s="1657">
        <f>SUM(H332:H333)</f>
        <v>0</v>
      </c>
      <c r="I334" s="1820"/>
      <c r="J334" s="1820"/>
      <c r="K334" s="1657">
        <f>SUM(K332:K333)</f>
        <v>0</v>
      </c>
      <c r="L334" s="1657">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7">
        <v>0</v>
      </c>
      <c r="I337" s="628"/>
      <c r="J337" s="628"/>
      <c r="K337" s="1658">
        <f>H337</f>
        <v>0</v>
      </c>
      <c r="L337" s="467">
        <v>0</v>
      </c>
    </row>
    <row r="338" spans="1:14" ht="12.75" customHeight="1" x14ac:dyDescent="0.2">
      <c r="A338" s="1505" t="s">
        <v>1170</v>
      </c>
      <c r="B338" s="679" t="s">
        <v>617</v>
      </c>
      <c r="C338" s="628"/>
      <c r="D338" s="628"/>
      <c r="E338" s="628"/>
      <c r="F338" s="628"/>
      <c r="G338" s="628"/>
      <c r="H338" s="467">
        <v>0</v>
      </c>
      <c r="I338" s="628"/>
      <c r="J338" s="628"/>
      <c r="K338" s="1658">
        <f>H338</f>
        <v>0</v>
      </c>
      <c r="L338" s="467">
        <v>0</v>
      </c>
    </row>
    <row r="339" spans="1:14" x14ac:dyDescent="0.2">
      <c r="A339" s="1491" t="s">
        <v>901</v>
      </c>
      <c r="B339" s="619">
        <v>5150</v>
      </c>
      <c r="C339" s="628"/>
      <c r="D339" s="628"/>
      <c r="E339" s="628"/>
      <c r="F339" s="628"/>
      <c r="G339" s="628"/>
      <c r="H339" s="467">
        <v>0</v>
      </c>
      <c r="I339" s="628"/>
      <c r="J339" s="628"/>
      <c r="K339" s="1658">
        <f>H339</f>
        <v>0</v>
      </c>
      <c r="L339" s="467">
        <v>0</v>
      </c>
    </row>
    <row r="340" spans="1:14" ht="13.5" thickBot="1" x14ac:dyDescent="0.25">
      <c r="A340" s="1681" t="s">
        <v>902</v>
      </c>
      <c r="B340" s="1656" t="s">
        <v>492</v>
      </c>
      <c r="C340" s="607"/>
      <c r="D340" s="607"/>
      <c r="E340" s="607"/>
      <c r="F340" s="607"/>
      <c r="G340" s="607"/>
      <c r="H340" s="1675">
        <f>SUM(H337:H339)</f>
        <v>0</v>
      </c>
      <c r="I340" s="607"/>
      <c r="J340" s="607"/>
      <c r="K340" s="1675">
        <f>SUM(K337:K339)</f>
        <v>0</v>
      </c>
      <c r="L340" s="1675">
        <f>SUM(L337:L339)</f>
        <v>0</v>
      </c>
    </row>
    <row r="341" spans="1:14" ht="15.75" customHeight="1" thickTop="1" thickBot="1" x14ac:dyDescent="0.25">
      <c r="A341" s="1606" t="s">
        <v>903</v>
      </c>
      <c r="B341" s="1598" t="s">
        <v>861</v>
      </c>
      <c r="C341" s="607"/>
      <c r="D341" s="607"/>
      <c r="E341" s="473"/>
      <c r="F341" s="468"/>
      <c r="G341" s="468"/>
      <c r="H341" s="473"/>
      <c r="I341" s="473"/>
      <c r="J341" s="468"/>
      <c r="K341" s="473"/>
      <c r="L341" s="568">
        <v>0</v>
      </c>
    </row>
    <row r="342" spans="1:14" ht="12.75" customHeight="1" thickTop="1" thickBot="1" x14ac:dyDescent="0.25">
      <c r="A342" s="1673" t="s">
        <v>505</v>
      </c>
      <c r="B342" s="1688"/>
      <c r="C342" s="1657">
        <f>SUM(C330)</f>
        <v>0</v>
      </c>
      <c r="D342" s="1657">
        <f>SUM(D330)</f>
        <v>0</v>
      </c>
      <c r="E342" s="1657">
        <f>SUM(E330)</f>
        <v>0</v>
      </c>
      <c r="F342" s="1657">
        <f>SUM(F330)</f>
        <v>0</v>
      </c>
      <c r="G342" s="1657">
        <f>SUM(G330)</f>
        <v>0</v>
      </c>
      <c r="H342" s="1657">
        <f>SUM(H330,H334,H340)</f>
        <v>0</v>
      </c>
      <c r="I342" s="1657">
        <f>SUM(I330)</f>
        <v>0</v>
      </c>
      <c r="J342" s="1657">
        <f>SUM(J330)</f>
        <v>0</v>
      </c>
      <c r="K342" s="1657">
        <f>SUM(K330,K334,K340)</f>
        <v>0</v>
      </c>
      <c r="L342" s="1664">
        <f>SUM(L330,L340,L341)</f>
        <v>0</v>
      </c>
    </row>
    <row r="343" spans="1:14" ht="12.75" customHeight="1" thickTop="1" x14ac:dyDescent="0.2">
      <c r="A343" s="2317" t="s">
        <v>996</v>
      </c>
      <c r="B343" s="2318"/>
      <c r="C343" s="607"/>
      <c r="D343" s="607"/>
      <c r="E343" s="607"/>
      <c r="F343" s="607"/>
      <c r="G343" s="607"/>
      <c r="H343" s="607"/>
      <c r="I343" s="607"/>
      <c r="J343" s="607"/>
      <c r="K343" s="1671">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307" t="s">
        <v>966</v>
      </c>
      <c r="B345" s="2308"/>
      <c r="C345" s="1538"/>
      <c r="D345" s="1539"/>
      <c r="E345" s="1539"/>
      <c r="F345" s="1539"/>
      <c r="G345" s="1539"/>
      <c r="H345" s="1539"/>
      <c r="I345" s="1539"/>
      <c r="J345" s="1539"/>
      <c r="K345" s="1539"/>
      <c r="L345" s="1540"/>
      <c r="M345" s="656"/>
      <c r="N345" s="656"/>
    </row>
    <row r="346" spans="1:14" s="343"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6">
        <v>0</v>
      </c>
      <c r="D348" s="466">
        <v>0</v>
      </c>
      <c r="E348" s="466">
        <v>0</v>
      </c>
      <c r="F348" s="466">
        <v>0</v>
      </c>
      <c r="G348" s="466">
        <v>0</v>
      </c>
      <c r="H348" s="466">
        <v>0</v>
      </c>
      <c r="I348" s="466">
        <v>0</v>
      </c>
      <c r="J348" s="466">
        <v>0</v>
      </c>
      <c r="K348" s="1658">
        <f>SUM(C348:J348)</f>
        <v>0</v>
      </c>
      <c r="L348" s="466">
        <v>0</v>
      </c>
    </row>
    <row r="349" spans="1:14" x14ac:dyDescent="0.2">
      <c r="A349" s="1491" t="s">
        <v>197</v>
      </c>
      <c r="B349" s="605">
        <v>2540</v>
      </c>
      <c r="C349" s="466">
        <v>0</v>
      </c>
      <c r="D349" s="466">
        <v>0</v>
      </c>
      <c r="E349" s="466">
        <v>0</v>
      </c>
      <c r="F349" s="466">
        <v>0</v>
      </c>
      <c r="G349" s="466">
        <v>0</v>
      </c>
      <c r="H349" s="466">
        <v>0</v>
      </c>
      <c r="I349" s="466">
        <v>0</v>
      </c>
      <c r="J349" s="466">
        <v>0</v>
      </c>
      <c r="K349" s="1658">
        <f>SUM(C349:J349)</f>
        <v>0</v>
      </c>
      <c r="L349" s="466">
        <v>0</v>
      </c>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7" t="s">
        <v>980</v>
      </c>
      <c r="B351" s="632" t="s">
        <v>574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1" t="s">
        <v>1850</v>
      </c>
      <c r="B354" s="672" t="s">
        <v>1842</v>
      </c>
      <c r="C354" s="607"/>
      <c r="D354" s="607"/>
      <c r="E354" s="607"/>
      <c r="F354" s="607"/>
      <c r="G354" s="607"/>
      <c r="H354" s="466">
        <v>0</v>
      </c>
      <c r="I354" s="690"/>
      <c r="J354" s="607"/>
      <c r="K354" s="1686">
        <f>H354</f>
        <v>0</v>
      </c>
      <c r="L354" s="466">
        <v>0</v>
      </c>
    </row>
    <row r="355" spans="1:14" ht="12.75" customHeight="1" x14ac:dyDescent="0.2">
      <c r="A355" s="1500" t="s">
        <v>1851</v>
      </c>
      <c r="B355" s="679" t="s">
        <v>1844</v>
      </c>
      <c r="C355" s="607"/>
      <c r="D355" s="607"/>
      <c r="E355" s="607"/>
      <c r="F355" s="607"/>
      <c r="G355" s="607"/>
      <c r="H355" s="466">
        <v>0</v>
      </c>
      <c r="I355" s="690"/>
      <c r="J355" s="607"/>
      <c r="K355" s="1730">
        <f>H355</f>
        <v>0</v>
      </c>
      <c r="L355" s="466">
        <v>0</v>
      </c>
    </row>
    <row r="356" spans="1:14" ht="12.75" customHeight="1" x14ac:dyDescent="0.2">
      <c r="A356" s="1821" t="s">
        <v>698</v>
      </c>
      <c r="B356" s="672" t="s">
        <v>558</v>
      </c>
      <c r="C356" s="607"/>
      <c r="D356" s="607"/>
      <c r="E356" s="607"/>
      <c r="F356" s="607"/>
      <c r="G356" s="607"/>
      <c r="H356" s="466">
        <v>0</v>
      </c>
      <c r="I356" s="690"/>
      <c r="J356" s="607"/>
      <c r="K356" s="1727">
        <f>H356</f>
        <v>0</v>
      </c>
      <c r="L356" s="466">
        <v>0</v>
      </c>
    </row>
    <row r="357" spans="1:14" ht="12.75" customHeight="1" thickBot="1" x14ac:dyDescent="0.25">
      <c r="A357" s="1655" t="s">
        <v>1487</v>
      </c>
      <c r="B357" s="1656" t="s">
        <v>860</v>
      </c>
      <c r="C357" s="607"/>
      <c r="D357" s="607"/>
      <c r="E357" s="607"/>
      <c r="F357" s="607"/>
      <c r="G357" s="607"/>
      <c r="H357" s="1675">
        <f>SUM(H354:H356)</f>
        <v>0</v>
      </c>
      <c r="I357" s="690"/>
      <c r="J357" s="607"/>
      <c r="K357" s="1675">
        <f>SUM(K354:K356)</f>
        <v>0</v>
      </c>
      <c r="L357" s="1675">
        <f>SUM(L354:L356)</f>
        <v>0</v>
      </c>
    </row>
    <row r="358" spans="1:14" s="343"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3"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6">
        <v>0</v>
      </c>
      <c r="I360" s="607"/>
      <c r="J360" s="607"/>
      <c r="K360" s="1658">
        <f>SUM(C360:J360)</f>
        <v>0</v>
      </c>
      <c r="L360" s="466">
        <v>0</v>
      </c>
    </row>
    <row r="361" spans="1:14" ht="12.75" customHeight="1" x14ac:dyDescent="0.2">
      <c r="A361" s="1492" t="s">
        <v>619</v>
      </c>
      <c r="B361" s="593" t="s">
        <v>618</v>
      </c>
      <c r="C361" s="607"/>
      <c r="D361" s="607"/>
      <c r="E361" s="607"/>
      <c r="F361" s="607"/>
      <c r="G361" s="607"/>
      <c r="H361" s="466">
        <v>0</v>
      </c>
      <c r="I361" s="607"/>
      <c r="J361" s="607"/>
      <c r="K361" s="1658">
        <f>SUM(C361:J361)</f>
        <v>0</v>
      </c>
      <c r="L361" s="466">
        <v>0</v>
      </c>
    </row>
    <row r="362" spans="1:14" ht="12.75" customHeight="1" thickBot="1" x14ac:dyDescent="0.25">
      <c r="A362" s="1655" t="s">
        <v>626</v>
      </c>
      <c r="B362" s="1656" t="s">
        <v>718</v>
      </c>
      <c r="C362" s="607"/>
      <c r="D362" s="607"/>
      <c r="E362" s="607"/>
      <c r="F362" s="607"/>
      <c r="G362" s="607"/>
      <c r="H362" s="1690">
        <f>SUM(H360:H361)</f>
        <v>0</v>
      </c>
      <c r="I362" s="607"/>
      <c r="J362" s="607"/>
      <c r="K362" s="1690">
        <f>SUM(K360:K361)</f>
        <v>0</v>
      </c>
      <c r="L362" s="1690">
        <f>SUM(L360:L361)</f>
        <v>0</v>
      </c>
    </row>
    <row r="363" spans="1:14" s="663" customFormat="1" ht="15.75" customHeight="1" thickTop="1" x14ac:dyDescent="0.2">
      <c r="A363" s="649" t="s">
        <v>83</v>
      </c>
      <c r="B363" s="650" t="s">
        <v>38</v>
      </c>
      <c r="C363" s="628"/>
      <c r="D363" s="628"/>
      <c r="E363" s="628"/>
      <c r="F363" s="628"/>
      <c r="G363" s="628"/>
      <c r="H363" s="466">
        <v>0</v>
      </c>
      <c r="I363" s="628"/>
      <c r="J363" s="628"/>
      <c r="K363" s="1686">
        <f>SUM(C363:J363)</f>
        <v>0</v>
      </c>
      <c r="L363" s="466">
        <v>0</v>
      </c>
      <c r="M363" s="654"/>
      <c r="N363" s="654"/>
    </row>
    <row r="364" spans="1:14" s="695" customFormat="1" ht="29.25" customHeight="1" x14ac:dyDescent="0.2">
      <c r="A364" s="691" t="s">
        <v>1672</v>
      </c>
      <c r="B364" s="692">
        <v>5300</v>
      </c>
      <c r="C364" s="693"/>
      <c r="D364" s="694"/>
      <c r="E364" s="694"/>
      <c r="F364" s="693"/>
      <c r="G364" s="694"/>
      <c r="H364" s="466">
        <v>0</v>
      </c>
      <c r="I364" s="694"/>
      <c r="J364" s="694"/>
      <c r="K364" s="1658">
        <f>SUM(C364:J364)</f>
        <v>0</v>
      </c>
      <c r="L364" s="466">
        <v>0</v>
      </c>
    </row>
    <row r="365" spans="1:14" s="663" customFormat="1" ht="12.75" customHeight="1" thickBot="1" x14ac:dyDescent="0.25">
      <c r="A365" s="1508" t="s">
        <v>590</v>
      </c>
      <c r="B365" s="648" t="s">
        <v>492</v>
      </c>
      <c r="C365" s="628"/>
      <c r="D365" s="628"/>
      <c r="E365" s="628"/>
      <c r="F365" s="628"/>
      <c r="G365" s="628"/>
      <c r="H365" s="1690">
        <f>SUM(H362,H363,H364)</f>
        <v>0</v>
      </c>
      <c r="I365" s="628"/>
      <c r="J365" s="628"/>
      <c r="K365" s="1690">
        <f>SUM(K362,K363,K364)</f>
        <v>0</v>
      </c>
      <c r="L365" s="1690">
        <f>SUM(L362,L363,L364)</f>
        <v>0</v>
      </c>
      <c r="M365" s="654"/>
      <c r="N365" s="654"/>
    </row>
    <row r="366" spans="1:14" s="343" customFormat="1" ht="15.75" customHeight="1" thickTop="1" thickBot="1" x14ac:dyDescent="0.25">
      <c r="A366" s="1593" t="s">
        <v>949</v>
      </c>
      <c r="B366" s="1600" t="s">
        <v>861</v>
      </c>
      <c r="C366" s="614"/>
      <c r="D366" s="614"/>
      <c r="E366" s="614"/>
      <c r="F366" s="614"/>
      <c r="G366" s="614"/>
      <c r="H366" s="614"/>
      <c r="I366" s="614"/>
      <c r="J366" s="607"/>
      <c r="K366" s="614"/>
      <c r="L366" s="565">
        <v>0</v>
      </c>
      <c r="M366" s="600"/>
      <c r="N366" s="600"/>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331" t="s">
        <v>996</v>
      </c>
      <c r="B368" s="2332"/>
      <c r="C368" s="643"/>
      <c r="D368" s="643"/>
      <c r="E368" s="617"/>
      <c r="F368" s="617"/>
      <c r="G368" s="617"/>
      <c r="H368" s="617"/>
      <c r="I368" s="617"/>
      <c r="J368" s="614"/>
      <c r="K368" s="1658">
        <f>'Revenues 9-14'!K268-'Expenditures 15-22'!K367</f>
        <v>3</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I13" sqref="I13:L13"/>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333" t="s">
        <v>1799</v>
      </c>
      <c r="B2" s="1515" t="s">
        <v>1948</v>
      </c>
      <c r="C2" s="701" t="s">
        <v>1949</v>
      </c>
      <c r="D2" s="701" t="s">
        <v>1950</v>
      </c>
      <c r="E2" s="701" t="s">
        <v>1951</v>
      </c>
      <c r="F2" s="701" t="s">
        <v>1952</v>
      </c>
    </row>
    <row r="3" spans="1:6" ht="12" customHeight="1" x14ac:dyDescent="0.2">
      <c r="A3" s="2334"/>
      <c r="B3" s="1512"/>
      <c r="C3" s="1513"/>
      <c r="D3" s="1514" t="s">
        <v>256</v>
      </c>
      <c r="E3" s="1513"/>
      <c r="F3" s="1514" t="s">
        <v>257</v>
      </c>
    </row>
    <row r="4" spans="1:6" ht="13.7" customHeight="1" x14ac:dyDescent="0.2">
      <c r="A4" s="702" t="s">
        <v>1155</v>
      </c>
      <c r="B4" s="1736">
        <f>'Revenues 9-14'!C5</f>
        <v>20416533</v>
      </c>
      <c r="C4" s="1511">
        <v>10528291</v>
      </c>
      <c r="D4" s="1739">
        <f>B4-C4</f>
        <v>9888242</v>
      </c>
      <c r="E4" s="1511">
        <v>20783562</v>
      </c>
      <c r="F4" s="1739">
        <f>E4-C4</f>
        <v>10255271</v>
      </c>
    </row>
    <row r="5" spans="1:6" ht="13.7" customHeight="1" x14ac:dyDescent="0.2">
      <c r="A5" s="702" t="s">
        <v>870</v>
      </c>
      <c r="B5" s="1737">
        <f>'Revenues 9-14'!D5</f>
        <v>2274742</v>
      </c>
      <c r="C5" s="577">
        <v>1158996</v>
      </c>
      <c r="D5" s="1740">
        <f t="shared" ref="D5:D18" si="0">B5-C5</f>
        <v>1115746</v>
      </c>
      <c r="E5" s="577">
        <v>2287938</v>
      </c>
      <c r="F5" s="1740">
        <f>E5-C5</f>
        <v>1128942</v>
      </c>
    </row>
    <row r="6" spans="1:6" ht="13.7" customHeight="1" x14ac:dyDescent="0.2">
      <c r="A6" s="702" t="s">
        <v>411</v>
      </c>
      <c r="B6" s="1737">
        <f>'Revenues 9-14'!E5</f>
        <v>718340</v>
      </c>
      <c r="C6" s="577">
        <v>367795</v>
      </c>
      <c r="D6" s="1740">
        <f t="shared" si="0"/>
        <v>350545</v>
      </c>
      <c r="E6" s="577">
        <v>726052</v>
      </c>
      <c r="F6" s="1740">
        <f t="shared" ref="F6:F18" si="1">E6-C6</f>
        <v>358257</v>
      </c>
    </row>
    <row r="7" spans="1:6" ht="13.7" customHeight="1" x14ac:dyDescent="0.2">
      <c r="A7" s="702" t="s">
        <v>155</v>
      </c>
      <c r="B7" s="1737">
        <f>'Revenues 9-14'!F5</f>
        <v>640166</v>
      </c>
      <c r="C7" s="577">
        <v>326087</v>
      </c>
      <c r="D7" s="1740">
        <f t="shared" si="0"/>
        <v>314079</v>
      </c>
      <c r="E7" s="577">
        <v>643718</v>
      </c>
      <c r="F7" s="1740">
        <f t="shared" si="1"/>
        <v>317631</v>
      </c>
    </row>
    <row r="8" spans="1:6" ht="13.7" customHeight="1" x14ac:dyDescent="0.2">
      <c r="A8" s="702" t="s">
        <v>1179</v>
      </c>
      <c r="B8" s="1737">
        <f>'Revenues 9-14'!G5</f>
        <v>413987</v>
      </c>
      <c r="C8" s="577">
        <v>211071</v>
      </c>
      <c r="D8" s="1740">
        <f t="shared" si="0"/>
        <v>202916</v>
      </c>
      <c r="E8" s="577">
        <v>416669</v>
      </c>
      <c r="F8" s="1740">
        <f t="shared" si="1"/>
        <v>205598</v>
      </c>
    </row>
    <row r="9" spans="1:6" ht="13.7" customHeight="1" x14ac:dyDescent="0.2">
      <c r="A9" s="702" t="s">
        <v>408</v>
      </c>
      <c r="B9" s="1737">
        <f>'Revenues 9-14'!H5</f>
        <v>0</v>
      </c>
      <c r="C9" s="577"/>
      <c r="D9" s="1740">
        <f t="shared" si="0"/>
        <v>0</v>
      </c>
      <c r="E9" s="577"/>
      <c r="F9" s="1740">
        <f t="shared" si="1"/>
        <v>0</v>
      </c>
    </row>
    <row r="10" spans="1:6" ht="13.7" customHeight="1" x14ac:dyDescent="0.2">
      <c r="A10" s="702" t="s">
        <v>407</v>
      </c>
      <c r="B10" s="1737">
        <f>'Revenues 9-14'!I5</f>
        <v>0</v>
      </c>
      <c r="C10" s="577"/>
      <c r="D10" s="1740">
        <f t="shared" si="0"/>
        <v>0</v>
      </c>
      <c r="E10" s="577"/>
      <c r="F10" s="1740">
        <f t="shared" si="1"/>
        <v>0</v>
      </c>
    </row>
    <row r="11" spans="1:6" x14ac:dyDescent="0.2">
      <c r="A11" s="702" t="s">
        <v>409</v>
      </c>
      <c r="B11" s="1737">
        <f>'Revenues 9-14'!J5</f>
        <v>0</v>
      </c>
      <c r="C11" s="577"/>
      <c r="D11" s="1740">
        <f t="shared" si="0"/>
        <v>0</v>
      </c>
      <c r="E11" s="577"/>
      <c r="F11" s="1740">
        <f t="shared" si="1"/>
        <v>0</v>
      </c>
    </row>
    <row r="12" spans="1:6" ht="13.7" customHeight="1" x14ac:dyDescent="0.2">
      <c r="A12" s="702" t="s">
        <v>157</v>
      </c>
      <c r="B12" s="1737">
        <f>'Revenues 9-14'!K5</f>
        <v>0</v>
      </c>
      <c r="C12" s="577"/>
      <c r="D12" s="1740">
        <f t="shared" si="0"/>
        <v>0</v>
      </c>
      <c r="E12" s="577"/>
      <c r="F12" s="1740">
        <f t="shared" si="1"/>
        <v>0</v>
      </c>
    </row>
    <row r="13" spans="1:6" ht="13.7" customHeight="1" x14ac:dyDescent="0.2">
      <c r="A13" s="702" t="s">
        <v>936</v>
      </c>
      <c r="B13" s="1737">
        <f>SUM('Revenues 9-14'!C6:D6)</f>
        <v>0</v>
      </c>
      <c r="C13" s="577"/>
      <c r="D13" s="1740">
        <f t="shared" si="0"/>
        <v>0</v>
      </c>
      <c r="E13" s="577"/>
      <c r="F13" s="1740">
        <f t="shared" si="1"/>
        <v>0</v>
      </c>
    </row>
    <row r="14" spans="1:6" ht="13.7" customHeight="1" x14ac:dyDescent="0.2">
      <c r="A14" s="702" t="s">
        <v>410</v>
      </c>
      <c r="B14" s="1737">
        <f>SUM('Revenues 9-14'!C7:D7,'Revenues 9-14'!F7:H7)</f>
        <v>317054</v>
      </c>
      <c r="C14" s="577">
        <v>161779</v>
      </c>
      <c r="D14" s="1740">
        <f t="shared" si="0"/>
        <v>155275</v>
      </c>
      <c r="E14" s="577">
        <v>319363</v>
      </c>
      <c r="F14" s="1740">
        <f t="shared" si="1"/>
        <v>157584</v>
      </c>
    </row>
    <row r="15" spans="1:6" ht="13.7" customHeight="1" x14ac:dyDescent="0.2">
      <c r="A15" s="702" t="s">
        <v>1158</v>
      </c>
      <c r="B15" s="1737">
        <f>SUM('Revenues 9-14'!D9:E9,'Revenues 9-14'!H9)</f>
        <v>0</v>
      </c>
      <c r="C15" s="577"/>
      <c r="D15" s="1740">
        <f t="shared" si="0"/>
        <v>0</v>
      </c>
      <c r="E15" s="577"/>
      <c r="F15" s="1740">
        <f t="shared" si="1"/>
        <v>0</v>
      </c>
    </row>
    <row r="16" spans="1:6" ht="13.7" customHeight="1" x14ac:dyDescent="0.2">
      <c r="A16" s="702" t="s">
        <v>1159</v>
      </c>
      <c r="B16" s="1737">
        <f>'Revenues 9-14'!G8</f>
        <v>476802</v>
      </c>
      <c r="C16" s="577">
        <v>243301</v>
      </c>
      <c r="D16" s="1740">
        <f t="shared" si="0"/>
        <v>233501</v>
      </c>
      <c r="E16" s="577">
        <v>480292</v>
      </c>
      <c r="F16" s="1740">
        <f t="shared" si="1"/>
        <v>236991</v>
      </c>
    </row>
    <row r="17" spans="1:6" ht="13.7" customHeight="1" x14ac:dyDescent="0.2">
      <c r="A17" s="702" t="s">
        <v>1160</v>
      </c>
      <c r="B17" s="1737">
        <f>'Revenues 9-14'!C10</f>
        <v>0</v>
      </c>
      <c r="C17" s="577"/>
      <c r="D17" s="1740">
        <f t="shared" si="0"/>
        <v>0</v>
      </c>
      <c r="E17" s="577"/>
      <c r="F17" s="1740">
        <f t="shared" si="1"/>
        <v>0</v>
      </c>
    </row>
    <row r="18" spans="1:6" ht="13.7" customHeight="1" x14ac:dyDescent="0.2">
      <c r="A18" s="702" t="s">
        <v>762</v>
      </c>
      <c r="B18" s="1737">
        <f>SUM('Revenues 9-14'!C11:K11)</f>
        <v>0</v>
      </c>
      <c r="C18" s="577"/>
      <c r="D18" s="1740">
        <f t="shared" si="0"/>
        <v>0</v>
      </c>
      <c r="E18" s="577"/>
      <c r="F18" s="1740">
        <f t="shared" si="1"/>
        <v>0</v>
      </c>
    </row>
    <row r="19" spans="1:6" ht="13.7" customHeight="1" thickBot="1" x14ac:dyDescent="0.25">
      <c r="A19" s="1741" t="s">
        <v>1161</v>
      </c>
      <c r="B19" s="1738">
        <f>SUM(B4:B18)</f>
        <v>25257624</v>
      </c>
      <c r="C19" s="1738">
        <f>SUM(C4:C18)</f>
        <v>12997320</v>
      </c>
      <c r="D19" s="1738">
        <f>SUM(D4:D18)</f>
        <v>12260304</v>
      </c>
      <c r="E19" s="1738">
        <f>SUM(E4:E18)</f>
        <v>25657594</v>
      </c>
      <c r="F19" s="1738">
        <f>SUM(F4:F18)</f>
        <v>12660274</v>
      </c>
    </row>
    <row r="20" spans="1:6" ht="13.5" thickTop="1" x14ac:dyDescent="0.2">
      <c r="B20" s="700"/>
      <c r="F20" s="703"/>
    </row>
    <row r="21" spans="1:6" x14ac:dyDescent="0.2">
      <c r="A21" s="704" t="s">
        <v>1805</v>
      </c>
      <c r="B21" s="705"/>
      <c r="F21" s="703"/>
    </row>
    <row r="22" spans="1:6" x14ac:dyDescent="0.2">
      <c r="A22" s="706" t="s">
        <v>628</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Normal="100" workbookViewId="0">
      <selection activeCell="I13" sqref="I13:L13"/>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39" t="s">
        <v>629</v>
      </c>
      <c r="B1" s="2340"/>
      <c r="C1" s="708"/>
    </row>
    <row r="2" spans="1:7" ht="33.75" x14ac:dyDescent="0.2">
      <c r="A2" s="2348" t="s">
        <v>1799</v>
      </c>
      <c r="B2" s="2349"/>
      <c r="C2" s="1871" t="s">
        <v>1953</v>
      </c>
      <c r="D2" s="710" t="s">
        <v>1954</v>
      </c>
      <c r="E2" s="710" t="s">
        <v>1955</v>
      </c>
      <c r="F2" s="1871" t="s">
        <v>1956</v>
      </c>
    </row>
    <row r="3" spans="1:7" ht="15.75" customHeight="1" x14ac:dyDescent="0.2">
      <c r="A3" s="2352" t="s">
        <v>1114</v>
      </c>
      <c r="B3" s="2353"/>
      <c r="C3" s="2341"/>
      <c r="D3" s="2342"/>
      <c r="E3" s="2342"/>
      <c r="F3" s="2343"/>
    </row>
    <row r="4" spans="1:7" ht="12.75" customHeight="1" thickBot="1" x14ac:dyDescent="0.25">
      <c r="A4" s="2350" t="s">
        <v>630</v>
      </c>
      <c r="B4" s="2351"/>
      <c r="C4" s="573"/>
      <c r="D4" s="573"/>
      <c r="E4" s="573"/>
      <c r="F4" s="1742">
        <f>SUM(C4+D4)-E4</f>
        <v>0</v>
      </c>
    </row>
    <row r="5" spans="1:7" ht="15.75" customHeight="1" thickTop="1" x14ac:dyDescent="0.2">
      <c r="A5" s="2335" t="s">
        <v>1110</v>
      </c>
      <c r="B5" s="2336"/>
      <c r="C5" s="2344"/>
      <c r="D5" s="2345"/>
      <c r="E5" s="2345"/>
      <c r="F5" s="2346"/>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508</v>
      </c>
      <c r="B8" s="712"/>
      <c r="C8" s="713"/>
      <c r="D8" s="577"/>
      <c r="E8" s="713"/>
      <c r="F8" s="1742">
        <f t="shared" si="0"/>
        <v>0</v>
      </c>
    </row>
    <row r="9" spans="1:7" ht="12.75" customHeight="1" thickTop="1" thickBot="1" x14ac:dyDescent="0.25">
      <c r="A9" s="711" t="s">
        <v>509</v>
      </c>
      <c r="B9" s="712"/>
      <c r="C9" s="713"/>
      <c r="D9" s="577"/>
      <c r="E9" s="713"/>
      <c r="F9" s="1742">
        <f t="shared" si="0"/>
        <v>0</v>
      </c>
    </row>
    <row r="10" spans="1:7" ht="12.75" customHeight="1" thickTop="1" thickBot="1" x14ac:dyDescent="0.25">
      <c r="A10" s="711" t="s">
        <v>510</v>
      </c>
      <c r="B10" s="712"/>
      <c r="C10" s="713"/>
      <c r="D10" s="577"/>
      <c r="E10" s="713"/>
      <c r="F10" s="1742">
        <f t="shared" si="0"/>
        <v>0</v>
      </c>
    </row>
    <row r="11" spans="1:7" ht="12.75" customHeight="1" thickTop="1" thickBot="1" x14ac:dyDescent="0.25">
      <c r="A11" s="711" t="s">
        <v>341</v>
      </c>
      <c r="B11" s="712"/>
      <c r="C11" s="713"/>
      <c r="D11" s="577"/>
      <c r="E11" s="713"/>
      <c r="F11" s="1742">
        <f t="shared" si="0"/>
        <v>0</v>
      </c>
    </row>
    <row r="12" spans="1:7" ht="12.75" customHeight="1" thickTop="1" thickBot="1" x14ac:dyDescent="0.25">
      <c r="A12" s="711" t="s">
        <v>1157</v>
      </c>
      <c r="B12" s="712"/>
      <c r="C12" s="713"/>
      <c r="D12" s="577"/>
      <c r="E12" s="713"/>
      <c r="F12" s="1742">
        <f t="shared" si="0"/>
        <v>0</v>
      </c>
    </row>
    <row r="13" spans="1:7" ht="12.75" customHeight="1" thickTop="1" thickBot="1" x14ac:dyDescent="0.25">
      <c r="A13" s="711" t="s">
        <v>388</v>
      </c>
      <c r="B13" s="712"/>
      <c r="C13" s="713"/>
      <c r="D13" s="577"/>
      <c r="E13" s="713"/>
      <c r="F13" s="1742">
        <f t="shared" si="0"/>
        <v>0</v>
      </c>
    </row>
    <row r="14" spans="1:7" ht="12.75" customHeight="1" thickTop="1" thickBot="1" x14ac:dyDescent="0.25">
      <c r="A14" s="711" t="s">
        <v>448</v>
      </c>
      <c r="B14" s="712"/>
      <c r="C14" s="713"/>
      <c r="D14" s="577"/>
      <c r="E14" s="713"/>
      <c r="F14" s="1742">
        <f t="shared" si="0"/>
        <v>0</v>
      </c>
    </row>
    <row r="15" spans="1:7" ht="14.25" thickTop="1" thickBot="1" x14ac:dyDescent="0.25">
      <c r="A15" s="2337" t="s">
        <v>631</v>
      </c>
      <c r="B15" s="2338"/>
      <c r="C15" s="1742">
        <f>SUM(C6:C14)</f>
        <v>0</v>
      </c>
      <c r="D15" s="1742">
        <f>SUM(D6:D14)</f>
        <v>0</v>
      </c>
      <c r="E15" s="1742">
        <f>SUM(E6:E14)</f>
        <v>0</v>
      </c>
      <c r="F15" s="1742">
        <f>SUM(F6:F14)</f>
        <v>0</v>
      </c>
      <c r="G15" s="545"/>
    </row>
    <row r="16" spans="1:7" s="202" customFormat="1" ht="15.75" customHeight="1" thickTop="1" x14ac:dyDescent="0.2">
      <c r="A16" s="2347" t="s">
        <v>1111</v>
      </c>
      <c r="B16" s="2336"/>
      <c r="C16" s="2344"/>
      <c r="D16" s="2345"/>
      <c r="E16" s="2345"/>
      <c r="F16" s="2346"/>
    </row>
    <row r="17" spans="1:11" ht="12.75" customHeight="1" thickBot="1" x14ac:dyDescent="0.25">
      <c r="A17" s="2360" t="s">
        <v>64</v>
      </c>
      <c r="B17" s="2361"/>
      <c r="C17" s="713"/>
      <c r="D17" s="577"/>
      <c r="E17" s="713"/>
      <c r="F17" s="1742">
        <f>SUM(C17+D17)-E17</f>
        <v>0</v>
      </c>
    </row>
    <row r="18" spans="1:11" ht="12.75" customHeight="1" thickTop="1" thickBot="1" x14ac:dyDescent="0.25">
      <c r="A18" s="2360" t="s">
        <v>6</v>
      </c>
      <c r="B18" s="2361"/>
      <c r="C18" s="713"/>
      <c r="D18" s="577"/>
      <c r="E18" s="713"/>
      <c r="F18" s="1742">
        <f>SUM(C18+D18)-E18</f>
        <v>0</v>
      </c>
    </row>
    <row r="19" spans="1:11" ht="12.75" customHeight="1" thickTop="1" thickBot="1" x14ac:dyDescent="0.25">
      <c r="A19" s="2360" t="s">
        <v>388</v>
      </c>
      <c r="B19" s="2361"/>
      <c r="C19" s="713"/>
      <c r="D19" s="577"/>
      <c r="E19" s="713"/>
      <c r="F19" s="1742">
        <f>SUM(C19+D19)-E19</f>
        <v>0</v>
      </c>
    </row>
    <row r="20" spans="1:11" ht="12.75" customHeight="1" thickTop="1" thickBot="1" x14ac:dyDescent="0.25">
      <c r="A20" s="2360" t="s">
        <v>448</v>
      </c>
      <c r="B20" s="2361"/>
      <c r="C20" s="713"/>
      <c r="D20" s="577"/>
      <c r="E20" s="713"/>
      <c r="F20" s="1742">
        <f>SUM(C20+D20)-E20</f>
        <v>0</v>
      </c>
    </row>
    <row r="21" spans="1:11" ht="14.25" thickTop="1" thickBot="1" x14ac:dyDescent="0.25">
      <c r="A21" s="2337" t="s">
        <v>632</v>
      </c>
      <c r="B21" s="2338"/>
      <c r="C21" s="1742">
        <f>SUM(C17:C20)</f>
        <v>0</v>
      </c>
      <c r="D21" s="1742">
        <f>SUM(D17:D20)</f>
        <v>0</v>
      </c>
      <c r="E21" s="1742">
        <f>SUM(E17:E20)</f>
        <v>0</v>
      </c>
      <c r="F21" s="1742">
        <f>SUM(F17:F20)</f>
        <v>0</v>
      </c>
      <c r="G21" s="545"/>
    </row>
    <row r="22" spans="1:11" ht="15.75" customHeight="1" thickTop="1" x14ac:dyDescent="0.2">
      <c r="A22" s="2362" t="s">
        <v>1112</v>
      </c>
      <c r="B22" s="2336"/>
      <c r="C22" s="2344"/>
      <c r="D22" s="2345"/>
      <c r="E22" s="2345"/>
      <c r="F22" s="2346"/>
    </row>
    <row r="23" spans="1:11" ht="13.5" thickBot="1" x14ac:dyDescent="0.25">
      <c r="A23" s="2350" t="s">
        <v>633</v>
      </c>
      <c r="B23" s="2351"/>
      <c r="C23" s="573"/>
      <c r="D23" s="573"/>
      <c r="E23" s="573"/>
      <c r="F23" s="1742">
        <f>SUM(C23+D23)-E23</f>
        <v>0</v>
      </c>
      <c r="G23" s="545"/>
    </row>
    <row r="24" spans="1:11" ht="15.75" customHeight="1" thickTop="1" x14ac:dyDescent="0.2">
      <c r="A24" s="2362" t="s">
        <v>1113</v>
      </c>
      <c r="B24" s="2336"/>
      <c r="C24" s="2344"/>
      <c r="D24" s="2345"/>
      <c r="E24" s="2345"/>
      <c r="F24" s="2346"/>
    </row>
    <row r="25" spans="1:11" ht="13.5" thickBot="1" x14ac:dyDescent="0.25">
      <c r="A25" s="2350" t="s">
        <v>634</v>
      </c>
      <c r="B25" s="2351"/>
      <c r="C25" s="573"/>
      <c r="D25" s="573"/>
      <c r="E25" s="573"/>
      <c r="F25" s="1742">
        <f>SUM(C25+D25)-E25</f>
        <v>0</v>
      </c>
      <c r="G25" s="545"/>
    </row>
    <row r="26" spans="1:11" ht="15.75" customHeight="1" thickTop="1" x14ac:dyDescent="0.2">
      <c r="A26" s="2335" t="s">
        <v>657</v>
      </c>
      <c r="B26" s="2336"/>
      <c r="C26" s="714"/>
      <c r="D26" s="714"/>
      <c r="E26" s="714"/>
      <c r="F26" s="715"/>
    </row>
    <row r="27" spans="1:11" ht="13.5" thickBot="1" x14ac:dyDescent="0.25">
      <c r="A27" s="2337" t="s">
        <v>1070</v>
      </c>
      <c r="B27" s="2338"/>
      <c r="C27" s="577"/>
      <c r="D27" s="577"/>
      <c r="E27" s="577"/>
      <c r="F27" s="1742">
        <f>SUM(C27+D27)-E27</f>
        <v>0</v>
      </c>
      <c r="G27" s="545"/>
    </row>
    <row r="28" spans="1:11" ht="7.5" customHeight="1" thickTop="1" x14ac:dyDescent="0.2">
      <c r="A28" s="584"/>
    </row>
    <row r="29" spans="1:11" ht="23.25" customHeight="1" x14ac:dyDescent="0.2">
      <c r="A29" s="2363" t="s">
        <v>582</v>
      </c>
      <c r="B29" s="2340"/>
      <c r="C29" s="716"/>
      <c r="D29" s="716"/>
      <c r="E29" s="716"/>
      <c r="F29" s="716"/>
      <c r="G29" s="716"/>
      <c r="H29" s="716"/>
      <c r="I29" s="716"/>
      <c r="J29" s="716"/>
    </row>
    <row r="30" spans="1:11" ht="33.75" x14ac:dyDescent="0.2">
      <c r="A30" s="1516" t="s">
        <v>1071</v>
      </c>
      <c r="B30" s="717" t="s">
        <v>1124</v>
      </c>
      <c r="C30" s="1872" t="s">
        <v>583</v>
      </c>
      <c r="D30" s="1872" t="s">
        <v>1673</v>
      </c>
      <c r="E30" s="1872" t="s">
        <v>1957</v>
      </c>
      <c r="F30" s="1872" t="s">
        <v>1958</v>
      </c>
      <c r="G30" s="1872" t="s">
        <v>1908</v>
      </c>
      <c r="H30" s="1872" t="s">
        <v>1959</v>
      </c>
      <c r="I30" s="1872" t="s">
        <v>1960</v>
      </c>
      <c r="J30" s="1873" t="s">
        <v>2</v>
      </c>
      <c r="K30" s="718"/>
    </row>
    <row r="31" spans="1:11" ht="12" customHeight="1" x14ac:dyDescent="0.2">
      <c r="A31" s="719" t="s">
        <v>2074</v>
      </c>
      <c r="B31" s="720">
        <v>42187</v>
      </c>
      <c r="C31" s="721">
        <v>4270000</v>
      </c>
      <c r="D31" s="722">
        <v>1</v>
      </c>
      <c r="E31" s="721">
        <v>4270000</v>
      </c>
      <c r="F31" s="721"/>
      <c r="G31" s="721"/>
      <c r="H31" s="721">
        <v>335000</v>
      </c>
      <c r="I31" s="1743">
        <f>((E31+F31)-H31)+G31</f>
        <v>3935000</v>
      </c>
      <c r="J31" s="721">
        <v>3801812</v>
      </c>
      <c r="K31" s="723"/>
    </row>
    <row r="32" spans="1:11" ht="12" customHeight="1" x14ac:dyDescent="0.2">
      <c r="A32" s="719" t="s">
        <v>2075</v>
      </c>
      <c r="B32" s="720">
        <v>42522</v>
      </c>
      <c r="C32" s="721">
        <v>6030000</v>
      </c>
      <c r="D32" s="722">
        <v>1</v>
      </c>
      <c r="E32" s="721">
        <v>6030000</v>
      </c>
      <c r="F32" s="721"/>
      <c r="G32" s="721"/>
      <c r="H32" s="721">
        <v>70000</v>
      </c>
      <c r="I32" s="1743">
        <f>((E32+F32)-H32)+G32</f>
        <v>5960000</v>
      </c>
      <c r="J32" s="721">
        <v>5917789</v>
      </c>
      <c r="K32" s="723"/>
    </row>
    <row r="33" spans="1:11" ht="12" customHeight="1" x14ac:dyDescent="0.2">
      <c r="A33" s="719" t="s">
        <v>2076</v>
      </c>
      <c r="B33" s="720"/>
      <c r="C33" s="721"/>
      <c r="D33" s="722"/>
      <c r="E33" s="721"/>
      <c r="F33" s="721"/>
      <c r="G33" s="721"/>
      <c r="H33" s="721"/>
      <c r="I33" s="1743">
        <f t="shared" ref="I33:I48" si="1">((E33+F33)-H33)+G33</f>
        <v>0</v>
      </c>
      <c r="J33" s="721">
        <v>-97316</v>
      </c>
      <c r="K33" s="723"/>
    </row>
    <row r="34" spans="1:11" ht="12" customHeight="1" x14ac:dyDescent="0.2">
      <c r="A34" s="719"/>
      <c r="B34" s="720"/>
      <c r="C34" s="721"/>
      <c r="D34" s="722"/>
      <c r="E34" s="721"/>
      <c r="F34" s="721"/>
      <c r="G34" s="721"/>
      <c r="H34" s="721"/>
      <c r="I34" s="1743">
        <f t="shared" si="1"/>
        <v>0</v>
      </c>
      <c r="J34" s="721"/>
      <c r="K34" s="724"/>
    </row>
    <row r="35" spans="1:11" ht="12" customHeight="1" x14ac:dyDescent="0.2">
      <c r="A35" s="719"/>
      <c r="B35" s="720"/>
      <c r="C35" s="725"/>
      <c r="D35" s="722"/>
      <c r="E35" s="725"/>
      <c r="F35" s="725"/>
      <c r="G35" s="725"/>
      <c r="H35" s="725"/>
      <c r="I35" s="1743">
        <f t="shared" si="1"/>
        <v>0</v>
      </c>
      <c r="J35" s="725"/>
      <c r="K35" s="724"/>
    </row>
    <row r="36" spans="1:11" ht="12" customHeight="1" x14ac:dyDescent="0.2">
      <c r="A36" s="719"/>
      <c r="B36" s="720"/>
      <c r="C36" s="721"/>
      <c r="D36" s="722"/>
      <c r="E36" s="721"/>
      <c r="F36" s="721"/>
      <c r="G36" s="721"/>
      <c r="H36" s="721"/>
      <c r="I36" s="1743">
        <f t="shared" si="1"/>
        <v>0</v>
      </c>
      <c r="J36" s="721"/>
      <c r="K36" s="726"/>
    </row>
    <row r="37" spans="1:11" ht="12" customHeight="1" x14ac:dyDescent="0.2">
      <c r="A37" s="719"/>
      <c r="B37" s="720"/>
      <c r="C37" s="467"/>
      <c r="D37" s="727"/>
      <c r="E37" s="467"/>
      <c r="F37" s="467"/>
      <c r="G37" s="467"/>
      <c r="H37" s="467"/>
      <c r="I37" s="1743">
        <f t="shared" si="1"/>
        <v>0</v>
      </c>
      <c r="J37" s="467"/>
      <c r="K37" s="724"/>
    </row>
    <row r="38" spans="1:11" ht="12" customHeight="1" x14ac:dyDescent="0.2">
      <c r="A38" s="719"/>
      <c r="B38" s="720"/>
      <c r="C38" s="721"/>
      <c r="D38" s="728"/>
      <c r="E38" s="729"/>
      <c r="F38" s="729"/>
      <c r="G38" s="729"/>
      <c r="H38" s="729"/>
      <c r="I38" s="1743">
        <f t="shared" si="1"/>
        <v>0</v>
      </c>
      <c r="J38" s="730" t="s">
        <v>264</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10300000</v>
      </c>
      <c r="D49" s="732"/>
      <c r="E49" s="1743">
        <f t="shared" ref="E49:J49" si="2">SUM(E31:E48)</f>
        <v>10300000</v>
      </c>
      <c r="F49" s="1743">
        <f t="shared" si="2"/>
        <v>0</v>
      </c>
      <c r="G49" s="1743">
        <f t="shared" si="2"/>
        <v>0</v>
      </c>
      <c r="H49" s="1743">
        <f t="shared" si="2"/>
        <v>405000</v>
      </c>
      <c r="I49" s="1743">
        <f t="shared" si="2"/>
        <v>9895000</v>
      </c>
      <c r="J49" s="1743">
        <f t="shared" si="2"/>
        <v>9622285</v>
      </c>
      <c r="K49" s="724"/>
    </row>
    <row r="50" spans="1:11" ht="6" customHeight="1" x14ac:dyDescent="0.2">
      <c r="A50" s="733"/>
      <c r="B50" s="723"/>
      <c r="C50" s="723"/>
      <c r="D50" s="723"/>
      <c r="E50" s="723"/>
      <c r="F50" s="723"/>
      <c r="G50" s="723"/>
      <c r="H50" s="723"/>
      <c r="I50" s="723"/>
      <c r="J50" s="733"/>
    </row>
    <row r="51" spans="1:11" x14ac:dyDescent="0.2">
      <c r="A51" s="734" t="s">
        <v>1804</v>
      </c>
      <c r="B51" s="733"/>
      <c r="C51" s="724"/>
      <c r="D51" s="724"/>
      <c r="E51" s="724"/>
      <c r="F51" s="724"/>
      <c r="G51" s="724"/>
      <c r="H51" s="723"/>
      <c r="I51" s="723"/>
      <c r="J51" s="733"/>
    </row>
    <row r="52" spans="1:11" ht="11.25" customHeight="1" x14ac:dyDescent="0.2">
      <c r="A52" s="735" t="s">
        <v>912</v>
      </c>
      <c r="B52" s="2354" t="s">
        <v>584</v>
      </c>
      <c r="C52" s="2355"/>
      <c r="D52" s="2355"/>
      <c r="E52" s="736" t="s">
        <v>845</v>
      </c>
      <c r="F52" s="2356"/>
      <c r="G52" s="2357"/>
      <c r="H52" s="723"/>
      <c r="I52" s="723"/>
      <c r="J52" s="733"/>
    </row>
    <row r="53" spans="1:11" ht="11.25" customHeight="1" x14ac:dyDescent="0.2">
      <c r="A53" s="737" t="s">
        <v>913</v>
      </c>
      <c r="B53" s="738" t="s">
        <v>951</v>
      </c>
      <c r="C53" s="733"/>
      <c r="D53" s="724"/>
      <c r="E53" s="736" t="s">
        <v>497</v>
      </c>
      <c r="F53" s="2358"/>
      <c r="G53" s="2359"/>
      <c r="H53" s="723"/>
      <c r="I53" s="723"/>
      <c r="J53" s="733"/>
    </row>
    <row r="54" spans="1:11" ht="11.25" customHeight="1" x14ac:dyDescent="0.2">
      <c r="A54" s="739" t="s">
        <v>914</v>
      </c>
      <c r="B54" s="734" t="s">
        <v>952</v>
      </c>
      <c r="C54" s="733"/>
      <c r="D54" s="724"/>
      <c r="E54" s="736" t="s">
        <v>498</v>
      </c>
      <c r="F54" s="2358"/>
      <c r="G54" s="2359"/>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90" zoomScaleNormal="90" workbookViewId="0">
      <selection activeCell="I13" sqref="I13:L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88" t="s">
        <v>856</v>
      </c>
      <c r="B1" s="2389"/>
      <c r="C1" s="2389"/>
      <c r="D1" s="2389"/>
      <c r="E1" s="2389"/>
      <c r="F1" s="2389"/>
      <c r="G1" s="2390"/>
      <c r="H1" s="1517"/>
      <c r="I1" s="747"/>
      <c r="J1" s="433"/>
    </row>
    <row r="2" spans="1:11" ht="26.25" x14ac:dyDescent="0.2">
      <c r="A2" s="2367" t="s">
        <v>1677</v>
      </c>
      <c r="B2" s="2368"/>
      <c r="C2" s="2368"/>
      <c r="D2" s="2368"/>
      <c r="E2" s="2369"/>
      <c r="F2" s="748" t="s">
        <v>904</v>
      </c>
      <c r="G2" s="749" t="s">
        <v>1674</v>
      </c>
      <c r="H2" s="749" t="s">
        <v>410</v>
      </c>
      <c r="I2" s="749" t="s">
        <v>1158</v>
      </c>
      <c r="J2" s="749" t="s">
        <v>1809</v>
      </c>
      <c r="K2" s="749" t="s">
        <v>138</v>
      </c>
    </row>
    <row r="3" spans="1:11" x14ac:dyDescent="0.2">
      <c r="A3" s="2370" t="s">
        <v>1961</v>
      </c>
      <c r="B3" s="2371"/>
      <c r="C3" s="2371"/>
      <c r="D3" s="2371"/>
      <c r="E3" s="2372"/>
      <c r="F3" s="750"/>
      <c r="G3" s="751"/>
      <c r="H3" s="751"/>
      <c r="I3" s="751"/>
      <c r="J3" s="752"/>
      <c r="K3" s="752"/>
    </row>
    <row r="4" spans="1:11" x14ac:dyDescent="0.2">
      <c r="A4" s="2373" t="s">
        <v>369</v>
      </c>
      <c r="B4" s="2374"/>
      <c r="C4" s="2374"/>
      <c r="D4" s="2374"/>
      <c r="E4" s="2355"/>
      <c r="F4" s="753"/>
      <c r="G4" s="754"/>
      <c r="H4" s="755"/>
      <c r="I4" s="754"/>
      <c r="J4" s="756"/>
      <c r="K4" s="756"/>
    </row>
    <row r="5" spans="1:11" x14ac:dyDescent="0.2">
      <c r="A5" s="2391" t="s">
        <v>1069</v>
      </c>
      <c r="B5" s="2364"/>
      <c r="C5" s="2364"/>
      <c r="D5" s="2364"/>
      <c r="E5" s="2392"/>
      <c r="F5" s="757" t="s">
        <v>848</v>
      </c>
      <c r="G5" s="758"/>
      <c r="H5" s="751">
        <f>+'Revenues 9-14'!C7</f>
        <v>317054</v>
      </c>
      <c r="I5" s="759"/>
      <c r="J5" s="760"/>
      <c r="K5" s="760"/>
    </row>
    <row r="6" spans="1:11" x14ac:dyDescent="0.2">
      <c r="A6" s="761" t="s">
        <v>720</v>
      </c>
      <c r="B6" s="762"/>
      <c r="C6" s="762"/>
      <c r="D6" s="762"/>
      <c r="E6" s="763"/>
      <c r="F6" s="764" t="s">
        <v>849</v>
      </c>
      <c r="G6" s="751"/>
      <c r="H6" s="751"/>
      <c r="I6" s="751"/>
      <c r="J6" s="752"/>
      <c r="K6" s="752"/>
    </row>
    <row r="7" spans="1:11" x14ac:dyDescent="0.2">
      <c r="A7" s="765" t="s">
        <v>246</v>
      </c>
      <c r="B7" s="766"/>
      <c r="C7" s="766"/>
      <c r="D7" s="766"/>
      <c r="E7" s="767"/>
      <c r="F7" s="757" t="s">
        <v>850</v>
      </c>
      <c r="G7" s="754"/>
      <c r="H7" s="754"/>
      <c r="I7" s="754"/>
      <c r="J7" s="768"/>
      <c r="K7" s="752">
        <f>+'Revenues 9-14'!C101</f>
        <v>44209</v>
      </c>
    </row>
    <row r="8" spans="1:11" x14ac:dyDescent="0.2">
      <c r="A8" s="765" t="s">
        <v>345</v>
      </c>
      <c r="B8" s="766"/>
      <c r="C8" s="766"/>
      <c r="D8" s="766"/>
      <c r="E8" s="767"/>
      <c r="F8" s="757" t="s">
        <v>851</v>
      </c>
      <c r="G8" s="769"/>
      <c r="H8" s="769"/>
      <c r="I8" s="769"/>
      <c r="J8" s="752"/>
      <c r="K8" s="756"/>
    </row>
    <row r="9" spans="1:11" x14ac:dyDescent="0.2">
      <c r="A9" s="765" t="s">
        <v>138</v>
      </c>
      <c r="B9" s="766"/>
      <c r="C9" s="766"/>
      <c r="D9" s="766"/>
      <c r="E9" s="767"/>
      <c r="F9" s="764" t="s">
        <v>853</v>
      </c>
      <c r="G9" s="769"/>
      <c r="H9" s="758"/>
      <c r="I9" s="758"/>
      <c r="J9" s="768"/>
      <c r="K9" s="752"/>
    </row>
    <row r="10" spans="1:11" x14ac:dyDescent="0.2">
      <c r="A10" s="2391" t="s">
        <v>1810</v>
      </c>
      <c r="B10" s="2364"/>
      <c r="C10" s="2364"/>
      <c r="D10" s="2364"/>
      <c r="E10" s="2393"/>
      <c r="F10" s="770" t="s">
        <v>862</v>
      </c>
      <c r="G10" s="769"/>
      <c r="H10" s="771"/>
      <c r="I10" s="751"/>
      <c r="J10" s="752"/>
      <c r="K10" s="752"/>
    </row>
    <row r="11" spans="1:11" x14ac:dyDescent="0.2">
      <c r="A11" s="2391" t="s">
        <v>160</v>
      </c>
      <c r="B11" s="2364"/>
      <c r="C11" s="2364"/>
      <c r="D11" s="2364"/>
      <c r="E11" s="2392"/>
      <c r="F11" s="757" t="s">
        <v>852</v>
      </c>
      <c r="G11" s="758"/>
      <c r="H11" s="751"/>
      <c r="I11" s="751"/>
      <c r="J11" s="752"/>
      <c r="K11" s="760"/>
    </row>
    <row r="12" spans="1:11" ht="13.5" thickBot="1" x14ac:dyDescent="0.25">
      <c r="A12" s="2381" t="s">
        <v>905</v>
      </c>
      <c r="B12" s="2382"/>
      <c r="C12" s="2382"/>
      <c r="D12" s="2382"/>
      <c r="E12" s="2383"/>
      <c r="F12" s="1744"/>
      <c r="G12" s="1745">
        <f>SUM(G5:G11)</f>
        <v>0</v>
      </c>
      <c r="H12" s="1745">
        <f>SUM(H5:H11)</f>
        <v>317054</v>
      </c>
      <c r="I12" s="1745">
        <f>SUM(I5:I11)</f>
        <v>0</v>
      </c>
      <c r="J12" s="1745">
        <f>SUM(J5:J11)</f>
        <v>0</v>
      </c>
      <c r="K12" s="1745">
        <f>SUM(K5:K11)</f>
        <v>44209</v>
      </c>
    </row>
    <row r="13" spans="1:11" ht="13.5" thickTop="1" x14ac:dyDescent="0.2">
      <c r="A13" s="2375" t="s">
        <v>370</v>
      </c>
      <c r="B13" s="2376"/>
      <c r="C13" s="2376"/>
      <c r="D13" s="2376"/>
      <c r="E13" s="2377"/>
      <c r="F13" s="772"/>
      <c r="G13" s="773"/>
      <c r="H13" s="774"/>
      <c r="I13" s="775"/>
      <c r="J13" s="775"/>
      <c r="K13" s="775"/>
    </row>
    <row r="14" spans="1:11" x14ac:dyDescent="0.2">
      <c r="A14" s="2397" t="s">
        <v>456</v>
      </c>
      <c r="B14" s="2397"/>
      <c r="C14" s="2397"/>
      <c r="D14" s="2397"/>
      <c r="E14" s="2398"/>
      <c r="F14" s="776" t="s">
        <v>854</v>
      </c>
      <c r="G14" s="769"/>
      <c r="H14" s="751">
        <f>+H5</f>
        <v>317054</v>
      </c>
      <c r="I14" s="758"/>
      <c r="J14" s="760"/>
      <c r="K14" s="752">
        <f>+K7</f>
        <v>44209</v>
      </c>
    </row>
    <row r="15" spans="1:11" x14ac:dyDescent="0.2">
      <c r="A15" s="2364" t="s">
        <v>4</v>
      </c>
      <c r="B15" s="2364"/>
      <c r="C15" s="2364"/>
      <c r="D15" s="2364"/>
      <c r="E15" s="2392"/>
      <c r="F15" s="776" t="s">
        <v>855</v>
      </c>
      <c r="G15" s="758"/>
      <c r="H15" s="751"/>
      <c r="I15" s="751"/>
      <c r="J15" s="752"/>
      <c r="K15" s="752"/>
    </row>
    <row r="16" spans="1:11" x14ac:dyDescent="0.2">
      <c r="A16" s="2364" t="s">
        <v>298</v>
      </c>
      <c r="B16" s="2364"/>
      <c r="C16" s="2364"/>
      <c r="D16" s="2364"/>
      <c r="E16" s="2392"/>
      <c r="F16" s="776" t="s">
        <v>923</v>
      </c>
      <c r="G16" s="759"/>
      <c r="H16" s="754"/>
      <c r="I16" s="754"/>
      <c r="J16" s="756"/>
      <c r="K16" s="756"/>
    </row>
    <row r="17" spans="1:11" x14ac:dyDescent="0.2">
      <c r="A17" s="2386" t="s">
        <v>935</v>
      </c>
      <c r="B17" s="2386"/>
      <c r="C17" s="2386"/>
      <c r="D17" s="2386"/>
      <c r="E17" s="2387"/>
      <c r="F17" s="777"/>
      <c r="G17" s="778"/>
      <c r="H17" s="779"/>
      <c r="I17" s="779"/>
      <c r="J17" s="780"/>
      <c r="K17" s="781"/>
    </row>
    <row r="18" spans="1:11" x14ac:dyDescent="0.2">
      <c r="A18" s="2378" t="s">
        <v>368</v>
      </c>
      <c r="B18" s="2379"/>
      <c r="C18" s="2379"/>
      <c r="D18" s="2379"/>
      <c r="E18" s="2380"/>
      <c r="F18" s="776" t="s">
        <v>932</v>
      </c>
      <c r="G18" s="769"/>
      <c r="H18" s="769"/>
      <c r="I18" s="769"/>
      <c r="J18" s="752"/>
      <c r="K18" s="782"/>
    </row>
    <row r="19" spans="1:11" ht="21.75" customHeight="1" x14ac:dyDescent="0.2">
      <c r="A19" s="2399" t="s">
        <v>1806</v>
      </c>
      <c r="B19" s="2399"/>
      <c r="C19" s="2399"/>
      <c r="D19" s="2399"/>
      <c r="E19" s="2400"/>
      <c r="F19" s="776" t="s">
        <v>933</v>
      </c>
      <c r="G19" s="769"/>
      <c r="H19" s="769"/>
      <c r="I19" s="769"/>
      <c r="J19" s="752"/>
      <c r="K19" s="782"/>
    </row>
    <row r="20" spans="1:11" x14ac:dyDescent="0.2">
      <c r="A20" s="2378" t="s">
        <v>1811</v>
      </c>
      <c r="B20" s="2379"/>
      <c r="C20" s="2379"/>
      <c r="D20" s="2379"/>
      <c r="E20" s="2380"/>
      <c r="F20" s="776" t="s">
        <v>934</v>
      </c>
      <c r="G20" s="769"/>
      <c r="H20" s="769"/>
      <c r="I20" s="769"/>
      <c r="J20" s="752"/>
      <c r="K20" s="782"/>
    </row>
    <row r="21" spans="1:11" ht="13.5" thickBot="1" x14ac:dyDescent="0.25">
      <c r="A21" s="2384" t="s">
        <v>638</v>
      </c>
      <c r="B21" s="2384"/>
      <c r="C21" s="2384"/>
      <c r="D21" s="2384"/>
      <c r="E21" s="2384"/>
      <c r="F21" s="1746"/>
      <c r="G21" s="779"/>
      <c r="H21" s="783"/>
      <c r="I21" s="783"/>
      <c r="J21" s="1747">
        <f>SUM(J18:J20)</f>
        <v>0</v>
      </c>
      <c r="K21" s="780"/>
    </row>
    <row r="22" spans="1:11" ht="13.5" thickTop="1" x14ac:dyDescent="0.2">
      <c r="A22" s="2364" t="s">
        <v>1812</v>
      </c>
      <c r="B22" s="2364"/>
      <c r="C22" s="2364"/>
      <c r="D22" s="2364"/>
      <c r="E22" s="2392"/>
      <c r="F22" s="776" t="s">
        <v>862</v>
      </c>
      <c r="G22" s="769"/>
      <c r="H22" s="751"/>
      <c r="I22" s="751"/>
      <c r="J22" s="784"/>
      <c r="K22" s="752"/>
    </row>
    <row r="23" spans="1:11" ht="13.5" thickBot="1" x14ac:dyDescent="0.25">
      <c r="A23" s="2385" t="s">
        <v>906</v>
      </c>
      <c r="B23" s="2384"/>
      <c r="C23" s="2384"/>
      <c r="D23" s="2384"/>
      <c r="E23" s="2384"/>
      <c r="F23" s="1748"/>
      <c r="G23" s="1745">
        <f>SUM(G14:G16,G21,G22)</f>
        <v>0</v>
      </c>
      <c r="H23" s="1745">
        <f>SUM(H14:H16,H21,H22)</f>
        <v>317054</v>
      </c>
      <c r="I23" s="1745">
        <f>SUM(I14:I16,I21,I22)</f>
        <v>0</v>
      </c>
      <c r="J23" s="1745">
        <f>SUM(J14:J16,J21,J22)</f>
        <v>0</v>
      </c>
      <c r="K23" s="1745">
        <f>SUM(K14:K16,K21,K22)</f>
        <v>44209</v>
      </c>
    </row>
    <row r="24" spans="1:11" ht="14.25" thickTop="1" thickBot="1" x14ac:dyDescent="0.25">
      <c r="A24" s="2385" t="s">
        <v>1962</v>
      </c>
      <c r="B24" s="2384"/>
      <c r="C24" s="2384"/>
      <c r="D24" s="2384"/>
      <c r="E24" s="2384"/>
      <c r="F24" s="1749"/>
      <c r="G24" s="1750">
        <f>SUM(G3,G12)-G23</f>
        <v>0</v>
      </c>
      <c r="H24" s="1750">
        <f>SUM(H3,H12)-H23</f>
        <v>0</v>
      </c>
      <c r="I24" s="1750">
        <f>SUM(I3,I12)-I23</f>
        <v>0</v>
      </c>
      <c r="J24" s="1750">
        <f>SUM(J3,J12)-J23</f>
        <v>0</v>
      </c>
      <c r="K24" s="1750">
        <f>SUM(K3,K12)-K23</f>
        <v>0</v>
      </c>
    </row>
    <row r="25" spans="1:11" ht="13.5" thickTop="1" x14ac:dyDescent="0.2">
      <c r="A25" s="785" t="s">
        <v>420</v>
      </c>
      <c r="B25" s="786"/>
      <c r="C25" s="786"/>
      <c r="D25" s="786"/>
      <c r="E25" s="787"/>
      <c r="F25" s="788">
        <v>714</v>
      </c>
      <c r="G25" s="789"/>
      <c r="H25" s="789"/>
      <c r="I25" s="789"/>
      <c r="J25" s="784"/>
      <c r="K25" s="784"/>
    </row>
    <row r="26" spans="1:11" ht="13.5" thickBot="1" x14ac:dyDescent="0.25">
      <c r="A26" s="785" t="s">
        <v>342</v>
      </c>
      <c r="B26" s="786"/>
      <c r="C26" s="786"/>
      <c r="D26" s="786"/>
      <c r="E26" s="787"/>
      <c r="F26" s="788">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1907</v>
      </c>
      <c r="B28" s="1868"/>
      <c r="C28" s="1868"/>
      <c r="D28" s="1868"/>
      <c r="E28" s="1869"/>
      <c r="F28" s="790"/>
      <c r="G28" s="791"/>
    </row>
    <row r="29" spans="1:11" x14ac:dyDescent="0.2">
      <c r="B29" s="496"/>
      <c r="C29" s="496"/>
      <c r="D29" s="496"/>
      <c r="F29" s="202"/>
      <c r="G29" s="792"/>
    </row>
    <row r="30" spans="1:11" x14ac:dyDescent="0.2">
      <c r="A30" s="793" t="s">
        <v>572</v>
      </c>
      <c r="B30" s="794"/>
      <c r="C30" s="793" t="s">
        <v>383</v>
      </c>
      <c r="D30" s="794"/>
      <c r="E30" s="795" t="s">
        <v>768</v>
      </c>
      <c r="F30" s="202"/>
      <c r="G30" s="792"/>
    </row>
    <row r="31" spans="1:11" x14ac:dyDescent="0.2">
      <c r="A31" s="796"/>
      <c r="D31" s="237"/>
      <c r="E31" s="797" t="s">
        <v>769</v>
      </c>
      <c r="F31" s="798" t="s">
        <v>539</v>
      </c>
      <c r="G31" s="751"/>
      <c r="H31" s="2394"/>
      <c r="I31" s="2395"/>
      <c r="J31" s="2395"/>
      <c r="K31" s="2395"/>
    </row>
    <row r="32" spans="1:11" x14ac:dyDescent="0.2">
      <c r="A32" s="796"/>
      <c r="B32" s="237"/>
      <c r="C32" s="237"/>
      <c r="D32" s="237"/>
      <c r="E32" s="792"/>
      <c r="F32" s="798" t="s">
        <v>540</v>
      </c>
      <c r="G32" s="751"/>
      <c r="H32" s="2396"/>
      <c r="I32" s="2395"/>
      <c r="J32" s="2395"/>
      <c r="K32" s="2395"/>
    </row>
    <row r="33" spans="1:11" ht="1.5" customHeight="1" x14ac:dyDescent="0.2">
      <c r="A33" s="799" t="s">
        <v>1169</v>
      </c>
      <c r="B33" s="364"/>
      <c r="C33" s="364"/>
      <c r="D33" s="364"/>
      <c r="E33" s="364"/>
      <c r="F33" s="364"/>
      <c r="G33" s="800"/>
      <c r="H33" s="2396"/>
      <c r="I33" s="2395"/>
      <c r="J33" s="2395"/>
      <c r="K33" s="2395"/>
    </row>
    <row r="34" spans="1:11" x14ac:dyDescent="0.2">
      <c r="A34" s="801" t="s">
        <v>1813</v>
      </c>
      <c r="B34" s="364"/>
      <c r="C34" s="364"/>
      <c r="D34" s="364"/>
      <c r="E34" s="364"/>
      <c r="F34" s="364"/>
      <c r="G34" s="800"/>
    </row>
    <row r="35" spans="1:11" ht="15" x14ac:dyDescent="0.2">
      <c r="A35" s="812" t="s">
        <v>907</v>
      </c>
      <c r="B35" s="802"/>
      <c r="C35" s="802"/>
      <c r="D35" s="802"/>
      <c r="E35" s="802"/>
      <c r="F35" s="802"/>
      <c r="G35" s="803"/>
      <c r="H35" s="804"/>
    </row>
    <row r="36" spans="1:11" x14ac:dyDescent="0.2">
      <c r="A36" s="765" t="s">
        <v>1109</v>
      </c>
      <c r="B36" s="805"/>
      <c r="C36" s="805"/>
      <c r="D36" s="805"/>
      <c r="E36" s="805"/>
      <c r="F36" s="806"/>
      <c r="G36" s="752"/>
    </row>
    <row r="37" spans="1:11" x14ac:dyDescent="0.2">
      <c r="A37" s="807" t="s">
        <v>896</v>
      </c>
      <c r="B37" s="805"/>
      <c r="C37" s="805"/>
      <c r="D37" s="805"/>
      <c r="E37" s="805"/>
      <c r="F37" s="806"/>
      <c r="G37" s="752"/>
    </row>
    <row r="38" spans="1:11" x14ac:dyDescent="0.2">
      <c r="A38" s="807" t="s">
        <v>993</v>
      </c>
      <c r="B38" s="805"/>
      <c r="C38" s="805"/>
      <c r="D38" s="805"/>
      <c r="E38" s="805"/>
      <c r="F38" s="806"/>
      <c r="G38" s="752"/>
    </row>
    <row r="39" spans="1:11" x14ac:dyDescent="0.2">
      <c r="A39" s="807" t="s">
        <v>994</v>
      </c>
      <c r="B39" s="805"/>
      <c r="C39" s="805"/>
      <c r="D39" s="805"/>
      <c r="E39" s="805"/>
      <c r="F39" s="806"/>
      <c r="G39" s="752"/>
    </row>
    <row r="40" spans="1:11" x14ac:dyDescent="0.2">
      <c r="A40" s="807" t="s">
        <v>995</v>
      </c>
      <c r="B40" s="805"/>
      <c r="C40" s="805"/>
      <c r="D40" s="805"/>
      <c r="E40" s="805"/>
      <c r="F40" s="806"/>
      <c r="G40" s="752"/>
    </row>
    <row r="41" spans="1:11" x14ac:dyDescent="0.2">
      <c r="A41" s="2364" t="s">
        <v>541</v>
      </c>
      <c r="B41" s="2365"/>
      <c r="C41" s="2365"/>
      <c r="D41" s="2365"/>
      <c r="E41" s="2365"/>
      <c r="F41" s="2366"/>
      <c r="G41" s="752"/>
    </row>
    <row r="42" spans="1:11" x14ac:dyDescent="0.2">
      <c r="A42" s="807" t="s">
        <v>970</v>
      </c>
      <c r="B42" s="805"/>
      <c r="C42" s="805"/>
      <c r="D42" s="805"/>
      <c r="E42" s="805"/>
      <c r="F42" s="806"/>
      <c r="G42" s="752"/>
    </row>
    <row r="43" spans="1:11" x14ac:dyDescent="0.2">
      <c r="A43" s="807" t="s">
        <v>971</v>
      </c>
      <c r="B43" s="805"/>
      <c r="C43" s="805"/>
      <c r="D43" s="805"/>
      <c r="E43" s="805"/>
      <c r="F43" s="806"/>
      <c r="G43" s="752"/>
    </row>
    <row r="44" spans="1:11" x14ac:dyDescent="0.2">
      <c r="A44" s="807" t="s">
        <v>972</v>
      </c>
      <c r="B44" s="805"/>
      <c r="C44" s="805"/>
      <c r="D44" s="805"/>
      <c r="E44" s="805"/>
      <c r="F44" s="806"/>
      <c r="G44" s="752"/>
    </row>
    <row r="45" spans="1:11" ht="6.75" customHeight="1" x14ac:dyDescent="0.2"/>
    <row r="46" spans="1:11" ht="15" x14ac:dyDescent="0.2">
      <c r="A46" s="1518" t="s">
        <v>1807</v>
      </c>
      <c r="B46" s="408" t="s">
        <v>1675</v>
      </c>
    </row>
    <row r="47" spans="1:11" s="810" customFormat="1" ht="12.75" customHeight="1" x14ac:dyDescent="0.2">
      <c r="A47" s="808"/>
      <c r="B47" s="809" t="s">
        <v>1676</v>
      </c>
      <c r="E47" s="809"/>
      <c r="K47" s="811"/>
    </row>
    <row r="48" spans="1:11" ht="12.75" customHeight="1" x14ac:dyDescent="0.2">
      <c r="A48" s="1519"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I13" sqref="I13:L13"/>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03" t="s">
        <v>1906</v>
      </c>
      <c r="B1" s="2404"/>
      <c r="C1" s="2405"/>
      <c r="D1" s="813"/>
      <c r="E1" s="814"/>
      <c r="F1" s="814"/>
      <c r="G1" s="815"/>
      <c r="H1" s="816"/>
      <c r="I1" s="817"/>
      <c r="J1" s="2401"/>
      <c r="K1" s="2402"/>
      <c r="L1" s="2402"/>
    </row>
    <row r="2" spans="1:14" ht="69.75" customHeight="1" x14ac:dyDescent="0.2">
      <c r="A2" s="818" t="s">
        <v>1678</v>
      </c>
      <c r="B2" s="819" t="s">
        <v>378</v>
      </c>
      <c r="C2" s="820" t="s">
        <v>1963</v>
      </c>
      <c r="D2" s="820" t="s">
        <v>1964</v>
      </c>
      <c r="E2" s="820" t="s">
        <v>1965</v>
      </c>
      <c r="F2" s="820" t="s">
        <v>1966</v>
      </c>
      <c r="G2" s="820" t="s">
        <v>605</v>
      </c>
      <c r="H2" s="820" t="s">
        <v>1967</v>
      </c>
      <c r="I2" s="820" t="s">
        <v>1968</v>
      </c>
      <c r="J2" s="820" t="s">
        <v>1969</v>
      </c>
      <c r="K2" s="820" t="s">
        <v>1970</v>
      </c>
      <c r="L2" s="820" t="s">
        <v>1971</v>
      </c>
      <c r="M2" s="821"/>
      <c r="N2" s="821"/>
    </row>
    <row r="3" spans="1:14" ht="13.5" thickBot="1" x14ac:dyDescent="0.25">
      <c r="A3" s="1616" t="s">
        <v>892</v>
      </c>
      <c r="B3" s="1617">
        <v>210</v>
      </c>
      <c r="C3" s="822"/>
      <c r="D3" s="822"/>
      <c r="E3" s="822"/>
      <c r="F3" s="1747">
        <f>(C3+D3)-E3</f>
        <v>0</v>
      </c>
      <c r="G3" s="823"/>
      <c r="H3" s="822"/>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893</v>
      </c>
      <c r="B5" s="827">
        <v>221</v>
      </c>
      <c r="C5" s="828">
        <v>459795</v>
      </c>
      <c r="D5" s="828"/>
      <c r="E5" s="828"/>
      <c r="F5" s="1747">
        <f>(C5+D5)-E5</f>
        <v>459795</v>
      </c>
      <c r="G5" s="824"/>
      <c r="H5" s="829"/>
      <c r="I5" s="829"/>
      <c r="J5" s="829"/>
      <c r="K5" s="780"/>
      <c r="L5" s="1756">
        <f>F5-K5</f>
        <v>459795</v>
      </c>
    </row>
    <row r="6" spans="1:14" ht="14.25" thickTop="1" thickBot="1" x14ac:dyDescent="0.25">
      <c r="A6" s="765" t="s">
        <v>1117</v>
      </c>
      <c r="B6" s="827">
        <v>222</v>
      </c>
      <c r="C6" s="752"/>
      <c r="D6" s="752"/>
      <c r="E6" s="752"/>
      <c r="F6" s="1747">
        <f>(C6+D6)-E6</f>
        <v>0</v>
      </c>
      <c r="G6" s="824">
        <v>50</v>
      </c>
      <c r="H6" s="752"/>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1118</v>
      </c>
      <c r="B8" s="827">
        <v>231</v>
      </c>
      <c r="C8" s="831">
        <v>46148993</v>
      </c>
      <c r="D8" s="831">
        <v>13912</v>
      </c>
      <c r="E8" s="831"/>
      <c r="F8" s="1747">
        <f>(C8+D8)-E8</f>
        <v>46162905</v>
      </c>
      <c r="G8" s="830">
        <v>50</v>
      </c>
      <c r="H8" s="752">
        <v>29086344</v>
      </c>
      <c r="I8" s="752">
        <v>751563</v>
      </c>
      <c r="J8" s="752"/>
      <c r="K8" s="1756">
        <f>(H8+I8)-J8</f>
        <v>29837907</v>
      </c>
      <c r="L8" s="1756">
        <f>F8-K8</f>
        <v>16324998</v>
      </c>
    </row>
    <row r="9" spans="1:14" ht="14.25" thickTop="1" thickBot="1" x14ac:dyDescent="0.25">
      <c r="A9" s="765" t="s">
        <v>1119</v>
      </c>
      <c r="B9" s="827">
        <v>232</v>
      </c>
      <c r="C9" s="752"/>
      <c r="D9" s="752"/>
      <c r="E9" s="752"/>
      <c r="F9" s="1747">
        <f>(C9+D9)-E9</f>
        <v>0</v>
      </c>
      <c r="G9" s="830">
        <v>20</v>
      </c>
      <c r="H9" s="752"/>
      <c r="I9" s="752"/>
      <c r="J9" s="752"/>
      <c r="K9" s="1756">
        <f>(H9+I9)-J9</f>
        <v>0</v>
      </c>
      <c r="L9" s="1756">
        <f>F9-K9</f>
        <v>0</v>
      </c>
    </row>
    <row r="10" spans="1:14" ht="24" thickTop="1" thickBot="1" x14ac:dyDescent="0.25">
      <c r="A10" s="832" t="s">
        <v>1120</v>
      </c>
      <c r="B10" s="827">
        <v>240</v>
      </c>
      <c r="C10" s="833">
        <v>3238686</v>
      </c>
      <c r="D10" s="833"/>
      <c r="E10" s="833"/>
      <c r="F10" s="1751">
        <f>(C10+D10)-E10</f>
        <v>3238686</v>
      </c>
      <c r="G10" s="830">
        <v>20</v>
      </c>
      <c r="H10" s="834">
        <v>2614766</v>
      </c>
      <c r="I10" s="834">
        <v>131011</v>
      </c>
      <c r="J10" s="834"/>
      <c r="K10" s="1756">
        <f>(H10+I10)-J10</f>
        <v>2745777</v>
      </c>
      <c r="L10" s="1756">
        <f>F10-K10</f>
        <v>492909</v>
      </c>
    </row>
    <row r="11" spans="1:14" ht="13.5" thickTop="1" x14ac:dyDescent="0.2">
      <c r="A11" s="1619" t="s">
        <v>1136</v>
      </c>
      <c r="B11" s="1617">
        <v>250</v>
      </c>
      <c r="C11" s="768"/>
      <c r="D11" s="768"/>
      <c r="E11" s="768"/>
      <c r="F11" s="760"/>
      <c r="G11" s="830"/>
      <c r="H11" s="768"/>
      <c r="I11" s="768"/>
      <c r="J11" s="768"/>
      <c r="K11" s="760"/>
      <c r="L11" s="760"/>
    </row>
    <row r="12" spans="1:14" ht="13.5" thickBot="1" x14ac:dyDescent="0.25">
      <c r="A12" s="835" t="s">
        <v>1121</v>
      </c>
      <c r="B12" s="827">
        <v>251</v>
      </c>
      <c r="C12" s="831">
        <v>6762220</v>
      </c>
      <c r="D12" s="831">
        <v>189132</v>
      </c>
      <c r="E12" s="831">
        <v>68640</v>
      </c>
      <c r="F12" s="1747">
        <f>(C12+D12)-E12</f>
        <v>6882712</v>
      </c>
      <c r="G12" s="830">
        <v>10</v>
      </c>
      <c r="H12" s="752">
        <v>5111935</v>
      </c>
      <c r="I12" s="752">
        <v>328539</v>
      </c>
      <c r="J12" s="752">
        <v>29303</v>
      </c>
      <c r="K12" s="1756">
        <f>(H12+I12)-J12</f>
        <v>5411171</v>
      </c>
      <c r="L12" s="1756">
        <f>F12-K12</f>
        <v>1471541</v>
      </c>
    </row>
    <row r="13" spans="1:14" ht="14.25" thickTop="1" thickBot="1" x14ac:dyDescent="0.25">
      <c r="A13" s="835" t="s">
        <v>1122</v>
      </c>
      <c r="B13" s="827">
        <v>252</v>
      </c>
      <c r="C13" s="831"/>
      <c r="D13" s="831"/>
      <c r="E13" s="831"/>
      <c r="F13" s="1747">
        <f>(C13+D13)-E13</f>
        <v>0</v>
      </c>
      <c r="G13" s="830">
        <v>5</v>
      </c>
      <c r="H13" s="752"/>
      <c r="I13" s="752"/>
      <c r="J13" s="752"/>
      <c r="K13" s="1756">
        <f>(H13+I13)-J13</f>
        <v>0</v>
      </c>
      <c r="L13" s="1756">
        <f>F13-K13</f>
        <v>0</v>
      </c>
    </row>
    <row r="14" spans="1:14" ht="14.25" thickTop="1" thickBot="1" x14ac:dyDescent="0.25">
      <c r="A14" s="835" t="s">
        <v>1123</v>
      </c>
      <c r="B14" s="827">
        <v>253</v>
      </c>
      <c r="C14" s="752"/>
      <c r="D14" s="752"/>
      <c r="E14" s="752"/>
      <c r="F14" s="1747">
        <f>(C14+D14)-E14</f>
        <v>0</v>
      </c>
      <c r="G14" s="830">
        <v>3</v>
      </c>
      <c r="H14" s="752"/>
      <c r="I14" s="752"/>
      <c r="J14" s="752"/>
      <c r="K14" s="1756">
        <f>(H14+I14)-J14</f>
        <v>0</v>
      </c>
      <c r="L14" s="1756">
        <f>F14-K14</f>
        <v>0</v>
      </c>
    </row>
    <row r="15" spans="1:14" ht="15" customHeight="1" thickTop="1" thickBot="1" x14ac:dyDescent="0.25">
      <c r="A15" s="1618" t="s">
        <v>528</v>
      </c>
      <c r="B15" s="1617">
        <v>260</v>
      </c>
      <c r="C15" s="831"/>
      <c r="D15" s="831"/>
      <c r="E15" s="831"/>
      <c r="F15" s="1747">
        <f>(C15+D15)-E15</f>
        <v>0</v>
      </c>
      <c r="G15" s="836" t="s">
        <v>862</v>
      </c>
      <c r="H15" s="768"/>
      <c r="I15" s="768"/>
      <c r="J15" s="768"/>
      <c r="K15" s="768"/>
      <c r="L15" s="1756">
        <f>F15-K15</f>
        <v>0</v>
      </c>
    </row>
    <row r="16" spans="1:14" ht="15" customHeight="1" thickTop="1" thickBot="1" x14ac:dyDescent="0.25">
      <c r="A16" s="1752" t="s">
        <v>643</v>
      </c>
      <c r="B16" s="1753">
        <v>200</v>
      </c>
      <c r="C16" s="1747">
        <f>SUM(C3,C5:C6,C8:C10,C12:C15)</f>
        <v>56609694</v>
      </c>
      <c r="D16" s="1747">
        <f>SUM(D3,D5:D6,D8:D10,D12:D15)</f>
        <v>203044</v>
      </c>
      <c r="E16" s="1747">
        <f>SUM(E3,E5:E6,E8:E10,E12:E15)</f>
        <v>68640</v>
      </c>
      <c r="F16" s="1747">
        <f>SUM(F3,F5:F6,F8:F10,F12:F15)</f>
        <v>56744098</v>
      </c>
      <c r="G16" s="830"/>
      <c r="H16" s="1747">
        <f>SUM(H3,H6,H8:H10,H12:H14,)</f>
        <v>36813045</v>
      </c>
      <c r="I16" s="1747">
        <f>SUM(I3,I6,I8:I10,I12:I14,)</f>
        <v>1211113</v>
      </c>
      <c r="J16" s="1747">
        <f>SUM(J3,J6,J8:J10,J12:J14,)</f>
        <v>29303</v>
      </c>
      <c r="K16" s="1747">
        <f>(H16+I16)-J16</f>
        <v>37994855</v>
      </c>
      <c r="L16" s="1747">
        <f>F16-K16</f>
        <v>18749243</v>
      </c>
    </row>
    <row r="17" spans="1:12" ht="15" customHeight="1" thickTop="1" thickBot="1" x14ac:dyDescent="0.25">
      <c r="A17" s="1620" t="s">
        <v>291</v>
      </c>
      <c r="B17" s="1617">
        <v>700</v>
      </c>
      <c r="C17" s="756"/>
      <c r="D17" s="756"/>
      <c r="E17" s="756"/>
      <c r="F17" s="1747">
        <f>SUM('Expenditures 15-22'!I114,'Expenditures 15-22'!I151,'Expenditures 15-22'!I210,'Expenditures 15-22'!I312,'Expenditures 15-22'!I342,'Expenditures 15-22'!I367)</f>
        <v>103627</v>
      </c>
      <c r="G17" s="824">
        <v>10</v>
      </c>
      <c r="H17" s="756"/>
      <c r="I17" s="1756">
        <f>F17/G17</f>
        <v>10362.700000000001</v>
      </c>
      <c r="J17" s="756"/>
      <c r="K17" s="782"/>
      <c r="L17" s="782"/>
    </row>
    <row r="18" spans="1:12" ht="14.25" thickTop="1" thickBot="1" x14ac:dyDescent="0.25">
      <c r="A18" s="1754" t="s">
        <v>685</v>
      </c>
      <c r="B18" s="1755"/>
      <c r="C18" s="758"/>
      <c r="D18" s="758"/>
      <c r="E18" s="758"/>
      <c r="F18" s="837"/>
      <c r="G18" s="838"/>
      <c r="H18" s="760"/>
      <c r="I18" s="1747">
        <f>SUM(I16,I17)</f>
        <v>1221475.7</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90" zoomScaleNormal="90" workbookViewId="0">
      <pane ySplit="5" topLeftCell="A132" activePane="bottomLeft" state="frozen"/>
      <selection activeCell="I13" sqref="I13:L13"/>
      <selection pane="bottomLeft" activeCell="I13" sqref="I13:L13"/>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409" t="s">
        <v>1972</v>
      </c>
      <c r="B1" s="2410"/>
      <c r="C1" s="2410"/>
      <c r="D1" s="2410"/>
      <c r="E1" s="2410"/>
      <c r="F1" s="2411"/>
      <c r="G1" s="842"/>
    </row>
    <row r="2" spans="1:7" ht="15" customHeight="1" thickBot="1" x14ac:dyDescent="0.25">
      <c r="A2" s="2412" t="s">
        <v>477</v>
      </c>
      <c r="B2" s="2413"/>
      <c r="C2" s="2413"/>
      <c r="D2" s="2413"/>
      <c r="E2" s="2413"/>
      <c r="F2" s="2414"/>
      <c r="G2" s="844"/>
    </row>
    <row r="3" spans="1:7" ht="5.25" customHeight="1" thickTop="1" x14ac:dyDescent="0.2">
      <c r="A3" s="845"/>
      <c r="B3" s="846"/>
      <c r="C3" s="847"/>
      <c r="D3" s="846"/>
      <c r="E3" s="847"/>
      <c r="F3" s="846"/>
      <c r="G3" s="846"/>
    </row>
    <row r="4" spans="1:7" ht="12.2" customHeight="1" x14ac:dyDescent="0.2">
      <c r="A4" s="848" t="s">
        <v>1077</v>
      </c>
      <c r="B4" s="849" t="s">
        <v>115</v>
      </c>
      <c r="D4" s="851" t="s">
        <v>511</v>
      </c>
      <c r="F4" s="849" t="s">
        <v>865</v>
      </c>
    </row>
    <row r="5" spans="1:7" ht="7.5" customHeight="1" x14ac:dyDescent="0.2">
      <c r="A5" s="2415"/>
      <c r="B5" s="2416"/>
      <c r="C5" s="2416"/>
      <c r="D5" s="2416"/>
      <c r="E5" s="2416"/>
      <c r="F5" s="2416"/>
    </row>
    <row r="6" spans="1:7" ht="13.5" customHeight="1" thickBot="1" x14ac:dyDescent="0.25">
      <c r="A6" s="2406" t="s">
        <v>1104</v>
      </c>
      <c r="B6" s="2407"/>
      <c r="C6" s="2407"/>
      <c r="D6" s="2407"/>
      <c r="E6" s="2407"/>
      <c r="F6" s="2408"/>
      <c r="G6" s="852"/>
    </row>
    <row r="7" spans="1:7" s="852" customFormat="1" ht="12" thickTop="1" x14ac:dyDescent="0.2">
      <c r="A7" s="853" t="s">
        <v>502</v>
      </c>
      <c r="B7" s="854"/>
      <c r="C7" s="855"/>
      <c r="D7" s="854"/>
      <c r="E7" s="855"/>
      <c r="F7" s="854"/>
    </row>
    <row r="8" spans="1:7" x14ac:dyDescent="0.2">
      <c r="A8" s="856" t="s">
        <v>459</v>
      </c>
      <c r="B8" s="857" t="s">
        <v>1468</v>
      </c>
      <c r="C8" s="858"/>
      <c r="D8" s="856" t="s">
        <v>501</v>
      </c>
      <c r="E8" s="855" t="s">
        <v>958</v>
      </c>
      <c r="F8" s="1895">
        <f>'Expenditures 15-22'!K114</f>
        <v>24214310</v>
      </c>
      <c r="G8" s="852"/>
    </row>
    <row r="9" spans="1:7" x14ac:dyDescent="0.2">
      <c r="A9" s="856" t="s">
        <v>460</v>
      </c>
      <c r="B9" s="857" t="s">
        <v>1874</v>
      </c>
      <c r="C9" s="858"/>
      <c r="D9" s="856" t="s">
        <v>501</v>
      </c>
      <c r="E9" s="855"/>
      <c r="F9" s="1896">
        <f>'Expenditures 15-22'!K151</f>
        <v>2598311</v>
      </c>
      <c r="G9" s="859"/>
    </row>
    <row r="10" spans="1:7" x14ac:dyDescent="0.2">
      <c r="A10" s="856" t="s">
        <v>499</v>
      </c>
      <c r="B10" s="857" t="s">
        <v>1875</v>
      </c>
      <c r="C10" s="858"/>
      <c r="D10" s="856" t="s">
        <v>501</v>
      </c>
      <c r="E10" s="855"/>
      <c r="F10" s="1896">
        <f>'Expenditures 15-22'!K174</f>
        <v>706225</v>
      </c>
      <c r="G10" s="859"/>
    </row>
    <row r="11" spans="1:7" x14ac:dyDescent="0.2">
      <c r="A11" s="856" t="s">
        <v>461</v>
      </c>
      <c r="B11" s="857" t="s">
        <v>1876</v>
      </c>
      <c r="C11" s="858"/>
      <c r="D11" s="856" t="s">
        <v>501</v>
      </c>
      <c r="E11" s="855"/>
      <c r="F11" s="1896">
        <f>'Expenditures 15-22'!K210</f>
        <v>1390778</v>
      </c>
      <c r="G11" s="859"/>
    </row>
    <row r="12" spans="1:7" x14ac:dyDescent="0.2">
      <c r="A12" s="856" t="s">
        <v>462</v>
      </c>
      <c r="B12" s="857" t="s">
        <v>1877</v>
      </c>
      <c r="C12" s="858"/>
      <c r="D12" s="856" t="s">
        <v>501</v>
      </c>
      <c r="E12" s="855"/>
      <c r="F12" s="1896">
        <f>'Expenditures 15-22'!K295</f>
        <v>938909</v>
      </c>
      <c r="G12" s="859"/>
    </row>
    <row r="13" spans="1:7" x14ac:dyDescent="0.2">
      <c r="A13" s="856" t="s">
        <v>106</v>
      </c>
      <c r="B13" s="857" t="s">
        <v>1878</v>
      </c>
      <c r="C13" s="858"/>
      <c r="D13" s="856" t="s">
        <v>501</v>
      </c>
      <c r="E13" s="855"/>
      <c r="F13" s="1896">
        <f>'Expenditures 15-22'!K342</f>
        <v>0</v>
      </c>
      <c r="G13" s="860"/>
    </row>
    <row r="14" spans="1:7" ht="12" customHeight="1" thickBot="1" x14ac:dyDescent="0.25">
      <c r="A14" s="1757"/>
      <c r="B14" s="1758"/>
      <c r="C14" s="1759"/>
      <c r="D14" s="1760" t="s">
        <v>501</v>
      </c>
      <c r="E14" s="1761" t="s">
        <v>958</v>
      </c>
      <c r="F14" s="1762">
        <f>SUM(F8:F13)</f>
        <v>29848533</v>
      </c>
      <c r="G14" s="852"/>
    </row>
    <row r="15" spans="1:7" ht="3.75" customHeight="1" thickTop="1" x14ac:dyDescent="0.2">
      <c r="A15" s="852"/>
      <c r="B15" s="852"/>
      <c r="C15" s="858"/>
      <c r="D15" s="852"/>
      <c r="E15" s="855"/>
      <c r="F15" s="852"/>
      <c r="G15" s="852"/>
    </row>
    <row r="16" spans="1:7" ht="12" customHeight="1" x14ac:dyDescent="0.2">
      <c r="A16" s="861" t="s">
        <v>512</v>
      </c>
      <c r="B16" s="231"/>
      <c r="C16" s="231"/>
      <c r="D16" s="854"/>
      <c r="E16" s="855"/>
      <c r="F16" s="854"/>
      <c r="G16" s="852"/>
    </row>
    <row r="17" spans="1:7" ht="4.5" customHeight="1" x14ac:dyDescent="0.2">
      <c r="A17" s="861"/>
      <c r="B17" s="231"/>
      <c r="C17" s="231"/>
      <c r="D17" s="854"/>
      <c r="E17" s="855"/>
      <c r="F17" s="854"/>
      <c r="G17" s="852"/>
    </row>
    <row r="18" spans="1:7" x14ac:dyDescent="0.2">
      <c r="A18" s="856" t="s">
        <v>461</v>
      </c>
      <c r="B18" s="857" t="s">
        <v>1010</v>
      </c>
      <c r="C18" s="862">
        <f>'Revenues 9-14'!B43</f>
        <v>1412</v>
      </c>
      <c r="D18" s="863" t="str">
        <f>'Revenues 9-14'!A43</f>
        <v>Regular - Transp Fees from Other Districts (In State)</v>
      </c>
      <c r="E18" s="855" t="s">
        <v>958</v>
      </c>
      <c r="F18" s="1897">
        <f>'Revenues 9-14'!F43</f>
        <v>0</v>
      </c>
      <c r="G18" s="852"/>
    </row>
    <row r="19" spans="1:7" x14ac:dyDescent="0.2">
      <c r="A19" s="856" t="s">
        <v>461</v>
      </c>
      <c r="B19" s="857" t="s">
        <v>1011</v>
      </c>
      <c r="C19" s="864">
        <f>'Revenues 9-14'!B47</f>
        <v>1421</v>
      </c>
      <c r="D19" s="865" t="str">
        <f>'Revenues 9-14'!A47</f>
        <v>Summer Sch - Transp. Fees from Pupils or Parents (In State)</v>
      </c>
      <c r="E19" s="866"/>
      <c r="F19" s="1898">
        <f>'Revenues 9-14'!F47</f>
        <v>0</v>
      </c>
      <c r="G19" s="852"/>
    </row>
    <row r="20" spans="1:7" x14ac:dyDescent="0.2">
      <c r="A20" s="856" t="s">
        <v>461</v>
      </c>
      <c r="B20" s="857" t="s">
        <v>1012</v>
      </c>
      <c r="C20" s="862">
        <f>'Revenues 9-14'!B48</f>
        <v>1422</v>
      </c>
      <c r="D20" s="863" t="str">
        <f>'Revenues 9-14'!A48</f>
        <v>Summer Sch - Transp. Fees from Other Districts (In State)</v>
      </c>
      <c r="E20" s="855"/>
      <c r="F20" s="1899">
        <f>'Revenues 9-14'!F48</f>
        <v>0</v>
      </c>
      <c r="G20" s="852"/>
    </row>
    <row r="21" spans="1:7" x14ac:dyDescent="0.2">
      <c r="A21" s="856" t="s">
        <v>461</v>
      </c>
      <c r="B21" s="857" t="s">
        <v>1013</v>
      </c>
      <c r="C21" s="864">
        <f>'Revenues 9-14'!B49</f>
        <v>1423</v>
      </c>
      <c r="D21" s="863" t="str">
        <f>'Revenues 9-14'!A49</f>
        <v>Summer Sch - Transp. Fees from Other Sources (In State)</v>
      </c>
      <c r="E21" s="855"/>
      <c r="F21" s="1900">
        <f>'Revenues 9-14'!F49</f>
        <v>0</v>
      </c>
      <c r="G21" s="852"/>
    </row>
    <row r="22" spans="1:7" x14ac:dyDescent="0.2">
      <c r="A22" s="856" t="s">
        <v>461</v>
      </c>
      <c r="B22" s="857" t="s">
        <v>1014</v>
      </c>
      <c r="C22" s="864">
        <f>'Revenues 9-14'!B50</f>
        <v>1424</v>
      </c>
      <c r="D22" s="863" t="str">
        <f>'Revenues 9-14'!A50</f>
        <v>Summer Sch - Transp. Fees from Other Sources (Out of State)</v>
      </c>
      <c r="E22" s="855"/>
      <c r="F22" s="1900">
        <f>'Revenues 9-14'!F50</f>
        <v>0</v>
      </c>
      <c r="G22" s="852"/>
    </row>
    <row r="23" spans="1:7" x14ac:dyDescent="0.2">
      <c r="A23" s="856" t="s">
        <v>461</v>
      </c>
      <c r="B23" s="857" t="s">
        <v>1015</v>
      </c>
      <c r="C23" s="862">
        <f>'Revenues 9-14'!B52</f>
        <v>1432</v>
      </c>
      <c r="D23" s="863" t="str">
        <f>'Revenues 9-14'!A52</f>
        <v>CTE - Transp Fees from Other Districts (In State)</v>
      </c>
      <c r="E23" s="855"/>
      <c r="F23" s="1900">
        <f>'Revenues 9-14'!F52</f>
        <v>0</v>
      </c>
      <c r="G23" s="852"/>
    </row>
    <row r="24" spans="1:7" x14ac:dyDescent="0.2">
      <c r="A24" s="856" t="s">
        <v>461</v>
      </c>
      <c r="B24" s="857" t="s">
        <v>1016</v>
      </c>
      <c r="C24" s="862">
        <f>'Revenues 9-14'!B56</f>
        <v>1442</v>
      </c>
      <c r="D24" s="863" t="str">
        <f>'Revenues 9-14'!A56</f>
        <v>Special Ed - Transp Fees from Other Districts (In State)</v>
      </c>
      <c r="E24" s="855"/>
      <c r="F24" s="1900">
        <f>'Revenues 9-14'!F56</f>
        <v>0</v>
      </c>
      <c r="G24" s="852"/>
    </row>
    <row r="25" spans="1:7" x14ac:dyDescent="0.2">
      <c r="A25" s="856" t="s">
        <v>461</v>
      </c>
      <c r="B25" s="857" t="s">
        <v>1017</v>
      </c>
      <c r="C25" s="862">
        <f>'Revenues 9-14'!B59</f>
        <v>1451</v>
      </c>
      <c r="D25" s="863" t="str">
        <f>'Revenues 9-14'!A59</f>
        <v>Adult - Transp Fees from Pupils or Parents (In State)</v>
      </c>
      <c r="E25" s="855"/>
      <c r="F25" s="1900">
        <f>'Revenues 9-14'!F59</f>
        <v>0</v>
      </c>
      <c r="G25" s="852"/>
    </row>
    <row r="26" spans="1:7" x14ac:dyDescent="0.2">
      <c r="A26" s="856" t="s">
        <v>461</v>
      </c>
      <c r="B26" s="857" t="s">
        <v>1018</v>
      </c>
      <c r="C26" s="862">
        <f>'Revenues 9-14'!B60</f>
        <v>1452</v>
      </c>
      <c r="D26" s="863" t="str">
        <f>'Revenues 9-14'!A60</f>
        <v>Adult - Transp Fees from Other Districts (In State)</v>
      </c>
      <c r="E26" s="855"/>
      <c r="F26" s="1900">
        <f>'Revenues 9-14'!F60</f>
        <v>0</v>
      </c>
      <c r="G26" s="852"/>
    </row>
    <row r="27" spans="1:7" x14ac:dyDescent="0.2">
      <c r="A27" s="856" t="s">
        <v>461</v>
      </c>
      <c r="B27" s="857" t="s">
        <v>1019</v>
      </c>
      <c r="C27" s="862">
        <f>'Revenues 9-14'!B61</f>
        <v>1453</v>
      </c>
      <c r="D27" s="863" t="str">
        <f>'Revenues 9-14'!A61</f>
        <v>Adult - Transp Fees from Other Sources (In State)</v>
      </c>
      <c r="E27" s="855"/>
      <c r="F27" s="1900">
        <f>'Revenues 9-14'!F61</f>
        <v>0</v>
      </c>
      <c r="G27" s="852"/>
    </row>
    <row r="28" spans="1:7" x14ac:dyDescent="0.2">
      <c r="A28" s="856" t="s">
        <v>461</v>
      </c>
      <c r="B28" s="857" t="s">
        <v>1020</v>
      </c>
      <c r="C28" s="862">
        <f>'Revenues 9-14'!B62</f>
        <v>1454</v>
      </c>
      <c r="D28" s="863" t="str">
        <f>'Revenues 9-14'!A62</f>
        <v>Adult - Transp Fees from Other Sources (Out of State)</v>
      </c>
      <c r="E28" s="855"/>
      <c r="F28" s="1900">
        <f>'Revenues 9-14'!F62</f>
        <v>0</v>
      </c>
      <c r="G28" s="852"/>
    </row>
    <row r="29" spans="1:7" x14ac:dyDescent="0.2">
      <c r="A29" s="856" t="s">
        <v>1097</v>
      </c>
      <c r="B29" s="857" t="s">
        <v>810</v>
      </c>
      <c r="C29" s="867">
        <f>'Revenues 9-14'!B149</f>
        <v>3410</v>
      </c>
      <c r="D29" s="868" t="str">
        <f>'Revenues 9-14'!A149</f>
        <v>Adult Ed (from ICCB)</v>
      </c>
      <c r="E29" s="855"/>
      <c r="F29" s="1900">
        <f>SUM('Revenues 9-14'!D149,'Revenues 9-14'!F149)</f>
        <v>0</v>
      </c>
      <c r="G29" s="852"/>
    </row>
    <row r="30" spans="1:7" x14ac:dyDescent="0.2">
      <c r="A30" s="856" t="s">
        <v>1097</v>
      </c>
      <c r="B30" s="857" t="s">
        <v>1996</v>
      </c>
      <c r="C30" s="867">
        <f>'Revenues 9-14'!B150</f>
        <v>3499</v>
      </c>
      <c r="D30" s="868" t="str">
        <f>'Revenues 9-14'!A150</f>
        <v>Adult Ed - Other (Describe &amp; Itemize)</v>
      </c>
      <c r="E30" s="855"/>
      <c r="F30" s="1901">
        <f>('Revenues 9-14'!D150+'Revenues 9-14'!F150)</f>
        <v>0</v>
      </c>
      <c r="G30" s="852"/>
    </row>
    <row r="31" spans="1:7" x14ac:dyDescent="0.2">
      <c r="A31" s="856" t="s">
        <v>1097</v>
      </c>
      <c r="B31" s="857" t="s">
        <v>1997</v>
      </c>
      <c r="C31" s="862">
        <f>'Revenues 9-14'!B211</f>
        <v>4600</v>
      </c>
      <c r="D31" s="870" t="str">
        <f>'Revenues 9-14'!A211</f>
        <v>Fed - Spec Education - Preschool Flow-Through</v>
      </c>
      <c r="E31" s="871"/>
      <c r="F31" s="1900">
        <f>SUM('Revenues 9-14'!D211,'Revenues 9-14'!F211)</f>
        <v>0</v>
      </c>
      <c r="G31" s="852"/>
    </row>
    <row r="32" spans="1:7" x14ac:dyDescent="0.2">
      <c r="A32" s="856" t="s">
        <v>1097</v>
      </c>
      <c r="B32" s="857" t="s">
        <v>1998</v>
      </c>
      <c r="C32" s="862">
        <f>'Revenues 9-14'!B212</f>
        <v>4605</v>
      </c>
      <c r="D32" s="872" t="str">
        <f>'Revenues 9-14'!A212</f>
        <v>Fed - Spec Education - Preschool Discretionary</v>
      </c>
      <c r="E32" s="871"/>
      <c r="F32" s="1900">
        <f>SUM('Revenues 9-14'!D212,'Revenues 9-14'!F212)</f>
        <v>0</v>
      </c>
      <c r="G32" s="852"/>
    </row>
    <row r="33" spans="1:7" x14ac:dyDescent="0.2">
      <c r="A33" s="856" t="s">
        <v>460</v>
      </c>
      <c r="B33" s="857" t="s">
        <v>1999</v>
      </c>
      <c r="C33" s="862">
        <f>'Revenues 9-14'!B222</f>
        <v>4810</v>
      </c>
      <c r="D33" s="870" t="str">
        <f>'Revenues 9-14'!A222</f>
        <v>Federal - Adult Education</v>
      </c>
      <c r="E33" s="855"/>
      <c r="F33" s="1900">
        <f>'Revenues 9-14'!D222</f>
        <v>0</v>
      </c>
      <c r="G33" s="852"/>
    </row>
    <row r="34" spans="1:7" x14ac:dyDescent="0.2">
      <c r="A34" s="856" t="s">
        <v>459</v>
      </c>
      <c r="B34" s="856" t="s">
        <v>1469</v>
      </c>
      <c r="C34" s="873" t="str">
        <f>'Expenditures 15-22'!B7</f>
        <v>1125</v>
      </c>
      <c r="D34" s="874" t="str">
        <f>'Expenditures 15-22'!A7</f>
        <v>Pre-K Programs</v>
      </c>
      <c r="E34" s="855"/>
      <c r="F34" s="1900">
        <f>'Expenditures 15-22'!K7-SUM('Expenditures 15-22'!G7,'Expenditures 15-22'!I7)</f>
        <v>0</v>
      </c>
      <c r="G34" s="852"/>
    </row>
    <row r="35" spans="1:7" x14ac:dyDescent="0.2">
      <c r="A35" s="856" t="s">
        <v>459</v>
      </c>
      <c r="B35" s="856" t="s">
        <v>1470</v>
      </c>
      <c r="C35" s="873" t="str">
        <f>'Expenditures 15-22'!B9</f>
        <v>1225</v>
      </c>
      <c r="D35" s="874" t="str">
        <f>'Expenditures 15-22'!A9</f>
        <v>Special Education Programs Pre-K</v>
      </c>
      <c r="E35" s="855"/>
      <c r="F35" s="1900">
        <f>'Expenditures 15-22'!K9-SUM('Expenditures 15-22'!G9+'Expenditures 15-22'!I9)</f>
        <v>0</v>
      </c>
      <c r="G35" s="852"/>
    </row>
    <row r="36" spans="1:7" x14ac:dyDescent="0.2">
      <c r="A36" s="856" t="s">
        <v>459</v>
      </c>
      <c r="B36" s="856" t="s">
        <v>116</v>
      </c>
      <c r="C36" s="873" t="str">
        <f>'Expenditures 15-22'!B11</f>
        <v>1275</v>
      </c>
      <c r="D36" s="874" t="str">
        <f>'Expenditures 15-22'!A11</f>
        <v>Remedial and Supplemental Programs Pre-K</v>
      </c>
      <c r="E36" s="855"/>
      <c r="F36" s="1900">
        <f>'Expenditures 15-22'!K11-SUM('Expenditures 15-22'!G11,'Expenditures 15-22'!I11)</f>
        <v>0</v>
      </c>
      <c r="G36" s="852"/>
    </row>
    <row r="37" spans="1:7" x14ac:dyDescent="0.2">
      <c r="A37" s="856" t="s">
        <v>459</v>
      </c>
      <c r="B37" s="856" t="s">
        <v>1471</v>
      </c>
      <c r="C37" s="873">
        <f>'Expenditures 15-22'!B12</f>
        <v>1300</v>
      </c>
      <c r="D37" s="875" t="str">
        <f>'Expenditures 15-22'!A12</f>
        <v>Adult/Continuing Education Programs</v>
      </c>
      <c r="E37" s="855"/>
      <c r="F37" s="1900">
        <f>'Expenditures 15-22'!K12-SUM('Expenditures 15-22'!G12+'Expenditures 15-22'!I12)</f>
        <v>0</v>
      </c>
      <c r="G37" s="852"/>
    </row>
    <row r="38" spans="1:7" x14ac:dyDescent="0.2">
      <c r="A38" s="856" t="s">
        <v>459</v>
      </c>
      <c r="B38" s="856" t="s">
        <v>1472</v>
      </c>
      <c r="C38" s="873">
        <f>'Expenditures 15-22'!B15</f>
        <v>1600</v>
      </c>
      <c r="D38" s="875" t="str">
        <f>'Expenditures 15-22'!A15</f>
        <v>Summer School Programs</v>
      </c>
      <c r="E38" s="855"/>
      <c r="F38" s="1900">
        <f>'Expenditures 15-22'!K15-SUM('Expenditures 15-22'!G15,'Expenditures 15-22'!I15)</f>
        <v>69729</v>
      </c>
      <c r="G38" s="852"/>
    </row>
    <row r="39" spans="1:7" x14ac:dyDescent="0.2">
      <c r="A39" s="856" t="s">
        <v>459</v>
      </c>
      <c r="B39" s="856" t="s">
        <v>117</v>
      </c>
      <c r="C39" s="873" t="str">
        <f>'Expenditures 15-22'!B20</f>
        <v>1910</v>
      </c>
      <c r="D39" s="875" t="str">
        <f>'Expenditures 15-22'!A20</f>
        <v>Pre-K Programs - Private Tuition</v>
      </c>
      <c r="E39" s="855"/>
      <c r="F39" s="1900">
        <f>'Expenditures 15-22'!K20</f>
        <v>0</v>
      </c>
      <c r="G39" s="852"/>
    </row>
    <row r="40" spans="1:7" x14ac:dyDescent="0.2">
      <c r="A40" s="856" t="s">
        <v>459</v>
      </c>
      <c r="B40" s="856" t="s">
        <v>118</v>
      </c>
      <c r="C40" s="873" t="str">
        <f>'Expenditures 15-22'!B21</f>
        <v>1911</v>
      </c>
      <c r="D40" s="875" t="str">
        <f>'Expenditures 15-22'!A21</f>
        <v>Regular K-12 Programs - Private Tuition</v>
      </c>
      <c r="E40" s="855"/>
      <c r="F40" s="1900">
        <f>'Expenditures 15-22'!K21</f>
        <v>0</v>
      </c>
      <c r="G40" s="852"/>
    </row>
    <row r="41" spans="1:7" x14ac:dyDescent="0.2">
      <c r="A41" s="856" t="s">
        <v>459</v>
      </c>
      <c r="B41" s="856" t="s">
        <v>119</v>
      </c>
      <c r="C41" s="873" t="str">
        <f>'Expenditures 15-22'!B22</f>
        <v>1912</v>
      </c>
      <c r="D41" s="875" t="str">
        <f>'Expenditures 15-22'!A22</f>
        <v>Special Education Programs K-12 - Private Tuition</v>
      </c>
      <c r="E41" s="855"/>
      <c r="F41" s="1900">
        <f>'Expenditures 15-22'!K22</f>
        <v>427009</v>
      </c>
      <c r="G41" s="852"/>
    </row>
    <row r="42" spans="1:7" x14ac:dyDescent="0.2">
      <c r="A42" s="856" t="s">
        <v>459</v>
      </c>
      <c r="B42" s="856" t="s">
        <v>120</v>
      </c>
      <c r="C42" s="876" t="str">
        <f>'Expenditures 15-22'!B23</f>
        <v>1913</v>
      </c>
      <c r="D42" s="875" t="str">
        <f>'Expenditures 15-22'!A23</f>
        <v>Special Education Programs Pre-K - Tuition</v>
      </c>
      <c r="E42" s="855"/>
      <c r="F42" s="1900">
        <f>'Expenditures 15-22'!K23</f>
        <v>0</v>
      </c>
      <c r="G42" s="852"/>
    </row>
    <row r="43" spans="1:7" x14ac:dyDescent="0.2">
      <c r="A43" s="856" t="s">
        <v>459</v>
      </c>
      <c r="B43" s="856" t="s">
        <v>121</v>
      </c>
      <c r="C43" s="873" t="str">
        <f>'Expenditures 15-22'!B24</f>
        <v>1914</v>
      </c>
      <c r="D43" s="875" t="str">
        <f>'Expenditures 15-22'!A24</f>
        <v>Remedial/Supplemental Programs K-12 - Private Tuition</v>
      </c>
      <c r="E43" s="855"/>
      <c r="F43" s="1900">
        <f>'Expenditures 15-22'!K24</f>
        <v>0</v>
      </c>
      <c r="G43" s="852"/>
    </row>
    <row r="44" spans="1:7" x14ac:dyDescent="0.2">
      <c r="A44" s="856" t="s">
        <v>459</v>
      </c>
      <c r="B44" s="856" t="s">
        <v>122</v>
      </c>
      <c r="C44" s="876" t="str">
        <f>'Expenditures 15-22'!B25</f>
        <v>1915</v>
      </c>
      <c r="D44" s="875" t="str">
        <f>'Expenditures 15-22'!A25</f>
        <v>Remedial/Supplemental Programs Pre-K - Private Tuition</v>
      </c>
      <c r="E44" s="855"/>
      <c r="F44" s="1900">
        <f>'Expenditures 15-22'!K25</f>
        <v>0</v>
      </c>
      <c r="G44" s="852"/>
    </row>
    <row r="45" spans="1:7" x14ac:dyDescent="0.2">
      <c r="A45" s="856" t="s">
        <v>459</v>
      </c>
      <c r="B45" s="856" t="s">
        <v>123</v>
      </c>
      <c r="C45" s="876" t="str">
        <f>'Expenditures 15-22'!B26</f>
        <v>1916</v>
      </c>
      <c r="D45" s="875" t="str">
        <f>'Expenditures 15-22'!A26</f>
        <v>Adult/Continuing Education Programs - Private Tuition</v>
      </c>
      <c r="E45" s="855"/>
      <c r="F45" s="1900">
        <f>'Expenditures 15-22'!K26</f>
        <v>0</v>
      </c>
      <c r="G45" s="852"/>
    </row>
    <row r="46" spans="1:7" x14ac:dyDescent="0.2">
      <c r="A46" s="856" t="s">
        <v>459</v>
      </c>
      <c r="B46" s="856" t="s">
        <v>124</v>
      </c>
      <c r="C46" s="873" t="str">
        <f>'Expenditures 15-22'!B27</f>
        <v>1917</v>
      </c>
      <c r="D46" s="875" t="str">
        <f>'Expenditures 15-22'!A27</f>
        <v>CTE Programs - Private Tuition</v>
      </c>
      <c r="E46" s="855"/>
      <c r="F46" s="1900">
        <f>'Expenditures 15-22'!K27</f>
        <v>0</v>
      </c>
      <c r="G46" s="852"/>
    </row>
    <row r="47" spans="1:7" x14ac:dyDescent="0.2">
      <c r="A47" s="856" t="s">
        <v>459</v>
      </c>
      <c r="B47" s="856" t="s">
        <v>125</v>
      </c>
      <c r="C47" s="877" t="str">
        <f>'Expenditures 15-22'!B28</f>
        <v>1918</v>
      </c>
      <c r="D47" s="878" t="str">
        <f>'Expenditures 15-22'!A28</f>
        <v>Interscholastic Programs - Private Tuition</v>
      </c>
      <c r="E47" s="855"/>
      <c r="F47" s="1900">
        <f>'Expenditures 15-22'!K28</f>
        <v>0</v>
      </c>
      <c r="G47" s="852"/>
    </row>
    <row r="48" spans="1:7" x14ac:dyDescent="0.2">
      <c r="A48" s="856" t="s">
        <v>459</v>
      </c>
      <c r="B48" s="856" t="s">
        <v>126</v>
      </c>
      <c r="C48" s="876" t="str">
        <f>'Expenditures 15-22'!B29</f>
        <v>1919</v>
      </c>
      <c r="D48" s="875" t="str">
        <f>'Expenditures 15-22'!A29</f>
        <v>Summer School Programs - Private Tuition</v>
      </c>
      <c r="E48" s="855"/>
      <c r="F48" s="1900">
        <f>'Expenditures 15-22'!K29</f>
        <v>0</v>
      </c>
      <c r="G48" s="852"/>
    </row>
    <row r="49" spans="1:7" x14ac:dyDescent="0.2">
      <c r="A49" s="856" t="s">
        <v>459</v>
      </c>
      <c r="B49" s="856" t="s">
        <v>127</v>
      </c>
      <c r="C49" s="873" t="str">
        <f>'Expenditures 15-22'!B30</f>
        <v>1920</v>
      </c>
      <c r="D49" s="875" t="str">
        <f>'Expenditures 15-22'!A30</f>
        <v>Gifted Programs - Private Tuition</v>
      </c>
      <c r="E49" s="855"/>
      <c r="F49" s="1900">
        <f>'Expenditures 15-22'!K30</f>
        <v>0</v>
      </c>
      <c r="G49" s="852"/>
    </row>
    <row r="50" spans="1:7" x14ac:dyDescent="0.2">
      <c r="A50" s="856" t="s">
        <v>459</v>
      </c>
      <c r="B50" s="856" t="s">
        <v>128</v>
      </c>
      <c r="C50" s="873" t="str">
        <f>'Expenditures 15-22'!B31</f>
        <v>1921</v>
      </c>
      <c r="D50" s="875" t="str">
        <f>'Expenditures 15-22'!A31</f>
        <v>Bilingual Programs - Private Tuition</v>
      </c>
      <c r="E50" s="855"/>
      <c r="F50" s="1900">
        <f>'Expenditures 15-22'!K31</f>
        <v>0</v>
      </c>
      <c r="G50" s="852"/>
    </row>
    <row r="51" spans="1:7" x14ac:dyDescent="0.2">
      <c r="A51" s="856" t="s">
        <v>459</v>
      </c>
      <c r="B51" s="856" t="s">
        <v>1473</v>
      </c>
      <c r="C51" s="873" t="str">
        <f>'Expenditures 15-22'!B32</f>
        <v>1922</v>
      </c>
      <c r="D51" s="875" t="str">
        <f>'Expenditures 15-22'!A32</f>
        <v>Truants Alternative/Optional Ed Progms - Private Tuition</v>
      </c>
      <c r="E51" s="855"/>
      <c r="F51" s="1900">
        <f>'Expenditures 15-22'!K32</f>
        <v>0</v>
      </c>
      <c r="G51" s="852"/>
    </row>
    <row r="52" spans="1:7" x14ac:dyDescent="0.2">
      <c r="A52" s="856" t="s">
        <v>459</v>
      </c>
      <c r="B52" s="856" t="s">
        <v>1474</v>
      </c>
      <c r="C52" s="876" t="str">
        <f>'Expenditures 15-22'!B75</f>
        <v>3000</v>
      </c>
      <c r="D52" s="875" t="s">
        <v>449</v>
      </c>
      <c r="E52" s="855"/>
      <c r="F52" s="1900">
        <f>'Expenditures 15-22'!K75-SUM('Expenditures 15-22'!G75,'Expenditures 15-22'!I75)</f>
        <v>3264</v>
      </c>
      <c r="G52" s="852"/>
    </row>
    <row r="53" spans="1:7" x14ac:dyDescent="0.2">
      <c r="A53" s="856" t="s">
        <v>459</v>
      </c>
      <c r="B53" s="856" t="s">
        <v>1475</v>
      </c>
      <c r="C53" s="876">
        <f>'Expenditures 15-22'!B102</f>
        <v>4000</v>
      </c>
      <c r="D53" s="875" t="str">
        <f>'Expenditures 15-22'!A102</f>
        <v>Total Payments to Other Govt Units</v>
      </c>
      <c r="E53" s="855"/>
      <c r="F53" s="1900">
        <f>'Expenditures 15-22'!K102</f>
        <v>1467546</v>
      </c>
      <c r="G53" s="852"/>
    </row>
    <row r="54" spans="1:7" x14ac:dyDescent="0.2">
      <c r="A54" s="856" t="s">
        <v>459</v>
      </c>
      <c r="B54" s="856" t="s">
        <v>1476</v>
      </c>
      <c r="C54" s="876" t="s">
        <v>982</v>
      </c>
      <c r="D54" s="872" t="s">
        <v>1095</v>
      </c>
      <c r="E54" s="855"/>
      <c r="F54" s="1900">
        <f>'Expenditures 15-22'!G114</f>
        <v>124384</v>
      </c>
      <c r="G54" s="852"/>
    </row>
    <row r="55" spans="1:7" x14ac:dyDescent="0.2">
      <c r="A55" s="856" t="s">
        <v>459</v>
      </c>
      <c r="B55" s="856" t="s">
        <v>1477</v>
      </c>
      <c r="C55" s="876" t="s">
        <v>982</v>
      </c>
      <c r="D55" s="872" t="s">
        <v>291</v>
      </c>
      <c r="E55" s="855"/>
      <c r="F55" s="1900">
        <f>'Expenditures 15-22'!I114</f>
        <v>103627</v>
      </c>
      <c r="G55" s="852"/>
    </row>
    <row r="56" spans="1:7" x14ac:dyDescent="0.2">
      <c r="A56" s="856" t="s">
        <v>460</v>
      </c>
      <c r="B56" s="856" t="s">
        <v>1478</v>
      </c>
      <c r="C56" s="873" t="str">
        <f>'Expenditures 15-22'!B130</f>
        <v>3000</v>
      </c>
      <c r="D56" s="879" t="s">
        <v>449</v>
      </c>
      <c r="E56" s="855"/>
      <c r="F56" s="1900">
        <f>'Expenditures 15-22'!K130-SUM('Expenditures 15-22'!G130+'Expenditures 15-22'!I130)</f>
        <v>0</v>
      </c>
      <c r="G56" s="852"/>
    </row>
    <row r="57" spans="1:7" x14ac:dyDescent="0.2">
      <c r="A57" s="856" t="s">
        <v>460</v>
      </c>
      <c r="B57" s="856" t="s">
        <v>1879</v>
      </c>
      <c r="C57" s="876">
        <f>'Expenditures 15-22'!B139</f>
        <v>4000</v>
      </c>
      <c r="D57" s="874" t="str">
        <f>'Expenditures 15-22'!A139</f>
        <v>Total Payments to Other Govt Units</v>
      </c>
      <c r="E57" s="855"/>
      <c r="F57" s="1900">
        <f>'Expenditures 15-22'!K139</f>
        <v>20554</v>
      </c>
      <c r="G57" s="852"/>
    </row>
    <row r="58" spans="1:7" x14ac:dyDescent="0.2">
      <c r="A58" s="856" t="s">
        <v>460</v>
      </c>
      <c r="B58" s="856" t="s">
        <v>1880</v>
      </c>
      <c r="C58" s="873" t="s">
        <v>982</v>
      </c>
      <c r="D58" s="872" t="s">
        <v>1095</v>
      </c>
      <c r="E58" s="855"/>
      <c r="F58" s="1902">
        <f>'Expenditures 15-22'!G151</f>
        <v>11541</v>
      </c>
      <c r="G58" s="852"/>
    </row>
    <row r="59" spans="1:7" x14ac:dyDescent="0.2">
      <c r="A59" s="880" t="s">
        <v>460</v>
      </c>
      <c r="B59" s="843" t="s">
        <v>1881</v>
      </c>
      <c r="C59" s="881" t="s">
        <v>982</v>
      </c>
      <c r="D59" s="843" t="s">
        <v>291</v>
      </c>
      <c r="F59" s="1903">
        <f>'Expenditures 15-22'!I151</f>
        <v>0</v>
      </c>
      <c r="G59" s="852"/>
    </row>
    <row r="60" spans="1:7" x14ac:dyDescent="0.2">
      <c r="A60" s="880" t="s">
        <v>499</v>
      </c>
      <c r="B60" s="843" t="s">
        <v>1882</v>
      </c>
      <c r="C60" s="881">
        <v>4000</v>
      </c>
      <c r="D60" s="843" t="s">
        <v>312</v>
      </c>
      <c r="F60" s="1901">
        <f>'Expenditures 15-22'!K160</f>
        <v>0</v>
      </c>
      <c r="G60" s="852"/>
    </row>
    <row r="61" spans="1:7" x14ac:dyDescent="0.2">
      <c r="A61" s="882" t="s">
        <v>499</v>
      </c>
      <c r="B61" s="882" t="s">
        <v>1883</v>
      </c>
      <c r="C61" s="883" t="str">
        <f>'Expenditures 15-22'!B170</f>
        <v>5300</v>
      </c>
      <c r="D61" s="884" t="s">
        <v>311</v>
      </c>
      <c r="E61" s="866"/>
      <c r="F61" s="1900">
        <f>'Expenditures 15-22'!K170</f>
        <v>405000</v>
      </c>
      <c r="G61" s="852"/>
    </row>
    <row r="62" spans="1:7" x14ac:dyDescent="0.2">
      <c r="A62" s="856" t="s">
        <v>461</v>
      </c>
      <c r="B62" s="856" t="s">
        <v>1884</v>
      </c>
      <c r="C62" s="873">
        <f>'Expenditures 15-22'!B185</f>
        <v>3000</v>
      </c>
      <c r="D62" s="863" t="s">
        <v>449</v>
      </c>
      <c r="E62" s="855"/>
      <c r="F62" s="1900">
        <f>'Expenditures 15-22'!K185-SUM('Expenditures 15-22'!G185,'Expenditures 15-22'!I185)</f>
        <v>0</v>
      </c>
      <c r="G62" s="852"/>
    </row>
    <row r="63" spans="1:7" x14ac:dyDescent="0.2">
      <c r="A63" s="856" t="s">
        <v>461</v>
      </c>
      <c r="B63" s="856" t="s">
        <v>1885</v>
      </c>
      <c r="C63" s="873" t="str">
        <f>'Expenditures 15-22'!B196</f>
        <v>4000</v>
      </c>
      <c r="D63" s="874" t="str">
        <f>'Expenditures 15-22'!A196</f>
        <v>Total Payments to Other Govt Units</v>
      </c>
      <c r="E63" s="855"/>
      <c r="F63" s="1900">
        <f>'Expenditures 15-22'!K196</f>
        <v>0</v>
      </c>
      <c r="G63" s="852"/>
    </row>
    <row r="64" spans="1:7" x14ac:dyDescent="0.2">
      <c r="A64" s="882" t="s">
        <v>461</v>
      </c>
      <c r="B64" s="882" t="s">
        <v>1886</v>
      </c>
      <c r="C64" s="883" t="str">
        <f>'Expenditures 15-22'!B206</f>
        <v>5300</v>
      </c>
      <c r="D64" s="879" t="s">
        <v>311</v>
      </c>
      <c r="E64" s="855"/>
      <c r="F64" s="1900">
        <f>'Expenditures 15-22'!K206</f>
        <v>0</v>
      </c>
      <c r="G64" s="852"/>
    </row>
    <row r="65" spans="1:8" x14ac:dyDescent="0.2">
      <c r="A65" s="856" t="s">
        <v>461</v>
      </c>
      <c r="B65" s="856" t="s">
        <v>1887</v>
      </c>
      <c r="C65" s="873" t="s">
        <v>982</v>
      </c>
      <c r="D65" s="872" t="s">
        <v>1095</v>
      </c>
      <c r="E65" s="855"/>
      <c r="F65" s="1900">
        <f>'Expenditures 15-22'!G210</f>
        <v>0</v>
      </c>
      <c r="G65" s="852"/>
    </row>
    <row r="66" spans="1:8" x14ac:dyDescent="0.2">
      <c r="A66" s="856" t="s">
        <v>461</v>
      </c>
      <c r="B66" s="856" t="s">
        <v>1888</v>
      </c>
      <c r="C66" s="873" t="s">
        <v>982</v>
      </c>
      <c r="D66" s="872" t="s">
        <v>291</v>
      </c>
      <c r="E66" s="855"/>
      <c r="F66" s="1900">
        <f>'Expenditures 15-22'!I210</f>
        <v>0</v>
      </c>
      <c r="G66" s="852"/>
    </row>
    <row r="67" spans="1:8" x14ac:dyDescent="0.2">
      <c r="A67" s="856" t="s">
        <v>462</v>
      </c>
      <c r="B67" s="856" t="s">
        <v>1889</v>
      </c>
      <c r="C67" s="873" t="str">
        <f>'Expenditures 15-22'!B216</f>
        <v>1125</v>
      </c>
      <c r="D67" s="879" t="str">
        <f>'Expenditures 15-22'!A216</f>
        <v>Pre-K Programs</v>
      </c>
      <c r="E67" s="855"/>
      <c r="F67" s="1900">
        <f>'Expenditures 15-22'!K216</f>
        <v>0</v>
      </c>
      <c r="G67" s="852"/>
    </row>
    <row r="68" spans="1:8" x14ac:dyDescent="0.2">
      <c r="A68" s="856" t="s">
        <v>462</v>
      </c>
      <c r="B68" s="856" t="s">
        <v>1479</v>
      </c>
      <c r="C68" s="873" t="str">
        <f>'Expenditures 15-22'!B218</f>
        <v>1225</v>
      </c>
      <c r="D68" s="879" t="str">
        <f>'Expenditures 15-22'!A218</f>
        <v>Special Education Programs - Pre-K</v>
      </c>
      <c r="E68" s="855"/>
      <c r="F68" s="1900">
        <f>'Expenditures 15-22'!K218</f>
        <v>0</v>
      </c>
      <c r="G68" s="852"/>
    </row>
    <row r="69" spans="1:8" x14ac:dyDescent="0.2">
      <c r="A69" s="856" t="s">
        <v>462</v>
      </c>
      <c r="B69" s="856" t="s">
        <v>1890</v>
      </c>
      <c r="C69" s="873" t="str">
        <f>'Expenditures 15-22'!B220</f>
        <v>1275</v>
      </c>
      <c r="D69" s="879" t="str">
        <f>'Expenditures 15-22'!A220</f>
        <v>Remedial and Supplemental Programs - Pre-K</v>
      </c>
      <c r="E69" s="855"/>
      <c r="F69" s="1900">
        <f>'Expenditures 15-22'!K220</f>
        <v>0</v>
      </c>
      <c r="G69" s="852"/>
    </row>
    <row r="70" spans="1:8" x14ac:dyDescent="0.2">
      <c r="A70" s="856" t="s">
        <v>462</v>
      </c>
      <c r="B70" s="856" t="s">
        <v>1891</v>
      </c>
      <c r="C70" s="873">
        <f>'Expenditures 15-22'!B221</f>
        <v>1300</v>
      </c>
      <c r="D70" s="874" t="str">
        <f>'Expenditures 15-22'!A221</f>
        <v>Adult/Continuing Education Programs</v>
      </c>
      <c r="E70" s="855"/>
      <c r="F70" s="1900">
        <f>'Expenditures 15-22'!K221</f>
        <v>0</v>
      </c>
      <c r="G70" s="852"/>
    </row>
    <row r="71" spans="1:8" x14ac:dyDescent="0.2">
      <c r="A71" s="856" t="s">
        <v>462</v>
      </c>
      <c r="B71" s="856" t="s">
        <v>1892</v>
      </c>
      <c r="C71" s="873">
        <f>'Expenditures 15-22'!B224</f>
        <v>1600</v>
      </c>
      <c r="D71" s="874" t="str">
        <f>'Expenditures 15-22'!A224</f>
        <v>Summer School Programs</v>
      </c>
      <c r="E71" s="855"/>
      <c r="F71" s="1900">
        <f>'Expenditures 15-22'!K224</f>
        <v>2049</v>
      </c>
      <c r="G71" s="852"/>
    </row>
    <row r="72" spans="1:8" x14ac:dyDescent="0.2">
      <c r="A72" s="856" t="s">
        <v>462</v>
      </c>
      <c r="B72" s="856" t="s">
        <v>1893</v>
      </c>
      <c r="C72" s="873">
        <f>'Expenditures 15-22'!B280</f>
        <v>3000</v>
      </c>
      <c r="D72" s="863" t="s">
        <v>449</v>
      </c>
      <c r="E72" s="855"/>
      <c r="F72" s="1900">
        <f>'Expenditures 15-22'!K280</f>
        <v>0</v>
      </c>
      <c r="G72" s="852"/>
    </row>
    <row r="73" spans="1:8" x14ac:dyDescent="0.2">
      <c r="A73" s="856" t="s">
        <v>462</v>
      </c>
      <c r="B73" s="856" t="s">
        <v>1894</v>
      </c>
      <c r="C73" s="873" t="str">
        <f>'Expenditures 15-22'!B285</f>
        <v>4000</v>
      </c>
      <c r="D73" s="874" t="str">
        <f>'Expenditures 15-22'!A285</f>
        <v>Total Payments to Other Govt Units</v>
      </c>
      <c r="E73" s="855"/>
      <c r="F73" s="1900">
        <f>'Expenditures 15-22'!K285</f>
        <v>0</v>
      </c>
      <c r="G73" s="852"/>
    </row>
    <row r="74" spans="1:8" x14ac:dyDescent="0.2">
      <c r="A74" s="856" t="s">
        <v>436</v>
      </c>
      <c r="B74" s="856" t="s">
        <v>1895</v>
      </c>
      <c r="C74" s="873" t="s">
        <v>860</v>
      </c>
      <c r="D74" s="874" t="s">
        <v>1487</v>
      </c>
      <c r="E74" s="855"/>
      <c r="F74" s="1904">
        <f>'Expenditures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1896</v>
      </c>
      <c r="E76" s="1761" t="s">
        <v>958</v>
      </c>
      <c r="F76" s="1765">
        <f>SUM(F18:F74)</f>
        <v>2634703</v>
      </c>
      <c r="G76" s="852"/>
    </row>
    <row r="77" spans="1:8" s="880" customFormat="1" ht="12" customHeight="1" thickTop="1" thickBot="1" x14ac:dyDescent="0.25">
      <c r="A77" s="1766"/>
      <c r="B77" s="1763"/>
      <c r="C77" s="1759"/>
      <c r="D77" s="1764" t="s">
        <v>1897</v>
      </c>
      <c r="E77" s="1761"/>
      <c r="F77" s="1767">
        <f>(F14-F76)</f>
        <v>27213830</v>
      </c>
      <c r="G77" s="856"/>
    </row>
    <row r="78" spans="1:8" s="880" customFormat="1" ht="12" customHeight="1" thickTop="1" x14ac:dyDescent="0.2">
      <c r="A78" s="1768"/>
      <c r="B78" s="1763"/>
      <c r="C78" s="1759"/>
      <c r="D78" s="1764" t="s">
        <v>2059</v>
      </c>
      <c r="E78" s="1761"/>
      <c r="F78" s="885">
        <v>1287.4000000000001</v>
      </c>
      <c r="G78" s="886"/>
      <c r="H78" s="856"/>
    </row>
    <row r="79" spans="1:8" s="880" customFormat="1" ht="12" customHeight="1" thickBot="1" x14ac:dyDescent="0.25">
      <c r="A79" s="1769"/>
      <c r="B79" s="1763"/>
      <c r="C79" s="1759"/>
      <c r="D79" s="1764" t="s">
        <v>1898</v>
      </c>
      <c r="E79" s="1761" t="s">
        <v>958</v>
      </c>
      <c r="F79" s="1770">
        <f>IF(F78&gt;0,F77/F78," Complete Line 78")</f>
        <v>21138.597172595928</v>
      </c>
      <c r="G79" s="856"/>
    </row>
    <row r="80" spans="1:8" s="880" customFormat="1" ht="8.25" customHeight="1" thickTop="1" x14ac:dyDescent="0.2">
      <c r="A80" s="887"/>
      <c r="B80" s="856"/>
      <c r="C80" s="858"/>
      <c r="D80" s="888"/>
      <c r="E80" s="855"/>
      <c r="F80" s="889"/>
      <c r="G80" s="856"/>
    </row>
    <row r="81" spans="1:7" s="880" customFormat="1" ht="12" thickBot="1" x14ac:dyDescent="0.25">
      <c r="A81" s="2406" t="s">
        <v>1105</v>
      </c>
      <c r="B81" s="2407"/>
      <c r="C81" s="2407"/>
      <c r="D81" s="2407"/>
      <c r="E81" s="2407"/>
      <c r="F81" s="2408"/>
      <c r="G81" s="856"/>
    </row>
    <row r="82" spans="1:7" s="880" customFormat="1" ht="5.25" customHeight="1" thickTop="1" x14ac:dyDescent="0.2">
      <c r="A82" s="856"/>
      <c r="B82" s="856"/>
      <c r="C82" s="858"/>
      <c r="D82" s="856"/>
      <c r="E82" s="858"/>
      <c r="F82" s="856"/>
      <c r="G82" s="890"/>
    </row>
    <row r="83" spans="1:7" ht="12" customHeight="1" x14ac:dyDescent="0.2">
      <c r="A83" s="891" t="s">
        <v>813</v>
      </c>
      <c r="B83" s="892"/>
      <c r="C83" s="893"/>
      <c r="D83" s="894"/>
      <c r="E83" s="893"/>
      <c r="F83" s="892"/>
      <c r="G83" s="892"/>
    </row>
    <row r="84" spans="1:7" x14ac:dyDescent="0.2">
      <c r="A84" s="895" t="s">
        <v>461</v>
      </c>
      <c r="B84" s="896" t="s">
        <v>146</v>
      </c>
      <c r="C84" s="897">
        <f>'Revenues 9-14'!B42</f>
        <v>1411</v>
      </c>
      <c r="D84" s="898" t="str">
        <f>'Revenues 9-14'!A42</f>
        <v>Regular -Transp Fees from Pupils or Parents (In State)</v>
      </c>
      <c r="E84" s="893" t="s">
        <v>958</v>
      </c>
      <c r="F84" s="1894">
        <f>'Revenues 9-14'!F42</f>
        <v>0</v>
      </c>
      <c r="G84" s="899"/>
    </row>
    <row r="85" spans="1:7" x14ac:dyDescent="0.2">
      <c r="A85" s="895" t="s">
        <v>461</v>
      </c>
      <c r="B85" s="895" t="s">
        <v>183</v>
      </c>
      <c r="C85" s="900">
        <f>'Revenues 9-14'!B44</f>
        <v>1413</v>
      </c>
      <c r="D85" s="898" t="str">
        <f>'Revenues 9-14'!A44</f>
        <v>Regular - Transp Fees from Other Sources (In State)</v>
      </c>
      <c r="E85" s="893"/>
      <c r="F85" s="1776">
        <f>'Revenues 9-14'!F44</f>
        <v>0</v>
      </c>
      <c r="G85" s="901"/>
    </row>
    <row r="86" spans="1:7" x14ac:dyDescent="0.2">
      <c r="A86" s="895" t="s">
        <v>461</v>
      </c>
      <c r="B86" s="895" t="s">
        <v>166</v>
      </c>
      <c r="C86" s="897">
        <f>'Revenues 9-14'!B45</f>
        <v>1415</v>
      </c>
      <c r="D86" s="898" t="str">
        <f>'Revenues 9-14'!A45</f>
        <v>Regular - Transp Fees from Co-curricular Activities (In State)</v>
      </c>
      <c r="E86" s="893"/>
      <c r="F86" s="1776">
        <f>'Revenues 9-14'!F45</f>
        <v>0</v>
      </c>
      <c r="G86" s="901"/>
    </row>
    <row r="87" spans="1:7" x14ac:dyDescent="0.2">
      <c r="A87" s="895" t="s">
        <v>461</v>
      </c>
      <c r="B87" s="895" t="s">
        <v>167</v>
      </c>
      <c r="C87" s="897">
        <v>1416</v>
      </c>
      <c r="D87" s="898" t="str">
        <f>'Revenues 9-14'!A46</f>
        <v>Regular Transp Fees from Other Sources (Out of State)</v>
      </c>
      <c r="E87" s="893"/>
      <c r="F87" s="1776">
        <f>'Revenues 9-14'!F46</f>
        <v>0</v>
      </c>
      <c r="G87" s="901"/>
    </row>
    <row r="88" spans="1:7" x14ac:dyDescent="0.2">
      <c r="A88" s="895" t="s">
        <v>461</v>
      </c>
      <c r="B88" s="895" t="s">
        <v>168</v>
      </c>
      <c r="C88" s="897">
        <f>'Revenues 9-14'!B51</f>
        <v>1431</v>
      </c>
      <c r="D88" s="898" t="str">
        <f>'Revenues 9-14'!A51</f>
        <v>CTE - Transp Fees from Pupils or Parents (In State)</v>
      </c>
      <c r="E88" s="893"/>
      <c r="F88" s="1776">
        <f>'Revenues 9-14'!F51</f>
        <v>0</v>
      </c>
      <c r="G88" s="901"/>
    </row>
    <row r="89" spans="1:7" x14ac:dyDescent="0.2">
      <c r="A89" s="895" t="s">
        <v>461</v>
      </c>
      <c r="B89" s="895" t="s">
        <v>169</v>
      </c>
      <c r="C89" s="897">
        <f>'Revenues 9-14'!B53</f>
        <v>1433</v>
      </c>
      <c r="D89" s="898" t="str">
        <f>'Revenues 9-14'!A53</f>
        <v>CTE - Transp Fees from Other Sources (In State)</v>
      </c>
      <c r="E89" s="893"/>
      <c r="F89" s="1776">
        <f>'Revenues 9-14'!F53</f>
        <v>0</v>
      </c>
      <c r="G89" s="901"/>
    </row>
    <row r="90" spans="1:7" x14ac:dyDescent="0.2">
      <c r="A90" s="895" t="s">
        <v>461</v>
      </c>
      <c r="B90" s="895" t="s">
        <v>170</v>
      </c>
      <c r="C90" s="897">
        <f>'Revenues 9-14'!B54</f>
        <v>1434</v>
      </c>
      <c r="D90" s="898" t="str">
        <f>'Revenues 9-14'!A54</f>
        <v>CTE - Transp Fees from Other Sources (Out of State)</v>
      </c>
      <c r="E90" s="893"/>
      <c r="F90" s="1776">
        <f>'Revenues 9-14'!F54</f>
        <v>0</v>
      </c>
      <c r="G90" s="901"/>
    </row>
    <row r="91" spans="1:7" x14ac:dyDescent="0.2">
      <c r="A91" s="895" t="s">
        <v>461</v>
      </c>
      <c r="B91" s="895" t="s">
        <v>171</v>
      </c>
      <c r="C91" s="902">
        <f>'Revenues 9-14'!B55</f>
        <v>1441</v>
      </c>
      <c r="D91" s="898" t="str">
        <f>'Revenues 9-14'!A55</f>
        <v>Special Ed - Transp Fees from Pupils or Parents (In State)</v>
      </c>
      <c r="E91" s="893"/>
      <c r="F91" s="1776">
        <f>'Revenues 9-14'!F55</f>
        <v>0</v>
      </c>
      <c r="G91" s="901"/>
    </row>
    <row r="92" spans="1:7" x14ac:dyDescent="0.2">
      <c r="A92" s="895" t="s">
        <v>461</v>
      </c>
      <c r="B92" s="895" t="s">
        <v>172</v>
      </c>
      <c r="C92" s="897">
        <f>'Revenues 9-14'!B57</f>
        <v>1443</v>
      </c>
      <c r="D92" s="898" t="str">
        <f>'Revenues 9-14'!A57</f>
        <v>Special Ed - Transp Fees from Other Sources (In State)</v>
      </c>
      <c r="E92" s="893"/>
      <c r="F92" s="1776">
        <f>'Revenues 9-14'!F57</f>
        <v>0</v>
      </c>
      <c r="G92" s="903"/>
    </row>
    <row r="93" spans="1:7" x14ac:dyDescent="0.2">
      <c r="A93" s="895" t="s">
        <v>461</v>
      </c>
      <c r="B93" s="895" t="s">
        <v>173</v>
      </c>
      <c r="C93" s="897">
        <f>'Revenues 9-14'!B58</f>
        <v>1444</v>
      </c>
      <c r="D93" s="898" t="str">
        <f>'Revenues 9-14'!A58</f>
        <v>Special Ed - Transp Fees from Other Sources (Out of State)</v>
      </c>
      <c r="E93" s="893"/>
      <c r="F93" s="1776">
        <f>'Revenues 9-14'!F58</f>
        <v>0</v>
      </c>
      <c r="G93" s="903"/>
    </row>
    <row r="94" spans="1:7" x14ac:dyDescent="0.2">
      <c r="A94" s="895" t="s">
        <v>459</v>
      </c>
      <c r="B94" s="895" t="s">
        <v>174</v>
      </c>
      <c r="C94" s="897">
        <v>1600</v>
      </c>
      <c r="D94" s="904" t="str">
        <f>'Revenues 9-14'!A75</f>
        <v>Total Food Service</v>
      </c>
      <c r="E94" s="893"/>
      <c r="F94" s="1776">
        <f>'Revenues 9-14'!C75</f>
        <v>231879</v>
      </c>
      <c r="G94" s="899"/>
    </row>
    <row r="95" spans="1:7" x14ac:dyDescent="0.2">
      <c r="A95" s="895" t="s">
        <v>140</v>
      </c>
      <c r="B95" s="895" t="s">
        <v>175</v>
      </c>
      <c r="C95" s="897">
        <v>1700</v>
      </c>
      <c r="D95" s="905" t="str">
        <f>'Revenues 9-14'!A82</f>
        <v>Total District/School Activity Income</v>
      </c>
      <c r="E95" s="893"/>
      <c r="F95" s="1776">
        <f>SUM('Revenues 9-14'!C82,'Revenues 9-14'!D82)</f>
        <v>340992</v>
      </c>
      <c r="G95" s="899"/>
    </row>
    <row r="96" spans="1:7" x14ac:dyDescent="0.2">
      <c r="A96" s="895" t="s">
        <v>459</v>
      </c>
      <c r="B96" s="895" t="s">
        <v>176</v>
      </c>
      <c r="C96" s="897">
        <f>'Revenues 9-14'!B84</f>
        <v>1811</v>
      </c>
      <c r="D96" s="898" t="str">
        <f>'Revenues 9-14'!A84</f>
        <v>Rentals - Regular Textbooks</v>
      </c>
      <c r="E96" s="893"/>
      <c r="F96" s="1776">
        <f>'Revenues 9-14'!C84</f>
        <v>2624</v>
      </c>
      <c r="G96" s="899"/>
    </row>
    <row r="97" spans="1:7" x14ac:dyDescent="0.2">
      <c r="A97" s="895" t="s">
        <v>459</v>
      </c>
      <c r="B97" s="895" t="s">
        <v>177</v>
      </c>
      <c r="C97" s="897">
        <f>'Revenues 9-14'!B87</f>
        <v>1819</v>
      </c>
      <c r="D97" s="898" t="str">
        <f>'Revenues 9-14'!A87</f>
        <v>Rentals - Other (Describe &amp; Itemize)</v>
      </c>
      <c r="E97" s="893"/>
      <c r="F97" s="1776">
        <f>'Revenues 9-14'!C87</f>
        <v>0</v>
      </c>
      <c r="G97" s="899"/>
    </row>
    <row r="98" spans="1:7" x14ac:dyDescent="0.2">
      <c r="A98" s="895" t="s">
        <v>459</v>
      </c>
      <c r="B98" s="895" t="s">
        <v>178</v>
      </c>
      <c r="C98" s="897">
        <f>'Revenues 9-14'!B88</f>
        <v>1821</v>
      </c>
      <c r="D98" s="898" t="str">
        <f>'Revenues 9-14'!A88</f>
        <v>Sales - Regular Textbooks</v>
      </c>
      <c r="E98" s="893"/>
      <c r="F98" s="1776">
        <f>'Revenues 9-14'!C88</f>
        <v>0</v>
      </c>
      <c r="G98" s="899"/>
    </row>
    <row r="99" spans="1:7" x14ac:dyDescent="0.2">
      <c r="A99" s="895" t="s">
        <v>459</v>
      </c>
      <c r="B99" s="895" t="s">
        <v>179</v>
      </c>
      <c r="C99" s="897">
        <f>'Revenues 9-14'!B91</f>
        <v>1829</v>
      </c>
      <c r="D99" s="898" t="str">
        <f>'Revenues 9-14'!A91</f>
        <v>Sales - Other (Describe &amp; Itemize)</v>
      </c>
      <c r="E99" s="893"/>
      <c r="F99" s="1776">
        <f>'Revenues 9-14'!C91</f>
        <v>0</v>
      </c>
      <c r="G99" s="899"/>
    </row>
    <row r="100" spans="1:7" x14ac:dyDescent="0.2">
      <c r="A100" s="895" t="s">
        <v>459</v>
      </c>
      <c r="B100" s="895" t="s">
        <v>180</v>
      </c>
      <c r="C100" s="897">
        <f>'Revenues 9-14'!B92</f>
        <v>1890</v>
      </c>
      <c r="D100" s="898" t="str">
        <f>'Revenues 9-14'!A92</f>
        <v>Other (Describe &amp; Itemize)</v>
      </c>
      <c r="E100" s="893"/>
      <c r="F100" s="1776">
        <f>'Revenues 9-14'!C92</f>
        <v>0</v>
      </c>
      <c r="G100" s="899"/>
    </row>
    <row r="101" spans="1:7" x14ac:dyDescent="0.2">
      <c r="A101" s="895" t="s">
        <v>140</v>
      </c>
      <c r="B101" s="895" t="s">
        <v>181</v>
      </c>
      <c r="C101" s="897">
        <f>'Revenues 9-14'!B95</f>
        <v>1910</v>
      </c>
      <c r="D101" s="898" t="str">
        <f>'Revenues 9-14'!A95</f>
        <v>Rentals</v>
      </c>
      <c r="E101" s="893"/>
      <c r="F101" s="1776">
        <f>SUM('Revenues 9-14'!C95:D95)</f>
        <v>15462</v>
      </c>
      <c r="G101" s="899"/>
    </row>
    <row r="102" spans="1:7" x14ac:dyDescent="0.2">
      <c r="A102" s="895" t="s">
        <v>503</v>
      </c>
      <c r="B102" s="895" t="s">
        <v>182</v>
      </c>
      <c r="C102" s="897">
        <f>'Revenues 9-14'!B98</f>
        <v>1940</v>
      </c>
      <c r="D102" s="898" t="str">
        <f>'Revenues 9-14'!A98</f>
        <v>Services Provided Other Districts</v>
      </c>
      <c r="E102" s="893"/>
      <c r="F102" s="1776">
        <f>SUM('Revenues 9-14'!C98,'Revenues 9-14'!D98,'Revenues 9-14'!F98)</f>
        <v>0</v>
      </c>
      <c r="G102" s="899"/>
    </row>
    <row r="103" spans="1:7" x14ac:dyDescent="0.2">
      <c r="A103" s="895" t="s">
        <v>1009</v>
      </c>
      <c r="B103" s="895" t="s">
        <v>801</v>
      </c>
      <c r="C103" s="897">
        <f>'Revenues 9-14'!B104</f>
        <v>1991</v>
      </c>
      <c r="D103" s="906" t="str">
        <f>'Revenues 9-14'!A104</f>
        <v>Payment from Other Districts</v>
      </c>
      <c r="E103" s="893"/>
      <c r="F103" s="1776">
        <f>SUM('Revenues 9-14'!C104,'Revenues 9-14'!D104,'Revenues 9-14'!E104,'Revenues 9-14'!F104,'Revenues 9-14'!G104)</f>
        <v>0</v>
      </c>
      <c r="G103" s="899"/>
    </row>
    <row r="104" spans="1:7" x14ac:dyDescent="0.2">
      <c r="A104" s="895" t="s">
        <v>459</v>
      </c>
      <c r="B104" s="895" t="s">
        <v>808</v>
      </c>
      <c r="C104" s="897">
        <f>'Revenues 9-14'!B106</f>
        <v>1993</v>
      </c>
      <c r="D104" s="898" t="str">
        <f>'Revenues 9-14'!A106</f>
        <v>Other Local Fees (Describe &amp; Itemize)</v>
      </c>
      <c r="E104" s="893"/>
      <c r="F104" s="1776">
        <f>('Revenues 9-14'!C106)</f>
        <v>0</v>
      </c>
      <c r="G104" s="899"/>
    </row>
    <row r="105" spans="1:7" x14ac:dyDescent="0.2">
      <c r="A105" s="895" t="s">
        <v>503</v>
      </c>
      <c r="B105" s="895" t="s">
        <v>2000</v>
      </c>
      <c r="C105" s="900">
        <v>3100</v>
      </c>
      <c r="D105" s="906" t="str">
        <f>'Revenues 9-14'!A132</f>
        <v>Total Special Education</v>
      </c>
      <c r="E105" s="893"/>
      <c r="F105" s="1776">
        <f>SUM('Revenues 9-14'!C132:D132,'Revenues 9-14'!F132)</f>
        <v>67435</v>
      </c>
      <c r="G105" s="899"/>
    </row>
    <row r="106" spans="1:7" x14ac:dyDescent="0.2">
      <c r="A106" s="895" t="s">
        <v>673</v>
      </c>
      <c r="B106" s="895" t="s">
        <v>2001</v>
      </c>
      <c r="C106" s="907">
        <v>3200</v>
      </c>
      <c r="D106" s="898" t="str">
        <f>'Revenues 9-14'!A141</f>
        <v>Total Career and Technical Education</v>
      </c>
      <c r="E106" s="893"/>
      <c r="F106" s="1776">
        <f>SUM('Revenues 9-14'!C141,'Revenues 9-14'!D141,'Revenues 9-14'!G141)</f>
        <v>33832</v>
      </c>
      <c r="G106" s="899"/>
    </row>
    <row r="107" spans="1:7" x14ac:dyDescent="0.2">
      <c r="A107" s="908" t="s">
        <v>664</v>
      </c>
      <c r="B107" s="895" t="s">
        <v>2002</v>
      </c>
      <c r="C107" s="907">
        <v>3300</v>
      </c>
      <c r="D107" s="898" t="str">
        <f>'Revenues 9-14'!A145</f>
        <v>Total Bilingual Ed</v>
      </c>
      <c r="E107" s="893"/>
      <c r="F107" s="1776">
        <f>SUM('Revenues 9-14'!C145,'Revenues 9-14'!G145)</f>
        <v>0</v>
      </c>
      <c r="G107" s="899"/>
    </row>
    <row r="108" spans="1:7" x14ac:dyDescent="0.2">
      <c r="A108" s="895" t="s">
        <v>459</v>
      </c>
      <c r="B108" s="895" t="s">
        <v>2003</v>
      </c>
      <c r="C108" s="907">
        <f>'Revenues 9-14'!B146</f>
        <v>3360</v>
      </c>
      <c r="D108" s="898" t="str">
        <f>'Revenues 9-14'!A146</f>
        <v>State Free Lunch &amp; Breakfast</v>
      </c>
      <c r="E108" s="893"/>
      <c r="F108" s="1776">
        <f>'Revenues 9-14'!C146</f>
        <v>5715</v>
      </c>
      <c r="G108" s="899"/>
    </row>
    <row r="109" spans="1:7" x14ac:dyDescent="0.2">
      <c r="A109" s="895" t="s">
        <v>673</v>
      </c>
      <c r="B109" s="895" t="s">
        <v>2004</v>
      </c>
      <c r="C109" s="907">
        <f>'Revenues 9-14'!B147</f>
        <v>3365</v>
      </c>
      <c r="D109" s="898" t="str">
        <f>'Revenues 9-14'!A147</f>
        <v>School Breakfast Initiative</v>
      </c>
      <c r="E109" s="893"/>
      <c r="F109" s="1776">
        <f>SUM('Revenues 9-14'!C147,'Revenues 9-14'!D147,'Revenues 9-14'!G147)</f>
        <v>0</v>
      </c>
      <c r="G109" s="899"/>
    </row>
    <row r="110" spans="1:7" x14ac:dyDescent="0.2">
      <c r="A110" s="895" t="s">
        <v>140</v>
      </c>
      <c r="B110" s="895" t="s">
        <v>2005</v>
      </c>
      <c r="C110" s="907">
        <f>'Revenues 9-14'!B148</f>
        <v>3370</v>
      </c>
      <c r="D110" s="898" t="str">
        <f>'Revenues 9-14'!A148</f>
        <v>Driver Education</v>
      </c>
      <c r="E110" s="893"/>
      <c r="F110" s="1776">
        <f>SUM('Revenues 9-14'!C148,'Revenues 9-14'!D148)</f>
        <v>49561</v>
      </c>
      <c r="G110" s="899"/>
    </row>
    <row r="111" spans="1:7" x14ac:dyDescent="0.2">
      <c r="A111" s="895" t="s">
        <v>668</v>
      </c>
      <c r="B111" s="895" t="s">
        <v>2006</v>
      </c>
      <c r="C111" s="909">
        <v>3500</v>
      </c>
      <c r="D111" s="898" t="str">
        <f>'Revenues 9-14'!A155</f>
        <v>Total Transportation</v>
      </c>
      <c r="E111" s="893"/>
      <c r="F111" s="1776">
        <f>SUM('Revenues 9-14'!C155,'Revenues 9-14'!D155,'Revenues 9-14'!F155,'Revenues 9-14'!G155)</f>
        <v>356996</v>
      </c>
      <c r="G111" s="899"/>
    </row>
    <row r="112" spans="1:7" x14ac:dyDescent="0.2">
      <c r="A112" s="895" t="s">
        <v>459</v>
      </c>
      <c r="B112" s="895" t="s">
        <v>2007</v>
      </c>
      <c r="C112" s="907">
        <f>'Revenues 9-14'!B156</f>
        <v>3610</v>
      </c>
      <c r="D112" s="898" t="str">
        <f>'Revenues 9-14'!A156</f>
        <v>Learning Improvement - Change Grants</v>
      </c>
      <c r="E112" s="893"/>
      <c r="F112" s="1776">
        <f>'Revenues 9-14'!C156</f>
        <v>0</v>
      </c>
      <c r="G112" s="899"/>
    </row>
    <row r="113" spans="1:7" x14ac:dyDescent="0.2">
      <c r="A113" s="895" t="s">
        <v>668</v>
      </c>
      <c r="B113" s="895" t="s">
        <v>2008</v>
      </c>
      <c r="C113" s="907">
        <f>'Revenues 9-14'!B157</f>
        <v>3660</v>
      </c>
      <c r="D113" s="898" t="str">
        <f>'Revenues 9-14'!A157</f>
        <v>Scientific Literacy</v>
      </c>
      <c r="E113" s="893"/>
      <c r="F113" s="1776">
        <f>SUM('Revenues 9-14'!C157,'Revenues 9-14'!D157,'Revenues 9-14'!F157,'Revenues 9-14'!G157)</f>
        <v>0</v>
      </c>
      <c r="G113" s="899"/>
    </row>
    <row r="114" spans="1:7" x14ac:dyDescent="0.2">
      <c r="A114" s="895" t="s">
        <v>5</v>
      </c>
      <c r="B114" s="895" t="s">
        <v>2009</v>
      </c>
      <c r="C114" s="907">
        <f>'Revenues 9-14'!B158</f>
        <v>3695</v>
      </c>
      <c r="D114" s="898" t="str">
        <f>'Revenues 9-14'!A158</f>
        <v>Truant Alternative/Optional Education</v>
      </c>
      <c r="E114" s="893"/>
      <c r="F114" s="1776">
        <f>SUM('Revenues 9-14'!C158,'Revenues 9-14'!F158,'Revenues 9-14'!G158)</f>
        <v>0</v>
      </c>
      <c r="G114" s="899"/>
    </row>
    <row r="115" spans="1:7" x14ac:dyDescent="0.2">
      <c r="A115" s="895" t="s">
        <v>668</v>
      </c>
      <c r="B115" s="895" t="s">
        <v>2010</v>
      </c>
      <c r="C115" s="907">
        <f>'Revenues 9-14'!B160</f>
        <v>3766</v>
      </c>
      <c r="D115" s="898" t="str">
        <f>'Revenues 9-14'!A160</f>
        <v>Chicago General Education Block Grant</v>
      </c>
      <c r="E115" s="893"/>
      <c r="F115" s="1776">
        <f>SUM('Revenues 9-14'!C160,'Revenues 9-14'!D160,'Revenues 9-14'!F160,'Revenues 9-14'!G160)</f>
        <v>0</v>
      </c>
      <c r="G115" s="899"/>
    </row>
    <row r="116" spans="1:7" x14ac:dyDescent="0.2">
      <c r="A116" s="895" t="s">
        <v>668</v>
      </c>
      <c r="B116" s="895" t="s">
        <v>2011</v>
      </c>
      <c r="C116" s="907">
        <f>'Revenues 9-14'!B161</f>
        <v>3767</v>
      </c>
      <c r="D116" s="898" t="str">
        <f>'Revenues 9-14'!A161</f>
        <v>Chicago Educational Services Block Grant</v>
      </c>
      <c r="E116" s="893"/>
      <c r="F116" s="1776">
        <f>SUM('Revenues 9-14'!C161,'Revenues 9-14'!D161,'Revenues 9-14'!F161,'Revenues 9-14'!G161)</f>
        <v>0</v>
      </c>
      <c r="G116" s="899"/>
    </row>
    <row r="117" spans="1:7" x14ac:dyDescent="0.2">
      <c r="A117" s="910" t="s">
        <v>1009</v>
      </c>
      <c r="B117" s="910" t="s">
        <v>2012</v>
      </c>
      <c r="C117" s="911">
        <f>'Revenues 9-14'!B162</f>
        <v>3775</v>
      </c>
      <c r="D117" s="912" t="str">
        <f>'Revenues 9-14'!A162</f>
        <v>School Safety &amp; Educational Improvement Block Grant</v>
      </c>
      <c r="E117" s="893"/>
      <c r="F117" s="1894">
        <f>SUM('Revenues 9-14'!C162,'Revenues 9-14'!D162,'Revenues 9-14'!E162,'Revenues 9-14'!F162,'Revenues 9-14'!G162)</f>
        <v>0</v>
      </c>
      <c r="G117" s="899"/>
    </row>
    <row r="118" spans="1:7" x14ac:dyDescent="0.2">
      <c r="A118" s="910" t="s">
        <v>1009</v>
      </c>
      <c r="B118" s="910" t="s">
        <v>2013</v>
      </c>
      <c r="C118" s="911">
        <f>'Revenues 9-14'!B163</f>
        <v>3780</v>
      </c>
      <c r="D118" s="912" t="str">
        <f>'Revenues 9-14'!A163</f>
        <v>Technology - Technology for Success</v>
      </c>
      <c r="E118" s="893"/>
      <c r="F118" s="1894">
        <f>SUM('Revenues 9-14'!C163:G163)</f>
        <v>0</v>
      </c>
      <c r="G118" s="899"/>
    </row>
    <row r="119" spans="1:7" x14ac:dyDescent="0.2">
      <c r="A119" s="910" t="s">
        <v>504</v>
      </c>
      <c r="B119" s="910" t="s">
        <v>2014</v>
      </c>
      <c r="C119" s="911">
        <f>'Revenues 9-14'!B164</f>
        <v>3815</v>
      </c>
      <c r="D119" s="912" t="str">
        <f>'Revenues 9-14'!A164</f>
        <v>State Charter Schools</v>
      </c>
      <c r="E119" s="893"/>
      <c r="F119" s="1894">
        <f>SUM('Revenues 9-14'!C164,'Revenues 9-14'!F164)</f>
        <v>0</v>
      </c>
      <c r="G119" s="899"/>
    </row>
    <row r="120" spans="1:7" x14ac:dyDescent="0.2">
      <c r="A120" s="914" t="s">
        <v>460</v>
      </c>
      <c r="B120" s="914" t="s">
        <v>2015</v>
      </c>
      <c r="C120" s="915">
        <f>'Revenues 9-14'!B167</f>
        <v>3925</v>
      </c>
      <c r="D120" s="916" t="str">
        <f>'Revenues 9-14'!A167</f>
        <v>School Infrastructure - Maintenance Projects</v>
      </c>
      <c r="E120" s="893"/>
      <c r="F120" s="1776">
        <f>'Revenues 9-14'!D167</f>
        <v>0</v>
      </c>
      <c r="G120" s="917"/>
    </row>
    <row r="121" spans="1:7" x14ac:dyDescent="0.2">
      <c r="A121" s="914" t="s">
        <v>500</v>
      </c>
      <c r="B121" s="914" t="s">
        <v>2016</v>
      </c>
      <c r="C121" s="915">
        <f>'Revenues 9-14'!B168</f>
        <v>3999</v>
      </c>
      <c r="D121" s="916" t="s">
        <v>543</v>
      </c>
      <c r="E121" s="918"/>
      <c r="F121" s="1776">
        <f>SUM('Revenues 9-14'!C168:G168,'Revenues 9-14'!J168)</f>
        <v>7367</v>
      </c>
      <c r="G121" s="917"/>
    </row>
    <row r="122" spans="1:7" x14ac:dyDescent="0.2">
      <c r="A122" s="914" t="s">
        <v>459</v>
      </c>
      <c r="B122" s="914" t="s">
        <v>2017</v>
      </c>
      <c r="C122" s="919">
        <f>'Revenues 9-14'!B177</f>
        <v>4045</v>
      </c>
      <c r="D122" s="916" t="str">
        <f>'Revenues 9-14'!A177 &amp; " (Subtract)"</f>
        <v>Head Start (Subtract)</v>
      </c>
      <c r="E122" s="893"/>
      <c r="F122" s="1776">
        <f>SUM(-'Revenues 9-14'!C177)</f>
        <v>0</v>
      </c>
      <c r="G122" s="917"/>
    </row>
    <row r="123" spans="1:7" x14ac:dyDescent="0.2">
      <c r="A123" s="914" t="s">
        <v>668</v>
      </c>
      <c r="B123" s="914" t="s">
        <v>2018</v>
      </c>
      <c r="C123" s="919" t="s">
        <v>982</v>
      </c>
      <c r="D123" s="916" t="str">
        <f>('Revenues 9-14'!A181)</f>
        <v>Total Restricted Grants-In-Aid Received Directly from Federal Govt</v>
      </c>
      <c r="E123" s="893"/>
      <c r="F123" s="1776">
        <f>SUM('Revenues 9-14'!C181,'Revenues 9-14'!D181,'Revenues 9-14'!F181,'Revenues 9-14'!G181)</f>
        <v>0</v>
      </c>
      <c r="G123" s="917"/>
    </row>
    <row r="124" spans="1:7" x14ac:dyDescent="0.2">
      <c r="A124" s="914" t="s">
        <v>668</v>
      </c>
      <c r="B124" s="914" t="s">
        <v>2019</v>
      </c>
      <c r="C124" s="919">
        <v>4100</v>
      </c>
      <c r="D124" s="920" t="str">
        <f>'Revenues 9-14'!A188</f>
        <v>Total Title V</v>
      </c>
      <c r="E124" s="893"/>
      <c r="F124" s="1776">
        <f>SUM('Revenues 9-14'!C188,'Revenues 9-14'!D188,'Revenues 9-14'!F188,'Revenues 9-14'!G188)</f>
        <v>0</v>
      </c>
      <c r="G124" s="917"/>
    </row>
    <row r="125" spans="1:7" x14ac:dyDescent="0.2">
      <c r="A125" s="914" t="s">
        <v>664</v>
      </c>
      <c r="B125" s="914" t="s">
        <v>2020</v>
      </c>
      <c r="C125" s="919">
        <v>4200</v>
      </c>
      <c r="D125" s="916" t="str">
        <f>'Revenues 9-14'!A198</f>
        <v>Total Food Service</v>
      </c>
      <c r="E125" s="893"/>
      <c r="F125" s="1776">
        <f>SUM('Revenues 9-14'!C198,'Revenues 9-14'!G198)</f>
        <v>335163</v>
      </c>
      <c r="G125" s="917"/>
    </row>
    <row r="126" spans="1:7" x14ac:dyDescent="0.2">
      <c r="A126" s="914" t="s">
        <v>668</v>
      </c>
      <c r="B126" s="914" t="s">
        <v>2021</v>
      </c>
      <c r="C126" s="919">
        <v>4300</v>
      </c>
      <c r="D126" s="920" t="str">
        <f>'Revenues 9-14'!A204</f>
        <v>Total Title I</v>
      </c>
      <c r="E126" s="893"/>
      <c r="F126" s="1776">
        <f>SUM('Revenues 9-14'!C204,'Revenues 9-14'!D204,'Revenues 9-14'!F204,'Revenues 9-14'!G204)</f>
        <v>271599</v>
      </c>
      <c r="G126" s="917"/>
    </row>
    <row r="127" spans="1:7" x14ac:dyDescent="0.2">
      <c r="A127" s="914" t="s">
        <v>668</v>
      </c>
      <c r="B127" s="914" t="s">
        <v>2022</v>
      </c>
      <c r="C127" s="919">
        <v>4400</v>
      </c>
      <c r="D127" s="920" t="str">
        <f>'Revenues 9-14'!A209</f>
        <v>Total Title IV</v>
      </c>
      <c r="E127" s="893"/>
      <c r="F127" s="1776">
        <f>SUM('Revenues 9-14'!C209,'Revenues 9-14'!D209,'Revenues 9-14'!F209,'Revenues 9-14'!G209)</f>
        <v>0</v>
      </c>
      <c r="G127" s="917"/>
    </row>
    <row r="128" spans="1:7" x14ac:dyDescent="0.2">
      <c r="A128" s="914" t="s">
        <v>668</v>
      </c>
      <c r="B128" s="914" t="s">
        <v>2023</v>
      </c>
      <c r="C128" s="919">
        <f>'Revenues 9-14'!B213</f>
        <v>4620</v>
      </c>
      <c r="D128" s="920" t="str">
        <f>'Revenues 9-14'!A213</f>
        <v>Fed - Spec Education - IDEA - Flow Through</v>
      </c>
      <c r="E128" s="893"/>
      <c r="F128" s="1776">
        <f>SUM('Revenues 9-14'!C213:D213,'Revenues 9-14'!F213:G213)</f>
        <v>300414</v>
      </c>
      <c r="G128" s="917"/>
    </row>
    <row r="129" spans="1:7" x14ac:dyDescent="0.2">
      <c r="A129" s="914" t="s">
        <v>668</v>
      </c>
      <c r="B129" s="914" t="s">
        <v>2024</v>
      </c>
      <c r="C129" s="919">
        <f>'Revenues 9-14'!B214</f>
        <v>4625</v>
      </c>
      <c r="D129" s="920" t="str">
        <f>'Revenues 9-14'!A214</f>
        <v>Fed - Spec Education - IDEA - Room &amp; Board</v>
      </c>
      <c r="E129" s="893"/>
      <c r="F129" s="1776">
        <f>SUM('Revenues 9-14'!C214,'Revenues 9-14'!D214,'Revenues 9-14'!F214,'Revenues 9-14'!G214)</f>
        <v>0</v>
      </c>
      <c r="G129" s="917"/>
    </row>
    <row r="130" spans="1:7" x14ac:dyDescent="0.2">
      <c r="A130" s="914" t="s">
        <v>668</v>
      </c>
      <c r="B130" s="914" t="s">
        <v>2025</v>
      </c>
      <c r="C130" s="919">
        <f>'Revenues 9-14'!B215</f>
        <v>4630</v>
      </c>
      <c r="D130" s="920" t="str">
        <f>'Revenues 9-14'!A215</f>
        <v>Fed - Spec Education - IDEA - Discretionary</v>
      </c>
      <c r="E130" s="893"/>
      <c r="F130" s="1776">
        <f>SUM('Revenues 9-14'!C215:D215,'Revenues 9-14'!F215:G215)</f>
        <v>0</v>
      </c>
      <c r="G130" s="917">
        <v>6297</v>
      </c>
    </row>
    <row r="131" spans="1:7" x14ac:dyDescent="0.2">
      <c r="A131" s="914" t="s">
        <v>668</v>
      </c>
      <c r="B131" s="914" t="s">
        <v>776</v>
      </c>
      <c r="C131" s="919">
        <f>'Revenues 9-14'!B216</f>
        <v>4699</v>
      </c>
      <c r="D131" s="920" t="str">
        <f>'Revenues 9-14'!A216</f>
        <v>Fed - Spec Education - IDEA - Other (Describe &amp; Itemize)</v>
      </c>
      <c r="E131" s="893"/>
      <c r="F131" s="1776">
        <f>SUM('Revenues 9-14'!C216:D216,'Revenues 9-14'!F216:G216)</f>
        <v>0</v>
      </c>
      <c r="G131" s="917"/>
    </row>
    <row r="132" spans="1:7" x14ac:dyDescent="0.2">
      <c r="A132" s="914" t="s">
        <v>673</v>
      </c>
      <c r="B132" s="914" t="s">
        <v>2026</v>
      </c>
      <c r="C132" s="919">
        <v>4700</v>
      </c>
      <c r="D132" s="916" t="str">
        <f>'Revenues 9-14'!A221</f>
        <v>Total CTE - Perkins</v>
      </c>
      <c r="E132" s="893"/>
      <c r="F132" s="1776">
        <f>SUM('Revenues 9-14'!C221,'Revenues 9-14'!D221,'Revenues 9-14'!G221)</f>
        <v>21367</v>
      </c>
      <c r="G132" s="917">
        <v>6303</v>
      </c>
    </row>
    <row r="133" spans="1:7" s="854" customFormat="1" hidden="1" x14ac:dyDescent="0.2">
      <c r="A133" s="921" t="s">
        <v>206</v>
      </c>
      <c r="B133" s="921" t="s">
        <v>2027</v>
      </c>
      <c r="C133" s="922" t="s">
        <v>207</v>
      </c>
      <c r="D133" s="923" t="str">
        <f>'Revenues 9-14'!A224</f>
        <v>ARRA - Title I - Low Income</v>
      </c>
      <c r="E133" s="924"/>
      <c r="F133" s="1894">
        <f>SUM('Revenues 9-14'!$C$224:$D$224,'Revenues 9-14'!$F$224:$G$224)</f>
        <v>0</v>
      </c>
      <c r="G133" s="892"/>
    </row>
    <row r="134" spans="1:7" s="854" customFormat="1" hidden="1" x14ac:dyDescent="0.2">
      <c r="A134" s="921" t="s">
        <v>206</v>
      </c>
      <c r="B134" s="921" t="s">
        <v>2028</v>
      </c>
      <c r="C134" s="922" t="s">
        <v>208</v>
      </c>
      <c r="D134" s="923" t="str">
        <f>'Revenues 9-14'!A225</f>
        <v>ARRA - Title I - Neglected, Private</v>
      </c>
      <c r="E134" s="924"/>
      <c r="F134" s="1776">
        <f>SUM('Revenues 9-14'!C225:G225,'Revenues 9-14'!J225)</f>
        <v>0</v>
      </c>
      <c r="G134" s="892"/>
    </row>
    <row r="135" spans="1:7" s="854" customFormat="1" hidden="1" x14ac:dyDescent="0.2">
      <c r="A135" s="921" t="s">
        <v>206</v>
      </c>
      <c r="B135" s="921" t="s">
        <v>2029</v>
      </c>
      <c r="C135" s="922" t="s">
        <v>209</v>
      </c>
      <c r="D135" s="923" t="str">
        <f>'Revenues 9-14'!A226</f>
        <v>ARRA - Title I - Delinquent, Private</v>
      </c>
      <c r="E135" s="924"/>
      <c r="F135" s="1776">
        <f>SUM('Revenues 9-14'!C226:G226,'Revenues 9-14'!J226)</f>
        <v>0</v>
      </c>
      <c r="G135" s="892"/>
    </row>
    <row r="136" spans="1:7" s="854" customFormat="1" hidden="1" x14ac:dyDescent="0.2">
      <c r="A136" s="921" t="s">
        <v>206</v>
      </c>
      <c r="B136" s="921" t="s">
        <v>2030</v>
      </c>
      <c r="C136" s="922" t="s">
        <v>210</v>
      </c>
      <c r="D136" s="923" t="str">
        <f>'Revenues 9-14'!A227</f>
        <v>ARRA - Title I - School Improvement (Part A)</v>
      </c>
      <c r="E136" s="924"/>
      <c r="F136" s="1776">
        <f>SUM('Revenues 9-14'!C227:G227,'Revenues 9-14'!J227)</f>
        <v>0</v>
      </c>
      <c r="G136" s="892"/>
    </row>
    <row r="137" spans="1:7" s="854" customFormat="1" hidden="1" x14ac:dyDescent="0.2">
      <c r="A137" s="921" t="s">
        <v>206</v>
      </c>
      <c r="B137" s="921" t="s">
        <v>2031</v>
      </c>
      <c r="C137" s="922" t="s">
        <v>211</v>
      </c>
      <c r="D137" s="923" t="str">
        <f>'Revenues 9-14'!A228</f>
        <v>ARRA - Title I - School Improvement (Section 1003g)</v>
      </c>
      <c r="E137" s="924"/>
      <c r="F137" s="1776">
        <f>SUM('Revenues 9-14'!C228:G228,'Revenues 9-14'!J228)</f>
        <v>0</v>
      </c>
      <c r="G137" s="892"/>
    </row>
    <row r="138" spans="1:7" s="854" customFormat="1" hidden="1" x14ac:dyDescent="0.2">
      <c r="A138" s="921" t="s">
        <v>206</v>
      </c>
      <c r="B138" s="921" t="s">
        <v>2032</v>
      </c>
      <c r="C138" s="922" t="s">
        <v>212</v>
      </c>
      <c r="D138" s="923" t="str">
        <f>'Revenues 9-14'!A229</f>
        <v>ARRA - IDEA - Part B - Preschool</v>
      </c>
      <c r="E138" s="924"/>
      <c r="F138" s="1776">
        <v>0</v>
      </c>
      <c r="G138" s="892"/>
    </row>
    <row r="139" spans="1:7" s="854" customFormat="1" hidden="1" x14ac:dyDescent="0.2">
      <c r="A139" s="921" t="s">
        <v>206</v>
      </c>
      <c r="B139" s="921" t="s">
        <v>2033</v>
      </c>
      <c r="C139" s="922" t="s">
        <v>213</v>
      </c>
      <c r="D139" s="923" t="str">
        <f>'Revenues 9-14'!A230</f>
        <v>ARRA - IDEA - Part B - Flow-Through</v>
      </c>
      <c r="E139" s="924"/>
      <c r="F139" s="1776">
        <f>SUM('Revenues 9-14'!C230:G230,'Revenues 9-14'!J230)</f>
        <v>0</v>
      </c>
      <c r="G139" s="892"/>
    </row>
    <row r="140" spans="1:7" s="854" customFormat="1" hidden="1" x14ac:dyDescent="0.2">
      <c r="A140" s="921" t="s">
        <v>206</v>
      </c>
      <c r="B140" s="921" t="s">
        <v>2034</v>
      </c>
      <c r="C140" s="922" t="s">
        <v>214</v>
      </c>
      <c r="D140" s="923" t="str">
        <f>'Revenues 9-14'!A231</f>
        <v>ARRA - Title IID - Technology-Formula</v>
      </c>
      <c r="E140" s="924"/>
      <c r="F140" s="1776">
        <f>SUM('Revenues 9-14'!C231:G231,'Revenues 9-14'!J231)</f>
        <v>0</v>
      </c>
      <c r="G140" s="892"/>
    </row>
    <row r="141" spans="1:7" s="854" customFormat="1" hidden="1" x14ac:dyDescent="0.2">
      <c r="A141" s="921" t="s">
        <v>206</v>
      </c>
      <c r="B141" s="921" t="s">
        <v>2035</v>
      </c>
      <c r="C141" s="922" t="s">
        <v>216</v>
      </c>
      <c r="D141" s="923" t="str">
        <f>'Revenues 9-14'!A232</f>
        <v>ARRA - Title IID - Technology-Competitive</v>
      </c>
      <c r="E141" s="924"/>
      <c r="F141" s="1776">
        <f>SUM('Revenues 9-14'!C232:G232,'Revenues 9-14'!J232)</f>
        <v>0</v>
      </c>
      <c r="G141" s="892"/>
    </row>
    <row r="142" spans="1:7" s="854" customFormat="1" hidden="1" x14ac:dyDescent="0.2">
      <c r="A142" s="921" t="s">
        <v>668</v>
      </c>
      <c r="B142" s="921" t="s">
        <v>2036</v>
      </c>
      <c r="C142" s="922" t="s">
        <v>217</v>
      </c>
      <c r="D142" s="923" t="str">
        <f>'Revenues 9-14'!A233</f>
        <v>ARRA - McKinney - Vento Homeless Education</v>
      </c>
      <c r="E142" s="924"/>
      <c r="F142" s="1776">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SUM('Revenues 9-14'!C237:G237,'Revenues 9-14'!J237)</f>
        <v>0</v>
      </c>
      <c r="G143" s="892"/>
    </row>
    <row r="144" spans="1:7" s="854" customFormat="1" hidden="1" x14ac:dyDescent="0.2">
      <c r="A144" s="921" t="s">
        <v>206</v>
      </c>
      <c r="B144" s="921" t="s">
        <v>809</v>
      </c>
      <c r="C144" s="922" t="s">
        <v>219</v>
      </c>
      <c r="D144" s="923" t="str">
        <f>'Revenues 9-14'!A238</f>
        <v>Qualified School Construction Bond Credits</v>
      </c>
      <c r="E144" s="924"/>
      <c r="F144" s="1776">
        <f>SUM('Revenues 9-14'!C238:G238,'Revenues 9-14'!J238)</f>
        <v>0</v>
      </c>
      <c r="G144" s="892"/>
    </row>
    <row r="145" spans="1:7" s="854" customFormat="1" hidden="1" x14ac:dyDescent="0.2">
      <c r="A145" s="921" t="s">
        <v>206</v>
      </c>
      <c r="B145" s="921" t="s">
        <v>1416</v>
      </c>
      <c r="C145" s="922" t="s">
        <v>221</v>
      </c>
      <c r="D145" s="923" t="str">
        <f>'Revenues 9-14'!A239</f>
        <v>Build America Bond Tax Credits</v>
      </c>
      <c r="E145" s="924"/>
      <c r="F145" s="1776">
        <f>SUM('Revenues 9-14'!C239:G239,'Revenues 9-14'!J239)</f>
        <v>0</v>
      </c>
      <c r="G145" s="892"/>
    </row>
    <row r="146" spans="1:7" s="854" customFormat="1" hidden="1" x14ac:dyDescent="0.2">
      <c r="A146" s="921" t="s">
        <v>206</v>
      </c>
      <c r="B146" s="921" t="s">
        <v>2037</v>
      </c>
      <c r="C146" s="922" t="s">
        <v>223</v>
      </c>
      <c r="D146" s="923" t="str">
        <f>'Revenues 9-14'!A240</f>
        <v>Build America Bond Interest Reimbursement</v>
      </c>
      <c r="E146" s="924"/>
      <c r="F146" s="1776">
        <f>SUM('Revenues 9-14'!C240:G240,'Revenues 9-14'!J240)</f>
        <v>0</v>
      </c>
      <c r="G146" s="892"/>
    </row>
    <row r="147" spans="1:7" s="854" customFormat="1" hidden="1" x14ac:dyDescent="0.2">
      <c r="A147" s="921" t="s">
        <v>206</v>
      </c>
      <c r="B147" s="921" t="s">
        <v>2038</v>
      </c>
      <c r="C147" s="922" t="s">
        <v>225</v>
      </c>
      <c r="D147" s="923" t="str">
        <f>'Revenues 9-14'!A242</f>
        <v>Other ARRA Funds - II</v>
      </c>
      <c r="E147" s="924"/>
      <c r="F147" s="1776">
        <f>SUM('Revenues 9-14'!C242:G242,'Revenues 9-14'!J242)</f>
        <v>0</v>
      </c>
      <c r="G147" s="892"/>
    </row>
    <row r="148" spans="1:7" s="854" customFormat="1" hidden="1" x14ac:dyDescent="0.2">
      <c r="A148" s="921" t="s">
        <v>206</v>
      </c>
      <c r="B148" s="921" t="s">
        <v>2039</v>
      </c>
      <c r="C148" s="922" t="s">
        <v>226</v>
      </c>
      <c r="D148" s="923" t="str">
        <f>'Revenues 9-14'!A243</f>
        <v>Other ARRA Funds - III</v>
      </c>
      <c r="E148" s="924"/>
      <c r="F148" s="1776">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1417</v>
      </c>
      <c r="C152" s="922" t="s">
        <v>233</v>
      </c>
      <c r="D152" s="923" t="str">
        <f>'Revenues 9-14'!A247</f>
        <v>Other ARRA Funds VII</v>
      </c>
      <c r="E152" s="924"/>
      <c r="F152" s="1776">
        <f>SUM('Revenues 9-14'!C247:G247,'Revenues 9-14'!J247)</f>
        <v>0</v>
      </c>
      <c r="G152" s="892"/>
    </row>
    <row r="153" spans="1:7" s="854" customFormat="1" hidden="1" x14ac:dyDescent="0.2">
      <c r="A153" s="921" t="s">
        <v>206</v>
      </c>
      <c r="B153" s="921" t="s">
        <v>2040</v>
      </c>
      <c r="C153" s="922" t="s">
        <v>234</v>
      </c>
      <c r="D153" s="923" t="str">
        <f>'Revenues 9-14'!A248</f>
        <v>Other ARRA Funds VIII</v>
      </c>
      <c r="E153" s="924"/>
      <c r="F153" s="1776">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SUM('Revenues 9-14'!C251:G251,'Revenues 9-14'!J251)</f>
        <v>0</v>
      </c>
      <c r="G156" s="892"/>
    </row>
    <row r="157" spans="1:7" s="854" customFormat="1" x14ac:dyDescent="0.2">
      <c r="A157" s="925" t="s">
        <v>500</v>
      </c>
      <c r="B157" s="926" t="s">
        <v>2041</v>
      </c>
      <c r="C157" s="927" t="s">
        <v>841</v>
      </c>
      <c r="D157" s="928" t="s">
        <v>777</v>
      </c>
      <c r="E157" s="929"/>
      <c r="F157" s="1776">
        <f>SUM(F133:F156)</f>
        <v>0</v>
      </c>
      <c r="G157" s="892"/>
    </row>
    <row r="158" spans="1:7" s="854" customFormat="1" x14ac:dyDescent="0.2">
      <c r="A158" s="925" t="s">
        <v>459</v>
      </c>
      <c r="B158" s="926" t="s">
        <v>2042</v>
      </c>
      <c r="C158" s="927" t="s">
        <v>1427</v>
      </c>
      <c r="D158" s="928" t="s">
        <v>1428</v>
      </c>
      <c r="E158" s="929"/>
      <c r="F158" s="1776">
        <f>SUM('Revenues 9-14'!C253)</f>
        <v>0</v>
      </c>
      <c r="G158" s="892"/>
    </row>
    <row r="159" spans="1:7" s="854" customFormat="1" x14ac:dyDescent="0.2">
      <c r="A159" s="925" t="s">
        <v>500</v>
      </c>
      <c r="B159" s="926" t="s">
        <v>2043</v>
      </c>
      <c r="C159" s="927" t="s">
        <v>1466</v>
      </c>
      <c r="D159" s="928" t="s">
        <v>1467</v>
      </c>
      <c r="E159" s="929"/>
      <c r="F159" s="1776">
        <f>SUM('Revenues 9-14'!C254:H254,'Revenues 9-14'!J254:K254)</f>
        <v>0</v>
      </c>
      <c r="G159" s="892"/>
    </row>
    <row r="160" spans="1:7" x14ac:dyDescent="0.2">
      <c r="A160" s="914" t="s">
        <v>5</v>
      </c>
      <c r="B160" s="914" t="s">
        <v>2044</v>
      </c>
      <c r="C160" s="919">
        <f>'Revenues 9-14'!B255</f>
        <v>4905</v>
      </c>
      <c r="D160" s="916" t="str">
        <f>'Revenues 9-14'!A255</f>
        <v>Title III - Immigrant Education Program (IEP)</v>
      </c>
      <c r="E160" s="893"/>
      <c r="F160" s="1776">
        <f>SUM('Revenues 9-14'!C255,'Revenues 9-14'!F255,'Revenues 9-14'!G255)</f>
        <v>0</v>
      </c>
      <c r="G160" s="930">
        <v>6306</v>
      </c>
    </row>
    <row r="161" spans="1:7" x14ac:dyDescent="0.2">
      <c r="A161" s="914" t="s">
        <v>5</v>
      </c>
      <c r="B161" s="914" t="s">
        <v>2045</v>
      </c>
      <c r="C161" s="919">
        <f>'Revenues 9-14'!B256</f>
        <v>4909</v>
      </c>
      <c r="D161" s="916" t="str">
        <f>'Revenues 9-14'!A256</f>
        <v>Title III - Language Inst Program - Limited Eng (LIPLEP)</v>
      </c>
      <c r="E161" s="893"/>
      <c r="F161" s="1776">
        <f>SUM('Revenues 9-14'!C256,'Revenues 9-14'!F256,'Revenues 9-14'!G256)</f>
        <v>3822</v>
      </c>
      <c r="G161" s="930"/>
    </row>
    <row r="162" spans="1:7" x14ac:dyDescent="0.2">
      <c r="A162" s="914" t="s">
        <v>668</v>
      </c>
      <c r="B162" s="914" t="s">
        <v>2046</v>
      </c>
      <c r="C162" s="919">
        <f>'Revenues 9-14'!B257</f>
        <v>4920</v>
      </c>
      <c r="D162" s="916" t="str">
        <f>'Revenues 9-14'!A257</f>
        <v>McKinney Education for Homeless Children</v>
      </c>
      <c r="E162" s="893"/>
      <c r="F162" s="1776">
        <f>SUM('Revenues 9-14'!C257,'Revenues 9-14'!D257,'Revenues 9-14'!F257,'Revenues 9-14'!G257)</f>
        <v>0</v>
      </c>
      <c r="G162" s="917"/>
    </row>
    <row r="163" spans="1:7" x14ac:dyDescent="0.2">
      <c r="A163" s="931" t="s">
        <v>668</v>
      </c>
      <c r="B163" s="931" t="s">
        <v>2047</v>
      </c>
      <c r="C163" s="932">
        <f>'Revenues 9-14'!B258</f>
        <v>4930</v>
      </c>
      <c r="D163" s="933" t="str">
        <f>'Revenues 9-14'!A258</f>
        <v>Title II - Eisenhower Professional Development Formula</v>
      </c>
      <c r="E163" s="913"/>
      <c r="F163" s="1894">
        <f>SUM('Revenues 9-14'!C258:D258,'Revenues 9-14'!F258,'Revenues 9-14'!G258)</f>
        <v>0</v>
      </c>
      <c r="G163" s="917"/>
    </row>
    <row r="164" spans="1:7" x14ac:dyDescent="0.2">
      <c r="A164" s="914" t="s">
        <v>668</v>
      </c>
      <c r="B164" s="914" t="s">
        <v>2048</v>
      </c>
      <c r="C164" s="919">
        <f>'Revenues 9-14'!B259</f>
        <v>4932</v>
      </c>
      <c r="D164" s="920" t="str">
        <f>'Revenues 9-14'!A259</f>
        <v>Title II - Teacher Quality</v>
      </c>
      <c r="E164" s="893"/>
      <c r="F164" s="1894">
        <f>SUM('Revenues 9-14'!C259,'Revenues 9-14'!D259,'Revenues 9-14'!F259,'Revenues 9-14'!G259)</f>
        <v>50705</v>
      </c>
      <c r="G164" s="917"/>
    </row>
    <row r="165" spans="1:7" x14ac:dyDescent="0.2">
      <c r="A165" s="914" t="s">
        <v>668</v>
      </c>
      <c r="B165" s="914" t="s">
        <v>2049</v>
      </c>
      <c r="C165" s="919">
        <f>'Revenues 9-14'!B260</f>
        <v>4960</v>
      </c>
      <c r="D165" s="916" t="str">
        <f>'Revenues 9-14'!A260</f>
        <v>Federal Charter Schools</v>
      </c>
      <c r="E165" s="893"/>
      <c r="F165" s="1776">
        <f>SUM('Revenues 9-14'!C260:D260,'Revenues 9-14'!F260:G260)</f>
        <v>0</v>
      </c>
      <c r="G165" s="917"/>
    </row>
    <row r="166" spans="1:7" x14ac:dyDescent="0.2">
      <c r="A166" s="914" t="s">
        <v>668</v>
      </c>
      <c r="B166" s="914" t="s">
        <v>1994</v>
      </c>
      <c r="C166" s="919">
        <f>'Revenues 9-14'!B261</f>
        <v>4981</v>
      </c>
      <c r="D166" s="916" t="str">
        <f>'Revenues 9-14'!A261</f>
        <v>State Assessment Grants</v>
      </c>
      <c r="E166" s="893"/>
      <c r="F166" s="1776">
        <f>SUM('Revenues 9-14'!C261:D261,'Revenues 9-14'!F261:G261)</f>
        <v>0</v>
      </c>
      <c r="G166" s="917"/>
    </row>
    <row r="167" spans="1:7" x14ac:dyDescent="0.2">
      <c r="A167" s="914" t="s">
        <v>668</v>
      </c>
      <c r="B167" s="914" t="s">
        <v>1995</v>
      </c>
      <c r="C167" s="919">
        <f>'Revenues 9-14'!B262</f>
        <v>4982</v>
      </c>
      <c r="D167" s="916" t="str">
        <f>'Revenues 9-14'!A262</f>
        <v>Grant for State Assessments and Related Activities</v>
      </c>
      <c r="E167" s="893"/>
      <c r="F167" s="1776">
        <f>SUM('Revenues 9-14'!C262:D262,'Revenues 9-14'!F262:G262)</f>
        <v>0</v>
      </c>
      <c r="G167" s="917"/>
    </row>
    <row r="168" spans="1:7" x14ac:dyDescent="0.2">
      <c r="A168" s="914" t="s">
        <v>668</v>
      </c>
      <c r="B168" s="914" t="s">
        <v>2050</v>
      </c>
      <c r="C168" s="919">
        <f>'Revenues 9-14'!B263</f>
        <v>4991</v>
      </c>
      <c r="D168" s="920" t="str">
        <f>'Revenues 9-14'!A263</f>
        <v>Medicaid Matching Funds - Administrative Outreach</v>
      </c>
      <c r="E168" s="893"/>
      <c r="F168" s="1776">
        <f>SUM('Revenues 9-14'!C263:D263,'Revenues 9-14'!F263:G263)</f>
        <v>32270</v>
      </c>
      <c r="G168" s="934">
        <v>6320</v>
      </c>
    </row>
    <row r="169" spans="1:7" x14ac:dyDescent="0.2">
      <c r="A169" s="914" t="s">
        <v>668</v>
      </c>
      <c r="B169" s="914" t="s">
        <v>2051</v>
      </c>
      <c r="C169" s="919">
        <f>'Revenues 9-14'!B264</f>
        <v>4992</v>
      </c>
      <c r="D169" s="920" t="str">
        <f>'Revenues 9-14'!A264</f>
        <v>Medicaid Matching Funds - Fee-for-Service Program</v>
      </c>
      <c r="E169" s="893"/>
      <c r="F169" s="1776">
        <f>SUM('Revenues 9-14'!C264:D264,'Revenues 9-14'!F264:G264)</f>
        <v>21333</v>
      </c>
      <c r="G169" s="934"/>
    </row>
    <row r="170" spans="1:7" x14ac:dyDescent="0.2">
      <c r="A170" s="935" t="s">
        <v>668</v>
      </c>
      <c r="B170" s="931" t="s">
        <v>2052</v>
      </c>
      <c r="C170" s="932">
        <f>'Revenues 9-14'!B265</f>
        <v>4999</v>
      </c>
      <c r="D170" s="933" t="str">
        <f>'Revenues 9-14'!A265</f>
        <v>Other Restricted Revenue from Federal Sources (Describe &amp; Itemize)</v>
      </c>
      <c r="E170" s="893"/>
      <c r="F170" s="1776">
        <f>SUM('Revenues 9-14'!C265:D265,'Revenues 9-14'!F265:G265)</f>
        <v>9936</v>
      </c>
      <c r="G170" s="914"/>
    </row>
    <row r="171" spans="1:7" x14ac:dyDescent="0.2">
      <c r="A171" s="1905" t="s">
        <v>5</v>
      </c>
      <c r="B171" s="1906" t="s">
        <v>1917</v>
      </c>
      <c r="C171" s="1907">
        <v>3100</v>
      </c>
      <c r="D171" s="1908" t="s">
        <v>1919</v>
      </c>
      <c r="E171" s="893"/>
      <c r="F171" s="1893">
        <v>416460</v>
      </c>
      <c r="G171" s="914"/>
    </row>
    <row r="172" spans="1:7" x14ac:dyDescent="0.2">
      <c r="A172" s="1905" t="s">
        <v>664</v>
      </c>
      <c r="B172" s="1906" t="s">
        <v>1917</v>
      </c>
      <c r="C172" s="1907">
        <v>3300</v>
      </c>
      <c r="D172" s="1908" t="s">
        <v>1920</v>
      </c>
      <c r="E172" s="893"/>
      <c r="F172" s="1893">
        <v>31660</v>
      </c>
      <c r="G172" s="914"/>
    </row>
    <row r="173" spans="1:7" ht="6" customHeight="1" x14ac:dyDescent="0.2">
      <c r="A173" s="914"/>
      <c r="B173" s="914"/>
      <c r="C173" s="936"/>
      <c r="D173" s="914"/>
      <c r="E173" s="893"/>
      <c r="F173" s="937"/>
      <c r="G173" s="934"/>
    </row>
    <row r="174" spans="1:7" x14ac:dyDescent="0.2">
      <c r="A174" s="1757"/>
      <c r="B174" s="1771"/>
      <c r="C174" s="1772"/>
      <c r="D174" s="1773" t="s">
        <v>2053</v>
      </c>
      <c r="E174" s="1774" t="s">
        <v>958</v>
      </c>
      <c r="F174" s="1775">
        <f>SUM(F84:F132,F157:F172)</f>
        <v>2606592</v>
      </c>
    </row>
    <row r="175" spans="1:7" ht="12" customHeight="1" x14ac:dyDescent="0.2">
      <c r="A175" s="1757"/>
      <c r="B175" s="1771"/>
      <c r="C175" s="1772"/>
      <c r="D175" s="1773" t="s">
        <v>2054</v>
      </c>
      <c r="E175" s="1774"/>
      <c r="F175" s="1776">
        <f>'PCTC-OEPP 27-28'!F77-F174</f>
        <v>24607238</v>
      </c>
    </row>
    <row r="176" spans="1:7" ht="12" customHeight="1" x14ac:dyDescent="0.2">
      <c r="A176" s="1757"/>
      <c r="B176" s="1771"/>
      <c r="C176" s="1772"/>
      <c r="D176" s="1773" t="s">
        <v>1814</v>
      </c>
      <c r="E176" s="1774"/>
      <c r="F176" s="1776">
        <f>'Cap Outlay Deprec 26'!I18</f>
        <v>1221475.7</v>
      </c>
    </row>
    <row r="177" spans="1:7" ht="12" customHeight="1" x14ac:dyDescent="0.2">
      <c r="A177" s="1757"/>
      <c r="B177" s="1771"/>
      <c r="C177" s="1772"/>
      <c r="D177" s="1773" t="s">
        <v>2055</v>
      </c>
      <c r="E177" s="1774"/>
      <c r="F177" s="1776">
        <f>F175+F176</f>
        <v>25828713.699999999</v>
      </c>
    </row>
    <row r="178" spans="1:7" ht="12" customHeight="1" x14ac:dyDescent="0.2">
      <c r="A178" s="1757"/>
      <c r="B178" s="1777"/>
      <c r="C178" s="1772"/>
      <c r="D178" s="1773" t="str">
        <f>D78</f>
        <v>9 Month ADA from District Average Daily Attendance/Prior General State Aid Inquiry 2018-2019</v>
      </c>
      <c r="E178" s="1774"/>
      <c r="F178" s="1778">
        <f>'PCTC-OEPP 27-28'!F78</f>
        <v>1287.4000000000001</v>
      </c>
      <c r="G178" s="917"/>
    </row>
    <row r="179" spans="1:7" ht="12" customHeight="1" thickBot="1" x14ac:dyDescent="0.25">
      <c r="A179" s="1757"/>
      <c r="B179" s="1777"/>
      <c r="C179" s="1772"/>
      <c r="D179" s="1773" t="s">
        <v>2056</v>
      </c>
      <c r="E179" s="1774" t="s">
        <v>1545</v>
      </c>
      <c r="F179" s="1779">
        <f>F177/F178</f>
        <v>20062.695121951219</v>
      </c>
      <c r="G179" s="843">
        <v>6323</v>
      </c>
    </row>
    <row r="180" spans="1:7" ht="12" thickTop="1" x14ac:dyDescent="0.2">
      <c r="B180" s="917"/>
      <c r="C180" s="936"/>
      <c r="D180" s="917"/>
      <c r="E180" s="936"/>
      <c r="F180" s="917"/>
      <c r="G180" s="938">
        <v>6326</v>
      </c>
    </row>
    <row r="181" spans="1:7" ht="12.2" customHeight="1" x14ac:dyDescent="0.2">
      <c r="A181" s="917" t="s">
        <v>1918</v>
      </c>
      <c r="B181" s="917"/>
      <c r="C181" s="936"/>
      <c r="D181" s="917"/>
      <c r="E181" s="936"/>
      <c r="F181" s="917"/>
      <c r="G181" s="917"/>
    </row>
    <row r="182" spans="1:7" s="1909" customFormat="1" ht="12.2" customHeight="1" x14ac:dyDescent="0.2">
      <c r="A182" s="1909" t="s">
        <v>1991</v>
      </c>
      <c r="B182" s="1910"/>
      <c r="C182" s="1911"/>
      <c r="D182" s="1910"/>
      <c r="E182" s="1911"/>
      <c r="F182" s="1910"/>
      <c r="G182" s="1910"/>
    </row>
    <row r="183" spans="1:7" s="1909" customFormat="1" ht="12.2" customHeight="1" x14ac:dyDescent="0.2">
      <c r="A183" s="1912" t="s">
        <v>1993</v>
      </c>
      <c r="C183" s="1911"/>
      <c r="D183" s="1910"/>
      <c r="E183" s="1911"/>
      <c r="F183" s="1910"/>
      <c r="G183" s="1910"/>
    </row>
    <row r="184" spans="1:7" ht="12" customHeight="1" x14ac:dyDescent="0.2">
      <c r="C184" s="936"/>
      <c r="D184" s="917"/>
      <c r="E184" s="936"/>
      <c r="F184" s="917"/>
      <c r="G184" s="917"/>
    </row>
    <row r="185" spans="1:7" x14ac:dyDescent="0.2">
      <c r="A185" s="1913" t="s">
        <v>1922</v>
      </c>
      <c r="B185" s="1914" t="s">
        <v>1921</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70" zoomScaleNormal="70" workbookViewId="0">
      <selection activeCell="I13" sqref="I13:L13"/>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1829</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420" t="s">
        <v>1815</v>
      </c>
      <c r="B4" s="2421"/>
      <c r="C4" s="2421"/>
      <c r="D4" s="2421"/>
      <c r="E4" s="2421"/>
      <c r="F4" s="2421"/>
      <c r="G4" s="2422"/>
    </row>
    <row r="5" spans="1:7" x14ac:dyDescent="0.25">
      <c r="A5" s="2423"/>
      <c r="B5" s="2424"/>
      <c r="C5" s="2424"/>
      <c r="D5" s="2424"/>
      <c r="E5" s="2424"/>
      <c r="F5" s="2424"/>
      <c r="G5" s="2425"/>
    </row>
    <row r="6" spans="1:7" ht="18.75" x14ac:dyDescent="0.25">
      <c r="A6" s="1521" t="s">
        <v>1816</v>
      </c>
      <c r="B6" s="1522"/>
      <c r="C6" s="1522"/>
      <c r="D6" s="1522"/>
      <c r="E6" s="1522"/>
      <c r="F6" s="1522"/>
      <c r="G6" s="1523"/>
    </row>
    <row r="7" spans="1:7" ht="30.75" customHeight="1" x14ac:dyDescent="0.25">
      <c r="A7" s="2426" t="s">
        <v>1929</v>
      </c>
      <c r="B7" s="2427"/>
      <c r="C7" s="2427"/>
      <c r="D7" s="2427"/>
      <c r="E7" s="2427"/>
      <c r="F7" s="2427"/>
      <c r="G7" s="2428"/>
    </row>
    <row r="8" spans="1:7" ht="15.75" customHeight="1" x14ac:dyDescent="0.25">
      <c r="A8" s="2429" t="s">
        <v>1904</v>
      </c>
      <c r="B8" s="2430"/>
      <c r="C8" s="2430"/>
      <c r="D8" s="2430"/>
      <c r="E8" s="2430"/>
      <c r="F8" s="2430"/>
      <c r="G8" s="2431"/>
    </row>
    <row r="9" spans="1:7" ht="35.25" customHeight="1" x14ac:dyDescent="0.25">
      <c r="A9" s="2426" t="s">
        <v>1932</v>
      </c>
      <c r="B9" s="2427"/>
      <c r="C9" s="2427"/>
      <c r="D9" s="2427"/>
      <c r="E9" s="2427"/>
      <c r="F9" s="2427"/>
      <c r="G9" s="2428"/>
    </row>
    <row r="10" spans="1:7" ht="15" customHeight="1" x14ac:dyDescent="0.25">
      <c r="A10" s="1524" t="s">
        <v>1817</v>
      </c>
      <c r="B10" s="1525"/>
      <c r="C10" s="1525"/>
      <c r="D10" s="1525"/>
      <c r="E10" s="1525"/>
      <c r="F10" s="1525"/>
      <c r="G10" s="1526"/>
    </row>
    <row r="11" spans="1:7" ht="17.25" customHeight="1" x14ac:dyDescent="0.25">
      <c r="A11" s="2426" t="s">
        <v>1931</v>
      </c>
      <c r="B11" s="2427"/>
      <c r="C11" s="2427"/>
      <c r="D11" s="2427"/>
      <c r="E11" s="2427"/>
      <c r="F11" s="2427"/>
      <c r="G11" s="2428"/>
    </row>
    <row r="12" spans="1:7" ht="15" customHeight="1" x14ac:dyDescent="0.25">
      <c r="A12" s="1524" t="s">
        <v>1822</v>
      </c>
      <c r="B12" s="1525"/>
      <c r="C12" s="1525"/>
      <c r="D12" s="1525"/>
      <c r="E12" s="1525"/>
      <c r="F12" s="1525"/>
      <c r="G12" s="1526"/>
    </row>
    <row r="13" spans="1:7" ht="32.25" customHeight="1" x14ac:dyDescent="0.25">
      <c r="A13" s="2417" t="s">
        <v>1973</v>
      </c>
      <c r="B13" s="2418"/>
      <c r="C13" s="2418"/>
      <c r="D13" s="2418"/>
      <c r="E13" s="2418"/>
      <c r="F13" s="2418"/>
      <c r="G13" s="2419"/>
    </row>
    <row r="14" spans="1:7" x14ac:dyDescent="0.25">
      <c r="A14" s="1648" t="s">
        <v>1830</v>
      </c>
      <c r="B14" s="1649"/>
      <c r="C14" s="1649"/>
      <c r="D14" s="1649"/>
      <c r="E14" s="1649"/>
      <c r="F14" s="1649"/>
      <c r="G14" s="1650"/>
    </row>
    <row r="15" spans="1:7" ht="61.5" customHeight="1" x14ac:dyDescent="0.25">
      <c r="A15" s="1533" t="s">
        <v>1823</v>
      </c>
      <c r="B15" s="1533" t="s">
        <v>1824</v>
      </c>
      <c r="C15" s="1533" t="s">
        <v>1825</v>
      </c>
      <c r="D15" s="1534" t="s">
        <v>1826</v>
      </c>
      <c r="E15" s="1534" t="s">
        <v>1818</v>
      </c>
      <c r="F15" s="1534" t="s">
        <v>1827</v>
      </c>
      <c r="G15" s="1534" t="s">
        <v>1828</v>
      </c>
    </row>
    <row r="16" spans="1:7" x14ac:dyDescent="0.25">
      <c r="A16" s="1635" t="s">
        <v>1831</v>
      </c>
      <c r="B16" s="1636" t="s">
        <v>1821</v>
      </c>
      <c r="C16" s="1637" t="s">
        <v>1819</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t="s">
        <v>2093</v>
      </c>
      <c r="B17" s="1925" t="s">
        <v>2094</v>
      </c>
      <c r="C17" s="1926" t="s">
        <v>2095</v>
      </c>
      <c r="D17" s="1831">
        <v>44879</v>
      </c>
      <c r="E17" s="1527">
        <f t="shared" ref="E17:E141" si="0">IF(D17&lt;=25000,D17,IF(D17&gt;25000,25000,0))</f>
        <v>25000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0">
        <f>IF(F17=0,0,D17-F17)</f>
        <v>19879</v>
      </c>
      <c r="H17" s="1634"/>
    </row>
    <row r="18" spans="1:8" x14ac:dyDescent="0.25">
      <c r="A18" s="1924" t="s">
        <v>2093</v>
      </c>
      <c r="B18" s="1925" t="s">
        <v>2097</v>
      </c>
      <c r="C18" s="1926" t="s">
        <v>2100</v>
      </c>
      <c r="D18" s="1831">
        <v>27600</v>
      </c>
      <c r="E18" s="1527">
        <f t="shared" ref="E18:E140" si="2">IF(D18&lt;=25000,D18,IF(D18&gt;25000,25000,0))</f>
        <v>25000</v>
      </c>
      <c r="F18" s="1919">
        <f t="shared" si="1"/>
        <v>25000</v>
      </c>
      <c r="G18" s="1780">
        <f t="shared" ref="G18:G140" si="3">IF(F18=0,0,D18-F18)</f>
        <v>2600</v>
      </c>
    </row>
    <row r="19" spans="1:8" x14ac:dyDescent="0.25">
      <c r="A19" s="1924" t="s">
        <v>2093</v>
      </c>
      <c r="B19" s="1925" t="s">
        <v>2098</v>
      </c>
      <c r="C19" s="1926" t="s">
        <v>2101</v>
      </c>
      <c r="D19" s="1831">
        <v>498701</v>
      </c>
      <c r="E19" s="1527">
        <f t="shared" si="2"/>
        <v>25000</v>
      </c>
      <c r="F19" s="1919">
        <f t="shared" si="1"/>
        <v>25000</v>
      </c>
      <c r="G19" s="1780">
        <f t="shared" si="3"/>
        <v>473701</v>
      </c>
    </row>
    <row r="20" spans="1:8" x14ac:dyDescent="0.25">
      <c r="A20" s="1924" t="s">
        <v>2096</v>
      </c>
      <c r="B20" s="1925" t="s">
        <v>2099</v>
      </c>
      <c r="C20" s="1926" t="s">
        <v>2102</v>
      </c>
      <c r="D20" s="1831">
        <v>197593</v>
      </c>
      <c r="E20" s="1527">
        <f t="shared" si="2"/>
        <v>25000</v>
      </c>
      <c r="F20" s="1919">
        <f t="shared" si="1"/>
        <v>25000</v>
      </c>
      <c r="G20" s="1780">
        <f t="shared" si="3"/>
        <v>172593</v>
      </c>
    </row>
    <row r="21" spans="1:8" x14ac:dyDescent="0.25">
      <c r="A21" s="1640"/>
      <c r="B21" s="1921"/>
      <c r="C21" s="1643"/>
      <c r="D21" s="1831"/>
      <c r="E21" s="1527">
        <f t="shared" si="2"/>
        <v>0</v>
      </c>
      <c r="F21" s="1919">
        <f t="shared" si="1"/>
        <v>0</v>
      </c>
      <c r="G21" s="1780">
        <f t="shared" si="3"/>
        <v>0</v>
      </c>
    </row>
    <row r="22" spans="1:8" x14ac:dyDescent="0.25">
      <c r="A22" s="1640"/>
      <c r="B22" s="1921"/>
      <c r="C22" s="1643"/>
      <c r="D22" s="1831"/>
      <c r="E22" s="1527">
        <f t="shared" si="2"/>
        <v>0</v>
      </c>
      <c r="F22" s="1919">
        <f t="shared" si="1"/>
        <v>0</v>
      </c>
      <c r="G22" s="1780">
        <f t="shared" si="3"/>
        <v>0</v>
      </c>
    </row>
    <row r="23" spans="1:8" x14ac:dyDescent="0.25">
      <c r="A23" s="1640"/>
      <c r="B23" s="1921"/>
      <c r="C23" s="1643"/>
      <c r="D23" s="1831"/>
      <c r="E23" s="1527">
        <f t="shared" si="2"/>
        <v>0</v>
      </c>
      <c r="F23" s="1919">
        <f t="shared" si="1"/>
        <v>0</v>
      </c>
      <c r="G23" s="1780">
        <f t="shared" si="3"/>
        <v>0</v>
      </c>
    </row>
    <row r="24" spans="1:8" x14ac:dyDescent="0.25">
      <c r="A24" s="1640"/>
      <c r="B24" s="1921"/>
      <c r="C24" s="1643"/>
      <c r="D24" s="1831"/>
      <c r="E24" s="1527">
        <f t="shared" si="2"/>
        <v>0</v>
      </c>
      <c r="F24" s="1919">
        <f t="shared" si="1"/>
        <v>0</v>
      </c>
      <c r="G24" s="1780">
        <f t="shared" si="3"/>
        <v>0</v>
      </c>
    </row>
    <row r="25" spans="1:8" x14ac:dyDescent="0.25">
      <c r="A25" s="1640"/>
      <c r="B25" s="1921"/>
      <c r="C25" s="1643"/>
      <c r="D25" s="1831"/>
      <c r="E25" s="1527">
        <f t="shared" si="2"/>
        <v>0</v>
      </c>
      <c r="F25" s="1919">
        <f t="shared" si="1"/>
        <v>0</v>
      </c>
      <c r="G25" s="1780">
        <f t="shared" si="3"/>
        <v>0</v>
      </c>
    </row>
    <row r="26" spans="1:8" x14ac:dyDescent="0.25">
      <c r="A26" s="1640"/>
      <c r="B26" s="1921"/>
      <c r="C26" s="1641"/>
      <c r="D26" s="1831"/>
      <c r="E26" s="1527">
        <f t="shared" si="2"/>
        <v>0</v>
      </c>
      <c r="F26" s="1919">
        <f t="shared" si="1"/>
        <v>0</v>
      </c>
      <c r="G26" s="1780">
        <f t="shared" si="3"/>
        <v>0</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768773</v>
      </c>
      <c r="E141" s="1528">
        <f t="shared" si="0"/>
        <v>25000</v>
      </c>
      <c r="F141" s="1920">
        <f>SUM(F17:F140)</f>
        <v>100000</v>
      </c>
      <c r="G141" s="1782">
        <f>SUM(G17:G140)</f>
        <v>668773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I13" sqref="I13:L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39" t="s">
        <v>1116</v>
      </c>
      <c r="B2" s="940"/>
      <c r="C2" s="940"/>
      <c r="D2" s="940"/>
      <c r="E2" s="941"/>
      <c r="F2" s="941"/>
      <c r="G2" s="942"/>
    </row>
    <row r="3" spans="1:9" ht="12" customHeight="1" x14ac:dyDescent="0.2">
      <c r="A3" s="943" t="s">
        <v>1356</v>
      </c>
      <c r="B3" s="944"/>
      <c r="C3" s="944"/>
      <c r="D3" s="944"/>
      <c r="E3" s="945"/>
      <c r="F3" s="945"/>
      <c r="G3" s="946"/>
    </row>
    <row r="4" spans="1:9" x14ac:dyDescent="0.2">
      <c r="A4" s="947" t="s">
        <v>755</v>
      </c>
      <c r="B4" s="948"/>
      <c r="C4" s="948"/>
      <c r="D4" s="948"/>
      <c r="E4" s="949"/>
      <c r="F4" s="950"/>
      <c r="G4" s="951"/>
      <c r="H4" s="252"/>
      <c r="I4" s="252"/>
    </row>
    <row r="5" spans="1:9" s="343" customFormat="1" ht="57" customHeight="1" x14ac:dyDescent="0.2">
      <c r="A5" s="2432" t="s">
        <v>1679</v>
      </c>
      <c r="B5" s="2433"/>
      <c r="C5" s="2433"/>
      <c r="D5" s="2433"/>
      <c r="E5" s="2433"/>
      <c r="F5" s="2433"/>
      <c r="G5" s="2434"/>
      <c r="H5" s="252"/>
      <c r="I5" s="600"/>
    </row>
    <row r="6" spans="1:9" s="657" customFormat="1" x14ac:dyDescent="0.2">
      <c r="A6" s="1624" t="s">
        <v>205</v>
      </c>
      <c r="B6" s="953"/>
      <c r="C6" s="953"/>
      <c r="D6" s="954"/>
      <c r="E6" s="954"/>
      <c r="F6" s="955"/>
      <c r="G6" s="956"/>
      <c r="H6" s="162"/>
      <c r="I6" s="162"/>
    </row>
    <row r="7" spans="1:9" s="657" customFormat="1" ht="12" customHeight="1" x14ac:dyDescent="0.2">
      <c r="A7" s="957" t="s">
        <v>908</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1930</v>
      </c>
      <c r="B10" s="958"/>
      <c r="C10" s="963"/>
      <c r="D10" s="959"/>
      <c r="E10" s="960">
        <f>MIN('Revenues 9-14'!C198,('Expenditures 15-22'!E63+'Expenditures 15-22'!F63))</f>
        <v>335163</v>
      </c>
      <c r="F10" s="961"/>
      <c r="G10" s="962"/>
      <c r="H10" s="162"/>
      <c r="I10" s="162"/>
    </row>
    <row r="11" spans="1:9" s="657" customFormat="1" ht="22.5" customHeight="1" x14ac:dyDescent="0.2">
      <c r="A11" s="2437" t="s">
        <v>1974</v>
      </c>
      <c r="B11" s="2438"/>
      <c r="C11" s="2438"/>
      <c r="D11" s="2439"/>
      <c r="E11" s="964">
        <f>30085+995</f>
        <v>31080</v>
      </c>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371</v>
      </c>
      <c r="B15" s="954"/>
      <c r="C15" s="954"/>
      <c r="D15" s="954"/>
      <c r="E15" s="954"/>
      <c r="F15" s="954"/>
      <c r="G15" s="968"/>
      <c r="H15" s="162"/>
      <c r="I15" s="162"/>
    </row>
    <row r="16" spans="1:9" s="657" customFormat="1" x14ac:dyDescent="0.2">
      <c r="A16" s="969" t="s">
        <v>1376</v>
      </c>
      <c r="B16" s="970"/>
      <c r="C16" s="971"/>
      <c r="D16" s="950"/>
      <c r="E16" s="945"/>
      <c r="F16" s="945"/>
      <c r="G16" s="946"/>
      <c r="H16" s="162"/>
      <c r="I16" s="162"/>
    </row>
    <row r="17" spans="1:9" s="657" customFormat="1" ht="12" customHeight="1" x14ac:dyDescent="0.2">
      <c r="A17" s="972"/>
      <c r="B17" s="973"/>
      <c r="C17" s="329"/>
      <c r="D17" s="1625" t="s">
        <v>532</v>
      </c>
      <c r="E17" s="1626"/>
      <c r="F17" s="1625" t="s">
        <v>433</v>
      </c>
      <c r="G17" s="1627"/>
      <c r="H17" s="162"/>
      <c r="I17" s="162"/>
    </row>
    <row r="18" spans="1:9" s="259" customFormat="1" ht="11.25" x14ac:dyDescent="0.2">
      <c r="A18" s="975"/>
      <c r="C18" s="976" t="s">
        <v>434</v>
      </c>
      <c r="D18" s="1628" t="s">
        <v>435</v>
      </c>
      <c r="E18" s="1628" t="s">
        <v>53</v>
      </c>
      <c r="F18" s="1628" t="s">
        <v>435</v>
      </c>
      <c r="G18" s="1628" t="s">
        <v>53</v>
      </c>
      <c r="H18" s="178"/>
      <c r="I18" s="178"/>
    </row>
    <row r="19" spans="1:9" s="657" customFormat="1" ht="12" customHeight="1" x14ac:dyDescent="0.2">
      <c r="A19" s="977" t="s">
        <v>456</v>
      </c>
      <c r="B19" s="978"/>
      <c r="C19" s="979" t="s">
        <v>570</v>
      </c>
      <c r="D19" s="1786"/>
      <c r="E19" s="1787">
        <f>'Expenditures 15-22'!K33-SUM('Expenditures 15-22'!G33,'Expenditures 15-22'!I33)+'Expenditures 15-22'!D229</f>
        <v>15810224</v>
      </c>
      <c r="F19" s="1786"/>
      <c r="G19" s="1788">
        <f>'Expenditures 15-22'!K33-SUM('Expenditures 15-22'!G33,'Expenditures 15-22'!I33)+'Expenditures 15-22'!D229</f>
        <v>15810224</v>
      </c>
      <c r="H19" s="974"/>
      <c r="I19" s="162"/>
    </row>
    <row r="20" spans="1:9" s="657" customFormat="1" ht="12" customHeight="1" x14ac:dyDescent="0.2">
      <c r="A20" s="977" t="s">
        <v>54</v>
      </c>
      <c r="B20" s="978"/>
      <c r="C20" s="980"/>
      <c r="D20" s="1789"/>
      <c r="E20" s="1789"/>
      <c r="F20" s="1789"/>
      <c r="G20" s="1790"/>
      <c r="H20" s="974"/>
      <c r="I20" s="162"/>
    </row>
    <row r="21" spans="1:9" s="657" customFormat="1" ht="12" customHeight="1" x14ac:dyDescent="0.2">
      <c r="A21" s="981" t="s">
        <v>401</v>
      </c>
      <c r="B21" s="982"/>
      <c r="C21" s="980">
        <v>2100</v>
      </c>
      <c r="D21" s="1789"/>
      <c r="E21" s="1791">
        <f>'Expenditures 15-22'!K42-SUM('Expenditures 15-22'!G42,'Expenditures 15-22'!I42)+'Expenditures 15-22'!K120-SUM('Expenditures 15-22'!G120,'Expenditures 15-22'!I120)+'Expenditures 15-22'!K180-SUM('Expenditures 15-22'!G180,'Expenditures 15-22'!I180)+'Expenditures 15-22'!D238</f>
        <v>2338802</v>
      </c>
      <c r="F21" s="1789"/>
      <c r="G21" s="1792">
        <f>'Expenditures 15-22'!K42-SUM('Expenditures 15-22'!G42,'Expenditures 15-22'!I42)+'Expenditures 15-22'!K120-SUM('Expenditures 15-22'!G120,'Expenditures 15-22'!I120)+'Expenditures 15-22'!K180-SUM('Expenditures 15-22'!G180,'Expenditures 15-22'!I180)+'Expenditures 15-22'!D238</f>
        <v>2338802</v>
      </c>
      <c r="H21" s="974"/>
      <c r="I21" s="162"/>
    </row>
    <row r="22" spans="1:9" s="657" customFormat="1" ht="12" customHeight="1" x14ac:dyDescent="0.2">
      <c r="A22" s="981" t="s">
        <v>564</v>
      </c>
      <c r="B22" s="982"/>
      <c r="C22" s="980">
        <v>2200</v>
      </c>
      <c r="D22" s="1789"/>
      <c r="E22" s="1791">
        <f>'Expenditures 15-22'!K47-SUM('Expenditures 15-22'!G47,'Expenditures 15-22'!I47)+'Expenditures 15-22'!D243</f>
        <v>790897</v>
      </c>
      <c r="F22" s="1789"/>
      <c r="G22" s="1792">
        <f>'Expenditures 15-22'!K47-SUM('Expenditures 15-22'!G47,'Expenditures 15-22'!I47)+'Expenditures 15-22'!D243</f>
        <v>790897</v>
      </c>
      <c r="H22" s="974"/>
      <c r="I22" s="162"/>
    </row>
    <row r="23" spans="1:9" s="657" customFormat="1" ht="12" customHeight="1" x14ac:dyDescent="0.2">
      <c r="A23" s="981" t="s">
        <v>565</v>
      </c>
      <c r="B23" s="982"/>
      <c r="C23" s="980">
        <v>2300</v>
      </c>
      <c r="D23" s="1789"/>
      <c r="E23" s="1791">
        <f>'Expenditures 15-22'!K53-SUM('Expenditures 15-22'!G53,'Expenditures 15-22'!I53)+'Expenditures 15-22'!D257+'Expenditures 15-22'!K330-SUM('Expenditures 15-22'!G330,'Expenditures 15-22'!I330)</f>
        <v>625333</v>
      </c>
      <c r="F23" s="1789"/>
      <c r="G23" s="1791">
        <f>'Expenditures 15-22'!K53-SUM('Expenditures 15-22'!G53,'Expenditures 15-22'!I53)+'Expenditures 15-22'!D257+'Expenditures 15-22'!K330-SUM('Expenditures 15-22'!G330,'Expenditures 15-22'!I330)</f>
        <v>625333</v>
      </c>
      <c r="H23" s="974"/>
      <c r="I23" s="162"/>
    </row>
    <row r="24" spans="1:9" s="657" customFormat="1" ht="12" customHeight="1" x14ac:dyDescent="0.2">
      <c r="A24" s="981" t="s">
        <v>566</v>
      </c>
      <c r="B24" s="982"/>
      <c r="C24" s="980">
        <v>2400</v>
      </c>
      <c r="D24" s="1789"/>
      <c r="E24" s="1791">
        <f>'Expenditures 15-22'!K57-SUM('Expenditures 15-22'!G57,'Expenditures 15-22'!I57)+'Expenditures 15-22'!D261</f>
        <v>1201889</v>
      </c>
      <c r="F24" s="1789"/>
      <c r="G24" s="1792">
        <f>'Expenditures 15-22'!K57-SUM('Expenditures 15-22'!G57,'Expenditures 15-22'!I57)+'Expenditures 15-22'!D261</f>
        <v>1201889</v>
      </c>
      <c r="H24" s="974"/>
      <c r="I24" s="162"/>
    </row>
    <row r="25" spans="1:9" s="657" customFormat="1" ht="12" customHeight="1" x14ac:dyDescent="0.2">
      <c r="A25" s="977" t="s">
        <v>567</v>
      </c>
      <c r="B25" s="983"/>
      <c r="C25" s="980"/>
      <c r="D25" s="1789"/>
      <c r="E25" s="1791"/>
      <c r="F25" s="1789"/>
      <c r="G25" s="1792"/>
      <c r="H25" s="974"/>
      <c r="I25" s="162"/>
    </row>
    <row r="26" spans="1:9" s="657" customFormat="1" ht="12" customHeight="1" x14ac:dyDescent="0.2">
      <c r="A26" s="981" t="s">
        <v>515</v>
      </c>
      <c r="B26" s="984"/>
      <c r="C26" s="980">
        <v>2510</v>
      </c>
      <c r="D26" s="1791">
        <f>'Expenditures 15-22'!K59-SUM('Expenditures 15-22'!G59,'Expenditures 15-22'!I59)+'Expenditures 15-22'!D263-E7</f>
        <v>202103</v>
      </c>
      <c r="E26" s="1791">
        <f>'Expenditures 15-22'!K122-SUM('Expenditures 15-22'!G122,'Expenditures 15-22'!I122)+E7</f>
        <v>0</v>
      </c>
      <c r="F26" s="1791">
        <f>'Expenditures 15-22'!K59-SUM('Expenditures 15-22'!G59,'Expenditures 15-22'!I59)+'Expenditures 15-22'!D263-E7</f>
        <v>202103</v>
      </c>
      <c r="G26" s="1792">
        <f>'Expenditures 15-22'!K122-SUM('Expenditures 15-22'!G122,'Expenditures 15-22'!I122)+E7</f>
        <v>0</v>
      </c>
      <c r="H26" s="974"/>
      <c r="I26" s="162"/>
    </row>
    <row r="27" spans="1:9" s="657" customFormat="1" ht="12" customHeight="1" x14ac:dyDescent="0.2">
      <c r="A27" s="981" t="s">
        <v>463</v>
      </c>
      <c r="B27" s="984"/>
      <c r="C27" s="980">
        <v>2520</v>
      </c>
      <c r="D27" s="1791">
        <f>'Expenditures 15-22'!K60-SUM('Expenditures 15-22'!G60,'Expenditures 15-22'!I60)+'Expenditures 15-22'!D264-E8</f>
        <v>497654</v>
      </c>
      <c r="E27" s="1791">
        <f>E8</f>
        <v>0</v>
      </c>
      <c r="F27" s="1791">
        <f>'Expenditures 15-22'!K60-SUM('Expenditures 15-22'!G60,'Expenditures 15-22'!I60)+'Expenditures 15-22'!D264-E8</f>
        <v>497654</v>
      </c>
      <c r="G27" s="1792">
        <f>E8</f>
        <v>0</v>
      </c>
      <c r="H27" s="974"/>
      <c r="I27" s="162"/>
    </row>
    <row r="28" spans="1:9" s="657" customFormat="1" ht="12" customHeight="1" x14ac:dyDescent="0.2">
      <c r="A28" s="981" t="s">
        <v>516</v>
      </c>
      <c r="B28" s="984"/>
      <c r="C28" s="980">
        <v>2540</v>
      </c>
      <c r="D28" s="1793"/>
      <c r="E28" s="1791">
        <f>'Expenditures 15-22'!K61-SUM('Expenditures 15-22'!G61,'Expenditures 15-22'!I61)+'Expenditures 15-22'!K124-SUM('Expenditures 15-22'!G124,'Expenditures 15-22'!I124)+'Expenditures 15-22'!D266</f>
        <v>2564628</v>
      </c>
      <c r="F28" s="1793">
        <f>'Expenditures 15-22'!K61-SUM('Expenditures 15-22'!G61,'Expenditures 15-22'!I61)+'Expenditures 15-22'!K124-SUM('Expenditures 15-22'!G124,'Expenditures 15-22'!I124)+'Expenditures 15-22'!D266-E9</f>
        <v>2564628</v>
      </c>
      <c r="G28" s="1792">
        <f>E9</f>
        <v>0</v>
      </c>
      <c r="H28" s="974"/>
      <c r="I28" s="162"/>
    </row>
    <row r="29" spans="1:9" ht="12" customHeight="1" x14ac:dyDescent="0.2">
      <c r="A29" s="981" t="s">
        <v>517</v>
      </c>
      <c r="B29" s="984"/>
      <c r="C29" s="980">
        <v>2550</v>
      </c>
      <c r="D29" s="1789"/>
      <c r="E29" s="1791">
        <f>'Expenditures 15-22'!K62-SUM('Expenditures 15-22'!G62,'Expenditures 15-22'!I62)+'Expenditures 15-22'!K125-SUM('Expenditures 15-22'!G125,'Expenditures 15-22'!I125)+'Expenditures 15-22'!K182-SUM('Expenditures 15-22'!G182,'Expenditures 15-22'!I182)+'Expenditures 15-22'!D267</f>
        <v>1530217</v>
      </c>
      <c r="F29" s="1789"/>
      <c r="G29" s="1792">
        <f>'Expenditures 15-22'!K62-SUM('Expenditures 15-22'!G62,'Expenditures 15-22'!I62)+'Expenditures 15-22'!K125-SUM('Expenditures 15-22'!G125,'Expenditures 15-22'!I125)+'Expenditures 15-22'!K182-SUM('Expenditures 15-22'!G182,'Expenditures 15-22'!I182)+'Expenditures 15-22'!D267</f>
        <v>1530217</v>
      </c>
      <c r="H29" s="972"/>
    </row>
    <row r="30" spans="1:9" ht="12" customHeight="1" x14ac:dyDescent="0.2">
      <c r="A30" s="981" t="s">
        <v>100</v>
      </c>
      <c r="B30" s="984"/>
      <c r="C30" s="980">
        <v>2560</v>
      </c>
      <c r="D30" s="1789"/>
      <c r="E30" s="1791">
        <f>'Expenditures 15-22'!K63-SUM('Expenditures 15-22'!G63,'Expenditures 15-22'!I63)+'Expenditures 15-22'!D268-E10</f>
        <v>214167</v>
      </c>
      <c r="F30" s="1789"/>
      <c r="G30" s="1791">
        <f>'Expenditures 15-22'!K63-SUM('Expenditures 15-22'!G63,'Expenditures 15-22'!I63)+'Expenditures 15-22'!D268-E10</f>
        <v>214167</v>
      </c>
    </row>
    <row r="31" spans="1:9" ht="12" customHeight="1" x14ac:dyDescent="0.2">
      <c r="A31" s="981" t="s">
        <v>101</v>
      </c>
      <c r="B31" s="984"/>
      <c r="C31" s="980">
        <v>2570</v>
      </c>
      <c r="D31" s="1791">
        <f>'Expenditures 15-22'!K64-SUM('Expenditures 15-22'!G64,'Expenditures 15-22'!I64)+'Expenditures 15-22'!D269-E12</f>
        <v>140248</v>
      </c>
      <c r="E31" s="1791">
        <f>E12</f>
        <v>0</v>
      </c>
      <c r="F31" s="1791">
        <f>'Expenditures 15-22'!K64-SUM('Expenditures 15-22'!G64,'Expenditures 15-22'!I64)+'Expenditures 15-22'!D269-E12</f>
        <v>140248</v>
      </c>
      <c r="G31" s="1791">
        <f>E12</f>
        <v>0</v>
      </c>
    </row>
    <row r="32" spans="1:9" ht="12" customHeight="1" x14ac:dyDescent="0.2">
      <c r="A32" s="977" t="s">
        <v>518</v>
      </c>
      <c r="B32" s="983"/>
      <c r="C32" s="980"/>
      <c r="D32" s="1789"/>
      <c r="E32" s="1789"/>
      <c r="F32" s="1789"/>
      <c r="G32" s="1789"/>
    </row>
    <row r="33" spans="1:7" ht="12" customHeight="1" x14ac:dyDescent="0.2">
      <c r="A33" s="981" t="s">
        <v>519</v>
      </c>
      <c r="B33" s="984"/>
      <c r="C33" s="980">
        <v>2610</v>
      </c>
      <c r="D33" s="1789"/>
      <c r="E33" s="1791">
        <f>'Expenditures 15-22'!K67-SUM('Expenditures 15-22'!G67,'Expenditures 15-22'!I67)+'Expenditures 15-22'!D272</f>
        <v>93971</v>
      </c>
      <c r="F33" s="1789"/>
      <c r="G33" s="1791">
        <f>'Expenditures 15-22'!K67-SUM('Expenditures 15-22'!G67,'Expenditures 15-22'!I67)+'Expenditures 15-22'!D272</f>
        <v>93971</v>
      </c>
    </row>
    <row r="34" spans="1:7" ht="12" customHeight="1" x14ac:dyDescent="0.2">
      <c r="A34" s="981" t="s">
        <v>520</v>
      </c>
      <c r="B34" s="984"/>
      <c r="C34" s="980">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81" t="s">
        <v>1061</v>
      </c>
      <c r="B35" s="984"/>
      <c r="C35" s="980">
        <v>2630</v>
      </c>
      <c r="D35" s="1789"/>
      <c r="E35" s="1791">
        <f>'Expenditures 15-22'!K69-SUM('Expenditures 15-22'!G69,'Expenditures 15-22'!I69)+'Expenditures 15-22'!D274</f>
        <v>138940</v>
      </c>
      <c r="F35" s="1789"/>
      <c r="G35" s="1791">
        <f>'Expenditures 15-22'!K69-SUM('Expenditures 15-22'!G69,'Expenditures 15-22'!I69)+'Expenditures 15-22'!D274</f>
        <v>138940</v>
      </c>
    </row>
    <row r="36" spans="1:7" ht="12" customHeight="1" x14ac:dyDescent="0.2">
      <c r="A36" s="981" t="s">
        <v>403</v>
      </c>
      <c r="B36" s="984"/>
      <c r="C36" s="980">
        <v>2640</v>
      </c>
      <c r="D36" s="1791">
        <f>'Expenditures 15-22'!K70-SUM('Expenditures 15-22'!G70,'Expenditures 15-22'!I70)+'Expenditures 15-22'!D275-E13</f>
        <v>66928</v>
      </c>
      <c r="E36" s="1791">
        <f>E13</f>
        <v>0</v>
      </c>
      <c r="F36" s="1791">
        <f>'Expenditures 15-22'!K70-SUM('Expenditures 15-22'!G70,'Expenditures 15-22'!I70)+'Expenditures 15-22'!D275-E13</f>
        <v>66928</v>
      </c>
      <c r="G36" s="1791">
        <f>E13</f>
        <v>0</v>
      </c>
    </row>
    <row r="37" spans="1:7" ht="12" customHeight="1" x14ac:dyDescent="0.2">
      <c r="A37" s="981" t="s">
        <v>404</v>
      </c>
      <c r="B37" s="984"/>
      <c r="C37" s="980">
        <v>2660</v>
      </c>
      <c r="D37" s="1791">
        <f>'Expenditures 15-22'!K71-SUM('Expenditures 15-22'!G71,'Expenditures 15-22'!I71)+'Expenditures 15-22'!D276-E14</f>
        <v>656219</v>
      </c>
      <c r="E37" s="1791">
        <f>E14</f>
        <v>0</v>
      </c>
      <c r="F37" s="1791">
        <f>'Expenditures 15-22'!K71-SUM('Expenditures 15-22'!G71,'Expenditures 15-22'!I71)+'Expenditures 15-22'!D276-E14</f>
        <v>656219</v>
      </c>
      <c r="G37" s="1791">
        <f>E14</f>
        <v>0</v>
      </c>
    </row>
    <row r="38" spans="1:7" ht="12" customHeight="1" x14ac:dyDescent="0.2">
      <c r="A38" s="977" t="s">
        <v>521</v>
      </c>
      <c r="B38" s="978"/>
      <c r="C38" s="980">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449</v>
      </c>
      <c r="B39" s="978"/>
      <c r="C39" s="980">
        <v>3000</v>
      </c>
      <c r="D39" s="1789"/>
      <c r="E39" s="1791">
        <f>'Expenditures 15-22'!K75-SUM('Expenditures 15-22'!G75,'Expenditures 15-22'!I75)+'Expenditures 15-22'!K130-SUM('Expenditures 15-22'!G130,'Expenditures 15-22'!I130)+'Expenditures 15-22'!K185-SUM('Expenditures 15-22'!G185,'Expenditures 15-22'!I185)+'Expenditures 15-22'!D280</f>
        <v>3264</v>
      </c>
      <c r="F39" s="1789"/>
      <c r="G39" s="1791">
        <f>'Expenditures 15-22'!K75-SUM('Expenditures 15-22'!G75,'Expenditures 15-22'!I75)+'Expenditures 15-22'!K130-SUM('Expenditures 15-22'!G130,'Expenditures 15-22'!I130)+'Expenditures 15-22'!K185-SUM('Expenditures 15-22'!G185,'Expenditures 15-22'!I185)+'Expenditures 15-22'!D280</f>
        <v>3264</v>
      </c>
    </row>
    <row r="40" spans="1:7" ht="12" customHeight="1" x14ac:dyDescent="0.2">
      <c r="A40" s="977" t="s">
        <v>1820</v>
      </c>
      <c r="B40" s="978"/>
      <c r="C40" s="980"/>
      <c r="D40" s="1789"/>
      <c r="E40" s="1793">
        <f>-'Contracts Paid in CY 29'!G141</f>
        <v>-668773</v>
      </c>
      <c r="F40" s="1789"/>
      <c r="G40" s="1793">
        <f>-'Contracts Paid in CY 29'!G141</f>
        <v>-668773</v>
      </c>
    </row>
    <row r="41" spans="1:7" ht="12" customHeight="1" x14ac:dyDescent="0.2">
      <c r="A41" s="985" t="s">
        <v>156</v>
      </c>
      <c r="B41" s="986"/>
      <c r="C41" s="987"/>
      <c r="D41" s="1793">
        <f>SUM(D19:D39)</f>
        <v>1563152</v>
      </c>
      <c r="E41" s="1793">
        <f>SUM(E19:E40)</f>
        <v>24643559</v>
      </c>
      <c r="F41" s="1793">
        <f>SUM(F19:F39)</f>
        <v>4127780</v>
      </c>
      <c r="G41" s="1793">
        <f>SUM(G19:G40)</f>
        <v>22078931</v>
      </c>
    </row>
    <row r="42" spans="1:7" x14ac:dyDescent="0.2">
      <c r="A42" s="974"/>
      <c r="B42" s="162"/>
      <c r="C42" s="988"/>
      <c r="D42" s="2435" t="s">
        <v>522</v>
      </c>
      <c r="E42" s="2436"/>
      <c r="F42" s="989" t="s">
        <v>523</v>
      </c>
      <c r="G42" s="990"/>
    </row>
    <row r="43" spans="1:7" ht="12" customHeight="1" x14ac:dyDescent="0.2">
      <c r="A43" s="974"/>
      <c r="B43" s="162"/>
      <c r="C43" s="988"/>
      <c r="D43" s="1794" t="s">
        <v>473</v>
      </c>
      <c r="E43" s="1795">
        <f>D41</f>
        <v>1563152</v>
      </c>
      <c r="F43" s="1794" t="s">
        <v>473</v>
      </c>
      <c r="G43" s="1795">
        <f>F41</f>
        <v>4127780</v>
      </c>
    </row>
    <row r="44" spans="1:7" ht="12" customHeight="1" x14ac:dyDescent="0.2">
      <c r="A44" s="974"/>
      <c r="B44" s="162"/>
      <c r="C44" s="988"/>
      <c r="D44" s="1794" t="s">
        <v>474</v>
      </c>
      <c r="E44" s="1795">
        <f>E41</f>
        <v>24643559</v>
      </c>
      <c r="F44" s="1794" t="s">
        <v>474</v>
      </c>
      <c r="G44" s="1795">
        <f>G41</f>
        <v>22078931</v>
      </c>
    </row>
    <row r="45" spans="1:7" ht="12" customHeight="1" x14ac:dyDescent="0.2">
      <c r="A45" s="974"/>
      <c r="B45" s="162"/>
      <c r="C45" s="162"/>
      <c r="D45" s="1796" t="s">
        <v>1006</v>
      </c>
      <c r="E45" s="1797">
        <f>(E43/E44)</f>
        <v>6.3430448499747952E-2</v>
      </c>
      <c r="F45" s="1796" t="s">
        <v>1006</v>
      </c>
      <c r="G45" s="1797">
        <f>(G43/G44)</f>
        <v>0.18695560939974856</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Normal="100" workbookViewId="0">
      <pane ySplit="4" topLeftCell="A11" activePane="bottomLeft" state="frozen"/>
      <selection activeCell="I13" sqref="I13:L13"/>
      <selection pane="bottomLeft" activeCell="I13" sqref="I13:L13"/>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5703125" style="1865" bestFit="1" customWidth="1"/>
    <col min="9" max="10" width="2" style="1865" bestFit="1" customWidth="1"/>
    <col min="11" max="11" width="9" style="1865" customWidth="1"/>
    <col min="12" max="16384" width="9.140625" style="1834"/>
  </cols>
  <sheetData>
    <row r="1" spans="1:10" x14ac:dyDescent="0.2">
      <c r="A1" s="2443" t="s">
        <v>1379</v>
      </c>
      <c r="B1" s="2443"/>
      <c r="C1" s="2443"/>
      <c r="D1" s="2443"/>
      <c r="E1" s="2443"/>
      <c r="F1" s="2443"/>
    </row>
    <row r="2" spans="1:10" x14ac:dyDescent="0.2">
      <c r="A2" s="1874" t="s">
        <v>1909</v>
      </c>
      <c r="B2" s="1835"/>
      <c r="C2" s="1874"/>
      <c r="D2" s="1835"/>
      <c r="E2" s="1835"/>
      <c r="F2" s="1836"/>
    </row>
    <row r="3" spans="1:10" x14ac:dyDescent="0.2">
      <c r="A3" s="1874" t="s">
        <v>1975</v>
      </c>
      <c r="B3" s="1835"/>
      <c r="C3" s="1874"/>
      <c r="D3" s="1835"/>
      <c r="E3" s="1835"/>
      <c r="F3" s="1836"/>
    </row>
    <row r="4" spans="1:10" ht="3.75" customHeight="1" x14ac:dyDescent="0.2">
      <c r="A4" s="1835"/>
      <c r="B4" s="1835"/>
      <c r="C4" s="1835"/>
      <c r="D4" s="1835"/>
      <c r="E4" s="1835"/>
      <c r="F4" s="1836"/>
    </row>
    <row r="5" spans="1:10" ht="15" x14ac:dyDescent="0.25">
      <c r="A5" s="2444" t="s">
        <v>1546</v>
      </c>
      <c r="B5" s="2445"/>
      <c r="C5" s="2446"/>
      <c r="D5" s="2446"/>
      <c r="E5" s="2446"/>
      <c r="F5" s="2446"/>
    </row>
    <row r="6" spans="1:10" ht="12" customHeight="1" x14ac:dyDescent="0.25">
      <c r="A6" s="1837"/>
      <c r="B6" s="1838"/>
      <c r="C6" s="2447" t="str">
        <f>COVER!A17</f>
        <v>Fenton CHSD 100</v>
      </c>
      <c r="D6" s="2447"/>
      <c r="E6" s="2447"/>
      <c r="F6" s="1839"/>
    </row>
    <row r="7" spans="1:10" ht="11.25" customHeight="1" thickBot="1" x14ac:dyDescent="0.3">
      <c r="A7" s="1837"/>
      <c r="B7" s="1838"/>
      <c r="C7" s="2448">
        <f>COVER!A13</f>
        <v>19022100016</v>
      </c>
      <c r="D7" s="2448"/>
      <c r="E7" s="2448"/>
      <c r="F7" s="1839"/>
    </row>
    <row r="8" spans="1:10" ht="25.5" customHeight="1" thickBot="1" x14ac:dyDescent="0.25">
      <c r="A8" s="1880" t="s">
        <v>1905</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t="s">
        <v>2061</v>
      </c>
      <c r="D11" s="1852" t="s">
        <v>2061</v>
      </c>
      <c r="E11" s="1853"/>
      <c r="F11" s="1854" t="s">
        <v>2077</v>
      </c>
      <c r="H11" s="1865">
        <f>IF(C11="X",5,0)</f>
        <v>5</v>
      </c>
      <c r="I11" s="1865">
        <f>IF(D11="X",5,0)</f>
        <v>5</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t="s">
        <v>2061</v>
      </c>
      <c r="D14" s="1852" t="s">
        <v>2061</v>
      </c>
      <c r="E14" s="1855"/>
      <c r="F14" s="1854" t="s">
        <v>2078</v>
      </c>
      <c r="H14" s="1865">
        <f t="shared" si="0"/>
        <v>5</v>
      </c>
      <c r="I14" s="1865">
        <f t="shared" si="1"/>
        <v>5</v>
      </c>
      <c r="J14" s="1865">
        <f t="shared" si="2"/>
        <v>0</v>
      </c>
    </row>
    <row r="15" spans="1:10" ht="12" customHeight="1" x14ac:dyDescent="0.2">
      <c r="A15" s="1850" t="s">
        <v>1387</v>
      </c>
      <c r="B15" s="1851"/>
      <c r="C15" s="1852" t="s">
        <v>2061</v>
      </c>
      <c r="D15" s="1852" t="s">
        <v>2061</v>
      </c>
      <c r="E15" s="1855"/>
      <c r="F15" s="1854" t="s">
        <v>2079</v>
      </c>
      <c r="H15" s="1865">
        <f t="shared" si="0"/>
        <v>5</v>
      </c>
      <c r="I15" s="1865">
        <f t="shared" si="1"/>
        <v>5</v>
      </c>
      <c r="J15" s="1865">
        <f t="shared" si="2"/>
        <v>0</v>
      </c>
    </row>
    <row r="16" spans="1:10" ht="12" customHeight="1" x14ac:dyDescent="0.2">
      <c r="A16" s="1850" t="s">
        <v>1388</v>
      </c>
      <c r="B16" s="1851"/>
      <c r="C16" s="1852" t="s">
        <v>2061</v>
      </c>
      <c r="D16" s="1852" t="s">
        <v>2061</v>
      </c>
      <c r="E16" s="1855"/>
      <c r="F16" s="1854" t="s">
        <v>2080</v>
      </c>
      <c r="H16" s="1865">
        <f t="shared" si="0"/>
        <v>5</v>
      </c>
      <c r="I16" s="1865">
        <f t="shared" si="1"/>
        <v>5</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2061</v>
      </c>
      <c r="D19" s="1852" t="s">
        <v>2061</v>
      </c>
      <c r="E19" s="1855"/>
      <c r="F19" s="1854" t="s">
        <v>2081</v>
      </c>
      <c r="H19" s="1865">
        <f t="shared" si="0"/>
        <v>5</v>
      </c>
      <c r="I19" s="1865">
        <f t="shared" si="1"/>
        <v>5</v>
      </c>
      <c r="J19" s="1865">
        <f t="shared" si="2"/>
        <v>0</v>
      </c>
    </row>
    <row r="20" spans="1:12" ht="12" customHeight="1" x14ac:dyDescent="0.2">
      <c r="A20" s="1850" t="s">
        <v>1528</v>
      </c>
      <c r="B20" s="1851"/>
      <c r="C20" s="1852" t="s">
        <v>2061</v>
      </c>
      <c r="D20" s="1852" t="s">
        <v>2061</v>
      </c>
      <c r="E20" s="1855"/>
      <c r="F20" s="1854" t="s">
        <v>2082</v>
      </c>
      <c r="H20" s="1865">
        <f t="shared" si="0"/>
        <v>5</v>
      </c>
      <c r="I20" s="1865">
        <f t="shared" si="1"/>
        <v>5</v>
      </c>
      <c r="J20" s="1865">
        <f t="shared" si="2"/>
        <v>0</v>
      </c>
    </row>
    <row r="21" spans="1:12" ht="12" customHeight="1" x14ac:dyDescent="0.2">
      <c r="A21" s="1850" t="s">
        <v>1529</v>
      </c>
      <c r="B21" s="1851"/>
      <c r="C21" s="1852" t="s">
        <v>2061</v>
      </c>
      <c r="D21" s="1852" t="s">
        <v>2061</v>
      </c>
      <c r="E21" s="1855"/>
      <c r="F21" s="1854" t="s">
        <v>2083</v>
      </c>
      <c r="H21" s="1865">
        <f t="shared" si="0"/>
        <v>5</v>
      </c>
      <c r="I21" s="1865">
        <f t="shared" si="1"/>
        <v>5</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t="s">
        <v>2061</v>
      </c>
      <c r="D23" s="1852" t="s">
        <v>2061</v>
      </c>
      <c r="E23" s="1855"/>
      <c r="F23" s="1854" t="s">
        <v>2084</v>
      </c>
      <c r="H23" s="1865">
        <f t="shared" si="0"/>
        <v>5</v>
      </c>
      <c r="I23" s="1865">
        <f t="shared" si="1"/>
        <v>5</v>
      </c>
      <c r="J23" s="1865">
        <f t="shared" si="2"/>
        <v>0</v>
      </c>
    </row>
    <row r="24" spans="1:12" ht="12" customHeight="1" x14ac:dyDescent="0.2">
      <c r="A24" s="1850" t="s">
        <v>1532</v>
      </c>
      <c r="B24" s="1851"/>
      <c r="C24" s="1852" t="s">
        <v>2061</v>
      </c>
      <c r="D24" s="1852" t="s">
        <v>2061</v>
      </c>
      <c r="E24" s="1855"/>
      <c r="F24" s="1854" t="s">
        <v>2085</v>
      </c>
      <c r="H24" s="1865">
        <f t="shared" si="0"/>
        <v>5</v>
      </c>
      <c r="I24" s="1865">
        <f t="shared" si="1"/>
        <v>5</v>
      </c>
      <c r="J24" s="1865">
        <f t="shared" si="2"/>
        <v>0</v>
      </c>
    </row>
    <row r="25" spans="1:12" ht="12" customHeight="1" x14ac:dyDescent="0.2">
      <c r="A25" s="1850" t="s">
        <v>1533</v>
      </c>
      <c r="B25" s="1851"/>
      <c r="C25" s="1852"/>
      <c r="D25" s="1852"/>
      <c r="E25" s="1855"/>
      <c r="F25" s="1854"/>
      <c r="H25" s="1865">
        <f t="shared" si="0"/>
        <v>0</v>
      </c>
      <c r="I25" s="1865">
        <f t="shared" si="1"/>
        <v>0</v>
      </c>
      <c r="J25" s="1865">
        <f t="shared" si="2"/>
        <v>0</v>
      </c>
    </row>
    <row r="26" spans="1:12" ht="12" customHeight="1" x14ac:dyDescent="0.2">
      <c r="A26" s="1850" t="s">
        <v>1534</v>
      </c>
      <c r="B26" s="1851"/>
      <c r="C26" s="1852" t="s">
        <v>2061</v>
      </c>
      <c r="D26" s="1852" t="s">
        <v>2061</v>
      </c>
      <c r="E26" s="1855"/>
      <c r="F26" s="1854" t="s">
        <v>2086</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t="s">
        <v>2061</v>
      </c>
      <c r="D28" s="1852" t="s">
        <v>2061</v>
      </c>
      <c r="E28" s="1855"/>
      <c r="F28" s="1854" t="s">
        <v>2087</v>
      </c>
      <c r="H28" s="1865">
        <f t="shared" si="0"/>
        <v>5</v>
      </c>
      <c r="I28" s="1865">
        <f t="shared" si="1"/>
        <v>5</v>
      </c>
      <c r="J28" s="1865">
        <f t="shared" si="2"/>
        <v>0</v>
      </c>
    </row>
    <row r="29" spans="1:12" ht="12" customHeight="1" x14ac:dyDescent="0.2">
      <c r="A29" s="1850" t="s">
        <v>1537</v>
      </c>
      <c r="B29" s="1851"/>
      <c r="C29" s="1852"/>
      <c r="D29" s="1852" t="s">
        <v>2061</v>
      </c>
      <c r="E29" s="1855"/>
      <c r="F29" s="1854" t="s">
        <v>2088</v>
      </c>
      <c r="H29" s="1865">
        <f t="shared" si="0"/>
        <v>0</v>
      </c>
      <c r="I29" s="1865">
        <f t="shared" si="1"/>
        <v>5</v>
      </c>
      <c r="J29" s="1865">
        <f t="shared" si="2"/>
        <v>0</v>
      </c>
    </row>
    <row r="30" spans="1:12" ht="12" customHeight="1" x14ac:dyDescent="0.2">
      <c r="A30" s="1850" t="s">
        <v>1538</v>
      </c>
      <c r="B30" s="1851"/>
      <c r="C30" s="1852" t="s">
        <v>2061</v>
      </c>
      <c r="D30" s="1852" t="s">
        <v>2061</v>
      </c>
      <c r="E30" s="1855"/>
      <c r="F30" s="1854" t="s">
        <v>2089</v>
      </c>
      <c r="H30" s="1865">
        <f t="shared" si="0"/>
        <v>5</v>
      </c>
      <c r="I30" s="1865">
        <f t="shared" si="1"/>
        <v>5</v>
      </c>
      <c r="J30" s="1865">
        <f t="shared" si="2"/>
        <v>0</v>
      </c>
    </row>
    <row r="31" spans="1:12" ht="12" customHeight="1" x14ac:dyDescent="0.2">
      <c r="A31" s="1850" t="s">
        <v>1539</v>
      </c>
      <c r="B31" s="1851"/>
      <c r="C31" s="1852" t="s">
        <v>2061</v>
      </c>
      <c r="D31" s="1852" t="s">
        <v>2061</v>
      </c>
      <c r="E31" s="1855"/>
      <c r="F31" s="1854" t="s">
        <v>2090</v>
      </c>
      <c r="H31" s="1865">
        <f t="shared" si="0"/>
        <v>5</v>
      </c>
      <c r="I31" s="1865">
        <f t="shared" si="1"/>
        <v>5</v>
      </c>
      <c r="J31" s="1865">
        <f t="shared" si="2"/>
        <v>0</v>
      </c>
      <c r="L31" s="1856"/>
    </row>
    <row r="32" spans="1:12" ht="12" customHeight="1" x14ac:dyDescent="0.2">
      <c r="A32" s="1850" t="s">
        <v>1540</v>
      </c>
      <c r="B32" s="1851"/>
      <c r="C32" s="1852" t="s">
        <v>2061</v>
      </c>
      <c r="D32" s="1852" t="s">
        <v>2061</v>
      </c>
      <c r="E32" s="1855"/>
      <c r="F32" s="1854" t="s">
        <v>2091</v>
      </c>
      <c r="H32" s="1865">
        <f t="shared" si="0"/>
        <v>5</v>
      </c>
      <c r="I32" s="1865">
        <f t="shared" si="1"/>
        <v>5</v>
      </c>
      <c r="J32" s="1865">
        <f t="shared" si="2"/>
        <v>0</v>
      </c>
    </row>
    <row r="33" spans="1:11" ht="12" customHeight="1" x14ac:dyDescent="0.2">
      <c r="A33" s="1850" t="s">
        <v>1541</v>
      </c>
      <c r="B33" s="1851"/>
      <c r="C33" s="1852" t="s">
        <v>2061</v>
      </c>
      <c r="D33" s="1852" t="s">
        <v>2061</v>
      </c>
      <c r="E33" s="1855"/>
      <c r="F33" s="1854" t="s">
        <v>2092</v>
      </c>
      <c r="H33" s="1865">
        <f t="shared" si="0"/>
        <v>5</v>
      </c>
      <c r="I33" s="1865">
        <f t="shared" si="1"/>
        <v>5</v>
      </c>
      <c r="J33" s="1865">
        <f t="shared" si="2"/>
        <v>0</v>
      </c>
    </row>
    <row r="34" spans="1:11" ht="12" customHeight="1" x14ac:dyDescent="0.25">
      <c r="A34" s="1857"/>
      <c r="B34" s="1857"/>
      <c r="C34" s="1857"/>
      <c r="D34" s="1857"/>
      <c r="E34" s="1857"/>
      <c r="F34" s="1857"/>
      <c r="H34" s="1865">
        <f>SUM(H11:H32)</f>
        <v>70</v>
      </c>
      <c r="I34" s="1865">
        <f>SUM(I11:I32)</f>
        <v>75</v>
      </c>
      <c r="J34" s="1865">
        <f>SUM(J11:J32)</f>
        <v>0</v>
      </c>
      <c r="K34" s="1865">
        <f>SUM(H34:J34)</f>
        <v>145</v>
      </c>
    </row>
    <row r="35" spans="1:11" ht="12" customHeight="1" x14ac:dyDescent="0.2">
      <c r="A35" s="1858" t="s">
        <v>1392</v>
      </c>
      <c r="B35" s="1859"/>
      <c r="C35" s="2449"/>
      <c r="D35" s="2449"/>
      <c r="E35" s="2449"/>
      <c r="F35" s="2450"/>
    </row>
    <row r="36" spans="1:11" ht="12" customHeight="1" x14ac:dyDescent="0.2">
      <c r="A36" s="2440"/>
      <c r="B36" s="2441"/>
      <c r="C36" s="2441"/>
      <c r="D36" s="2441"/>
      <c r="E36" s="2441"/>
      <c r="F36" s="2442"/>
    </row>
    <row r="37" spans="1:11" ht="12" customHeight="1" x14ac:dyDescent="0.2">
      <c r="A37" s="2440"/>
      <c r="B37" s="2441"/>
      <c r="C37" s="2441"/>
      <c r="D37" s="2441"/>
      <c r="E37" s="2441"/>
      <c r="F37" s="2442"/>
    </row>
    <row r="38" spans="1:11" ht="12" customHeight="1" x14ac:dyDescent="0.2">
      <c r="A38" s="2454"/>
      <c r="B38" s="2455"/>
      <c r="C38" s="2455"/>
      <c r="D38" s="2455"/>
      <c r="E38" s="2455"/>
      <c r="F38" s="2456"/>
    </row>
    <row r="39" spans="1:11" ht="4.5" hidden="1" customHeight="1" x14ac:dyDescent="0.2">
      <c r="A39" s="1860"/>
      <c r="B39" s="1860"/>
      <c r="C39" s="1860"/>
      <c r="D39" s="1860"/>
      <c r="E39" s="1860"/>
      <c r="F39" s="1860"/>
    </row>
    <row r="40" spans="1:11" s="1857" customFormat="1" ht="12" customHeight="1" x14ac:dyDescent="0.25">
      <c r="A40" s="1861" t="s">
        <v>1391</v>
      </c>
      <c r="B40" s="1862"/>
      <c r="C40" s="2457"/>
      <c r="D40" s="2457"/>
      <c r="E40" s="2457"/>
      <c r="F40" s="2458"/>
      <c r="H40" s="1866"/>
      <c r="I40" s="1866"/>
      <c r="J40" s="1866"/>
      <c r="K40" s="1866"/>
    </row>
    <row r="41" spans="1:11" s="1857" customFormat="1" ht="12" customHeight="1" x14ac:dyDescent="0.25">
      <c r="A41" s="2459"/>
      <c r="B41" s="2460"/>
      <c r="C41" s="2460"/>
      <c r="D41" s="2460"/>
      <c r="E41" s="2460"/>
      <c r="F41" s="2461"/>
      <c r="H41" s="1866"/>
      <c r="I41" s="1866"/>
      <c r="J41" s="1866"/>
      <c r="K41" s="1866"/>
    </row>
    <row r="42" spans="1:11" s="1857" customFormat="1" ht="12" customHeight="1" x14ac:dyDescent="0.25">
      <c r="A42" s="2459"/>
      <c r="B42" s="2460"/>
      <c r="C42" s="2460"/>
      <c r="D42" s="2460"/>
      <c r="E42" s="2460"/>
      <c r="F42" s="2461"/>
      <c r="H42" s="1866"/>
      <c r="I42" s="1866"/>
      <c r="J42" s="1866"/>
      <c r="K42" s="1866"/>
    </row>
    <row r="43" spans="1:11" s="1857" customFormat="1" ht="15" x14ac:dyDescent="0.25">
      <c r="A43" s="2451"/>
      <c r="B43" s="2452"/>
      <c r="C43" s="2452"/>
      <c r="D43" s="2452"/>
      <c r="E43" s="2452"/>
      <c r="F43" s="2453"/>
      <c r="H43" s="1866"/>
      <c r="I43" s="1866"/>
      <c r="J43" s="1866"/>
      <c r="K43" s="1866"/>
    </row>
    <row r="44" spans="1:11" s="1857" customFormat="1" ht="12" hidden="1" customHeight="1" x14ac:dyDescent="0.25">
      <c r="A44" s="2451"/>
      <c r="B44" s="2452"/>
      <c r="C44" s="2452"/>
      <c r="D44" s="2452"/>
      <c r="E44" s="2452"/>
      <c r="F44" s="2453"/>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13" sqref="I13:L13"/>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405</v>
      </c>
      <c r="G1" s="1000"/>
    </row>
    <row r="2" spans="1:17" ht="11.85" customHeight="1" x14ac:dyDescent="0.2">
      <c r="A2" s="995"/>
      <c r="B2" s="996"/>
      <c r="E2" s="998"/>
      <c r="F2" s="1001" t="s">
        <v>290</v>
      </c>
      <c r="G2" s="1000"/>
    </row>
    <row r="3" spans="1:17" ht="11.85" customHeight="1" x14ac:dyDescent="0.2">
      <c r="E3" s="998"/>
      <c r="F3" s="1001" t="s">
        <v>406</v>
      </c>
      <c r="G3" s="998"/>
    </row>
    <row r="4" spans="1:17" ht="11.85" customHeight="1" x14ac:dyDescent="0.2">
      <c r="E4" s="998"/>
      <c r="F4" s="1001" t="s">
        <v>868</v>
      </c>
      <c r="G4" s="998"/>
    </row>
    <row r="5" spans="1:17" ht="12.2" customHeight="1" x14ac:dyDescent="0.2">
      <c r="F5" s="1001"/>
    </row>
    <row r="6" spans="1:17" x14ac:dyDescent="0.2">
      <c r="A6" s="1881" t="s">
        <v>672</v>
      </c>
      <c r="B6" s="1629"/>
      <c r="C6" s="1629"/>
      <c r="D6" s="1629"/>
      <c r="E6" s="1630"/>
      <c r="F6" s="1002"/>
      <c r="G6" s="996"/>
      <c r="H6" s="1003" t="s">
        <v>1028</v>
      </c>
      <c r="I6" s="2467" t="str">
        <f>COVER!A17</f>
        <v>Fenton CHSD 100</v>
      </c>
      <c r="J6" s="2468"/>
      <c r="Q6" s="1651"/>
    </row>
    <row r="7" spans="1:17" x14ac:dyDescent="0.2">
      <c r="A7" s="2469" t="s">
        <v>869</v>
      </c>
      <c r="B7" s="2470"/>
      <c r="C7" s="2470"/>
      <c r="D7" s="2470"/>
      <c r="E7" s="2471"/>
      <c r="F7" s="1004"/>
      <c r="G7" s="996"/>
      <c r="H7" s="1003" t="s">
        <v>372</v>
      </c>
      <c r="I7" s="2472">
        <f>COVER!A13</f>
        <v>19022100016</v>
      </c>
      <c r="J7" s="2472"/>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82" t="s">
        <v>1976</v>
      </c>
      <c r="F9" s="1010"/>
      <c r="G9" s="1010"/>
      <c r="H9" s="1883" t="s">
        <v>1977</v>
      </c>
      <c r="I9" s="1010"/>
      <c r="J9" s="1011"/>
    </row>
    <row r="10" spans="1:17" s="1019" customFormat="1" ht="13.5" customHeight="1" x14ac:dyDescent="0.2">
      <c r="A10" s="1012"/>
      <c r="B10" s="1013"/>
      <c r="C10" s="1014"/>
      <c r="D10" s="1015"/>
      <c r="E10" s="1016" t="s">
        <v>425</v>
      </c>
      <c r="F10" s="1017" t="s">
        <v>426</v>
      </c>
      <c r="G10" s="1018"/>
      <c r="H10" s="1017" t="s">
        <v>425</v>
      </c>
      <c r="I10" s="1017" t="s">
        <v>426</v>
      </c>
      <c r="J10" s="1017"/>
    </row>
    <row r="11" spans="1:17" s="1019" customFormat="1" ht="22.5" x14ac:dyDescent="0.2">
      <c r="A11" s="2473" t="s">
        <v>481</v>
      </c>
      <c r="B11" s="2474"/>
      <c r="C11" s="2475"/>
      <c r="D11" s="1020" t="s">
        <v>871</v>
      </c>
      <c r="E11" s="1020" t="s">
        <v>64</v>
      </c>
      <c r="F11" s="1020" t="s">
        <v>6</v>
      </c>
      <c r="G11" s="1021" t="s">
        <v>156</v>
      </c>
      <c r="H11" s="1021" t="s">
        <v>64</v>
      </c>
      <c r="I11" s="1020" t="s">
        <v>6</v>
      </c>
      <c r="J11" s="1021" t="s">
        <v>156</v>
      </c>
    </row>
    <row r="12" spans="1:17" ht="15" customHeight="1" x14ac:dyDescent="0.2">
      <c r="A12" s="1022">
        <v>1</v>
      </c>
      <c r="B12" s="1023" t="s">
        <v>818</v>
      </c>
      <c r="C12" s="1024"/>
      <c r="D12" s="1025">
        <v>2320</v>
      </c>
      <c r="E12" s="1798">
        <f>'Expenditures 15-22'!K50</f>
        <v>338942</v>
      </c>
      <c r="F12" s="1026"/>
      <c r="G12" s="1798">
        <f t="shared" ref="G12:G18" si="0">SUM(E12:F12)</f>
        <v>338942</v>
      </c>
      <c r="H12" s="1027">
        <v>348602</v>
      </c>
      <c r="I12" s="1026"/>
      <c r="J12" s="1798">
        <f t="shared" ref="J12:J18" si="1">SUM(H12:I12)</f>
        <v>348602</v>
      </c>
    </row>
    <row r="13" spans="1:17" ht="15" customHeight="1" x14ac:dyDescent="0.2">
      <c r="A13" s="1022">
        <v>2</v>
      </c>
      <c r="B13" s="1023" t="s">
        <v>42</v>
      </c>
      <c r="C13" s="1024"/>
      <c r="D13" s="1025">
        <v>2330</v>
      </c>
      <c r="E13" s="1798">
        <f>'Expenditures 15-22'!K51</f>
        <v>0</v>
      </c>
      <c r="F13" s="1026"/>
      <c r="G13" s="1798">
        <f t="shared" si="0"/>
        <v>0</v>
      </c>
      <c r="H13" s="1027"/>
      <c r="I13" s="1026"/>
      <c r="J13" s="1798">
        <f t="shared" si="1"/>
        <v>0</v>
      </c>
    </row>
    <row r="14" spans="1:17" ht="15" customHeight="1" x14ac:dyDescent="0.2">
      <c r="A14" s="1022">
        <v>3</v>
      </c>
      <c r="B14" s="1023" t="s">
        <v>43</v>
      </c>
      <c r="C14" s="1024"/>
      <c r="D14" s="1028">
        <v>2490</v>
      </c>
      <c r="E14" s="1798">
        <f>'Expenditures 15-22'!K56</f>
        <v>0</v>
      </c>
      <c r="F14" s="1026"/>
      <c r="G14" s="1798">
        <f t="shared" si="0"/>
        <v>0</v>
      </c>
      <c r="H14" s="1027"/>
      <c r="I14" s="1026"/>
      <c r="J14" s="1798">
        <f t="shared" si="1"/>
        <v>0</v>
      </c>
    </row>
    <row r="15" spans="1:17" ht="15" customHeight="1" x14ac:dyDescent="0.2">
      <c r="A15" s="1022">
        <v>4</v>
      </c>
      <c r="B15" s="1023" t="s">
        <v>1068</v>
      </c>
      <c r="C15" s="1024"/>
      <c r="D15" s="1025">
        <v>2510</v>
      </c>
      <c r="E15" s="1798">
        <f>'Expenditures 15-22'!K59</f>
        <v>197887</v>
      </c>
      <c r="F15" s="1798">
        <f>'Expenditures 15-22'!K122</f>
        <v>0</v>
      </c>
      <c r="G15" s="1798">
        <f t="shared" si="0"/>
        <v>197887</v>
      </c>
      <c r="H15" s="1027">
        <v>205986</v>
      </c>
      <c r="I15" s="1027"/>
      <c r="J15" s="1798">
        <f t="shared" si="1"/>
        <v>205986</v>
      </c>
    </row>
    <row r="16" spans="1:17" ht="15" customHeight="1" x14ac:dyDescent="0.2">
      <c r="A16" s="1022">
        <v>5</v>
      </c>
      <c r="B16" s="1023" t="s">
        <v>101</v>
      </c>
      <c r="C16" s="1024"/>
      <c r="D16" s="1025">
        <v>2570</v>
      </c>
      <c r="E16" s="1798">
        <f>'Expenditures 15-22'!K64</f>
        <v>132713</v>
      </c>
      <c r="F16" s="1026"/>
      <c r="G16" s="1798">
        <f t="shared" si="0"/>
        <v>132713</v>
      </c>
      <c r="H16" s="1027">
        <v>121276</v>
      </c>
      <c r="I16" s="1026"/>
      <c r="J16" s="1798">
        <f t="shared" si="1"/>
        <v>121276</v>
      </c>
    </row>
    <row r="17" spans="1:10" ht="15" customHeight="1" x14ac:dyDescent="0.2">
      <c r="A17" s="1022">
        <v>6</v>
      </c>
      <c r="B17" s="1023" t="s">
        <v>1060</v>
      </c>
      <c r="C17" s="1024"/>
      <c r="D17" s="1025">
        <v>2610</v>
      </c>
      <c r="E17" s="1798">
        <f>'Expenditures 15-22'!K67</f>
        <v>91984</v>
      </c>
      <c r="F17" s="1026"/>
      <c r="G17" s="1798">
        <f t="shared" si="0"/>
        <v>91984</v>
      </c>
      <c r="H17" s="1027">
        <v>121438</v>
      </c>
      <c r="I17" s="1026"/>
      <c r="J17" s="1798">
        <f t="shared" si="1"/>
        <v>121438</v>
      </c>
    </row>
    <row r="18" spans="1:10" ht="22.5" customHeight="1" x14ac:dyDescent="0.2">
      <c r="A18" s="1029">
        <v>7</v>
      </c>
      <c r="B18" s="2476" t="s">
        <v>7</v>
      </c>
      <c r="C18" s="2477"/>
      <c r="D18" s="2478"/>
      <c r="E18" s="1030"/>
      <c r="F18" s="1030"/>
      <c r="G18" s="1799">
        <f t="shared" si="0"/>
        <v>0</v>
      </c>
      <c r="H18" s="1027"/>
      <c r="I18" s="1027"/>
      <c r="J18" s="1798">
        <f t="shared" si="1"/>
        <v>0</v>
      </c>
    </row>
    <row r="19" spans="1:10" ht="12.75" customHeight="1" thickBot="1" x14ac:dyDescent="0.25">
      <c r="A19" s="1022">
        <v>8</v>
      </c>
      <c r="B19" s="1031" t="s">
        <v>1161</v>
      </c>
      <c r="D19" s="1032"/>
      <c r="E19" s="1800">
        <f t="shared" ref="E19:J19" si="2">SUM(E12:E17)-E18</f>
        <v>761526</v>
      </c>
      <c r="F19" s="1800">
        <f t="shared" si="2"/>
        <v>0</v>
      </c>
      <c r="G19" s="1800">
        <f t="shared" si="2"/>
        <v>761526</v>
      </c>
      <c r="H19" s="1800">
        <f t="shared" si="2"/>
        <v>797302</v>
      </c>
      <c r="I19" s="1800">
        <f t="shared" si="2"/>
        <v>0</v>
      </c>
      <c r="J19" s="1800">
        <f t="shared" si="2"/>
        <v>797302</v>
      </c>
    </row>
    <row r="20" spans="1:10" ht="13.5" thickTop="1" x14ac:dyDescent="0.2">
      <c r="A20" s="1022">
        <v>9</v>
      </c>
      <c r="B20" s="2479" t="s">
        <v>1978</v>
      </c>
      <c r="C20" s="2479"/>
      <c r="D20" s="2480"/>
      <c r="E20" s="1033"/>
      <c r="F20" s="1033"/>
      <c r="G20" s="1033"/>
      <c r="H20" s="1033"/>
      <c r="I20" s="1033"/>
      <c r="J20" s="1801">
        <f>IF(AND(G19&gt;0,J19&gt;0),(((J19-G19)/G19)),"Enter Budget Data")</f>
        <v>4.697935461166132E-2</v>
      </c>
    </row>
    <row r="21" spans="1:10" ht="9" customHeight="1" x14ac:dyDescent="0.2">
      <c r="B21" s="1034"/>
    </row>
    <row r="22" spans="1:10" x14ac:dyDescent="0.2">
      <c r="A22" s="1035" t="s">
        <v>133</v>
      </c>
      <c r="B22" s="1034"/>
    </row>
    <row r="23" spans="1:10" x14ac:dyDescent="0.2">
      <c r="A23" s="998" t="s">
        <v>1979</v>
      </c>
      <c r="B23" s="1034"/>
    </row>
    <row r="24" spans="1:10" x14ac:dyDescent="0.2">
      <c r="A24" s="998" t="s">
        <v>1992</v>
      </c>
      <c r="B24" s="1034"/>
    </row>
    <row r="25" spans="1:10" x14ac:dyDescent="0.2">
      <c r="A25" s="1036"/>
      <c r="B25" s="1034"/>
    </row>
    <row r="26" spans="1:10" ht="20.100000000000001" customHeight="1" x14ac:dyDescent="0.2">
      <c r="B26" s="1034"/>
      <c r="C26" s="2485"/>
      <c r="D26" s="2485"/>
      <c r="E26" s="1037"/>
      <c r="F26" s="2484"/>
      <c r="G26" s="2484"/>
    </row>
    <row r="27" spans="1:10" x14ac:dyDescent="0.2">
      <c r="B27" s="1034"/>
      <c r="C27" s="1038" t="s">
        <v>1033</v>
      </c>
      <c r="D27" s="1039"/>
      <c r="E27" s="1040"/>
      <c r="F27" s="2481" t="s">
        <v>1509</v>
      </c>
      <c r="G27" s="2481"/>
    </row>
    <row r="28" spans="1:10" ht="28.5" customHeight="1" x14ac:dyDescent="0.2">
      <c r="B28" s="1034"/>
      <c r="C28" s="2483"/>
      <c r="D28" s="2483"/>
      <c r="E28" s="1041"/>
      <c r="F28" s="2483"/>
      <c r="G28" s="2483"/>
    </row>
    <row r="29" spans="1:10" x14ac:dyDescent="0.2">
      <c r="B29" s="1034"/>
      <c r="C29" s="1042" t="s">
        <v>1561</v>
      </c>
      <c r="E29" s="1043"/>
      <c r="F29" s="2482" t="s">
        <v>1510</v>
      </c>
      <c r="G29" s="2482"/>
    </row>
    <row r="30" spans="1:10" ht="9" customHeight="1" x14ac:dyDescent="0.2">
      <c r="B30" s="1034"/>
      <c r="C30" s="1044"/>
      <c r="E30" s="1045"/>
      <c r="F30" s="1046"/>
      <c r="G30" s="1046"/>
    </row>
    <row r="31" spans="1:10" ht="15" customHeight="1" x14ac:dyDescent="0.2">
      <c r="A31" s="998"/>
      <c r="B31" s="1047" t="s">
        <v>1034</v>
      </c>
    </row>
    <row r="32" spans="1:10" ht="9" customHeight="1" x14ac:dyDescent="0.2">
      <c r="A32" s="998"/>
      <c r="B32" s="1035"/>
    </row>
    <row r="33" spans="1:10" ht="12.75" customHeight="1" x14ac:dyDescent="0.2">
      <c r="A33" s="998"/>
      <c r="B33" s="1048"/>
      <c r="C33" s="2464" t="s">
        <v>132</v>
      </c>
      <c r="D33" s="2465"/>
      <c r="E33" s="2465"/>
      <c r="F33" s="2465"/>
      <c r="G33" s="2465"/>
      <c r="H33" s="2465"/>
      <c r="I33" s="2465"/>
    </row>
    <row r="34" spans="1:10" ht="10.35" customHeight="1" x14ac:dyDescent="0.2">
      <c r="C34" s="2465"/>
      <c r="D34" s="2465"/>
      <c r="E34" s="2465"/>
      <c r="F34" s="2465"/>
      <c r="G34" s="2465"/>
      <c r="H34" s="2465"/>
      <c r="I34" s="2465"/>
    </row>
    <row r="35" spans="1:10" ht="7.5" customHeight="1" x14ac:dyDescent="0.2">
      <c r="C35" s="1049"/>
    </row>
    <row r="36" spans="1:10" ht="13.5" customHeight="1" x14ac:dyDescent="0.2">
      <c r="B36" s="1048"/>
      <c r="C36" s="2466" t="s">
        <v>1980</v>
      </c>
      <c r="D36" s="2465"/>
      <c r="E36" s="2465"/>
      <c r="F36" s="2465"/>
      <c r="G36" s="2465"/>
      <c r="H36" s="2465"/>
      <c r="I36" s="2465"/>
      <c r="J36" s="1050"/>
    </row>
    <row r="37" spans="1:10" ht="22.5" customHeight="1" x14ac:dyDescent="0.2">
      <c r="C37" s="2465"/>
      <c r="D37" s="2465"/>
      <c r="E37" s="2465"/>
      <c r="F37" s="2465"/>
      <c r="G37" s="2465"/>
      <c r="H37" s="2465"/>
      <c r="I37" s="2465"/>
      <c r="J37" s="1050"/>
    </row>
    <row r="38" spans="1:10" ht="7.5" customHeight="1" x14ac:dyDescent="0.2">
      <c r="C38" s="1049"/>
      <c r="D38" s="1051"/>
      <c r="E38" s="1052"/>
      <c r="F38" s="1053"/>
      <c r="G38" s="1052"/>
    </row>
    <row r="39" spans="1:10" ht="13.5" customHeight="1" x14ac:dyDescent="0.2">
      <c r="B39" s="1048"/>
      <c r="C39" s="2462" t="s">
        <v>882</v>
      </c>
      <c r="D39" s="2463"/>
      <c r="E39" s="2463"/>
      <c r="F39" s="2463"/>
      <c r="G39" s="2463"/>
      <c r="H39" s="2463"/>
      <c r="I39" s="2463"/>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13" sqref="I13:L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Fenton CHSD 100</v>
      </c>
    </row>
    <row r="65" spans="2:2" x14ac:dyDescent="0.2">
      <c r="B65" s="1057">
        <f>COVER!A13</f>
        <v>19022100016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13" sqref="I13:L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1493</v>
      </c>
    </row>
    <row r="15" spans="1:6" x14ac:dyDescent="0.2">
      <c r="A15" s="389" t="s">
        <v>857</v>
      </c>
    </row>
    <row r="16" spans="1:6" s="1058" customFormat="1" ht="45" customHeight="1" x14ac:dyDescent="0.2">
      <c r="A16" s="1060"/>
      <c r="B16" s="1060" t="s">
        <v>1684</v>
      </c>
    </row>
    <row r="17" spans="1:2" ht="6" customHeight="1" x14ac:dyDescent="0.2"/>
    <row r="18" spans="1:2" ht="24.75" customHeight="1" x14ac:dyDescent="0.2">
      <c r="A18" s="2486" t="s">
        <v>1685</v>
      </c>
      <c r="B18" s="248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2</xdr:col>
                <xdr:colOff>95250</xdr:colOff>
                <xdr:row>0</xdr:row>
                <xdr:rowOff>142875</xdr:rowOff>
              </from>
              <to>
                <xdr:col>3</xdr:col>
                <xdr:colOff>400050</xdr:colOff>
                <xdr:row>5</xdr:row>
                <xdr:rowOff>19050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0</xdr:col>
                <xdr:colOff>95250</xdr:colOff>
                <xdr:row>0</xdr:row>
                <xdr:rowOff>133350</xdr:rowOff>
              </from>
              <to>
                <xdr:col>1</xdr:col>
                <xdr:colOff>885825</xdr:colOff>
                <xdr:row>5</xdr:row>
                <xdr:rowOff>9525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2000250</xdr:colOff>
                <xdr:row>0</xdr:row>
                <xdr:rowOff>142875</xdr:rowOff>
              </from>
              <to>
                <xdr:col>1</xdr:col>
                <xdr:colOff>2914650</xdr:colOff>
                <xdr:row>5</xdr:row>
                <xdr:rowOff>19050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6" r:id="rId10">
          <objectPr defaultSize="0" r:id="rId11">
            <anchor moveWithCells="1">
              <from>
                <xdr:col>1</xdr:col>
                <xdr:colOff>3038475</xdr:colOff>
                <xdr:row>0</xdr:row>
                <xdr:rowOff>142875</xdr:rowOff>
              </from>
              <to>
                <xdr:col>1</xdr:col>
                <xdr:colOff>3952875</xdr:colOff>
                <xdr:row>5</xdr:row>
                <xdr:rowOff>19050</xdr:rowOff>
              </to>
            </anchor>
          </objectPr>
        </oleObject>
      </mc:Choice>
      <mc:Fallback>
        <oleObject progId="Acrobat Document" dvAspect="DVASPECT_ICON" shapeId="35846" r:id="rId10"/>
      </mc:Fallback>
    </mc:AlternateContent>
    <mc:AlternateContent xmlns:mc="http://schemas.openxmlformats.org/markup-compatibility/2006">
      <mc:Choice Requires="x14">
        <oleObject progId="Acrobat Document" dvAspect="DVASPECT_ICON" shapeId="35847" r:id="rId12">
          <objectPr defaultSize="0" r:id="rId13">
            <anchor moveWithCells="1">
              <from>
                <xdr:col>1</xdr:col>
                <xdr:colOff>981075</xdr:colOff>
                <xdr:row>0</xdr:row>
                <xdr:rowOff>142875</xdr:rowOff>
              </from>
              <to>
                <xdr:col>1</xdr:col>
                <xdr:colOff>1895475</xdr:colOff>
                <xdr:row>5</xdr:row>
                <xdr:rowOff>19050</xdr:rowOff>
              </to>
            </anchor>
          </objectPr>
        </oleObject>
      </mc:Choice>
      <mc:Fallback>
        <oleObject progId="Acrobat Document" dvAspect="DVASPECT_ICON" shapeId="3584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I13" sqref="I13:L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87" t="s">
        <v>1690</v>
      </c>
      <c r="B1" s="2488"/>
      <c r="C1" s="2488"/>
      <c r="D1" s="2488"/>
      <c r="E1" s="2488"/>
      <c r="F1" s="2489"/>
    </row>
    <row r="2" spans="1:8" ht="45" customHeight="1" x14ac:dyDescent="0.2">
      <c r="A2" s="2497" t="s">
        <v>1984</v>
      </c>
      <c r="B2" s="2498"/>
      <c r="C2" s="2498"/>
      <c r="D2" s="2498"/>
      <c r="E2" s="2498"/>
      <c r="F2" s="2499"/>
      <c r="G2" s="1061"/>
      <c r="H2" s="1061"/>
    </row>
    <row r="3" spans="1:8" ht="57" customHeight="1" x14ac:dyDescent="0.2">
      <c r="A3" s="2500" t="s">
        <v>1686</v>
      </c>
      <c r="B3" s="2501"/>
      <c r="C3" s="2501"/>
      <c r="D3" s="2501"/>
      <c r="E3" s="2501"/>
      <c r="F3" s="2502"/>
      <c r="G3" s="1061"/>
      <c r="H3" s="1061"/>
    </row>
    <row r="4" spans="1:8" ht="14.25" customHeight="1" x14ac:dyDescent="0.2">
      <c r="A4" s="2506" t="s">
        <v>1985</v>
      </c>
      <c r="B4" s="2507"/>
      <c r="C4" s="2507"/>
      <c r="D4" s="2507"/>
      <c r="E4" s="2507"/>
      <c r="F4" s="2508"/>
      <c r="G4" s="1061"/>
      <c r="H4" s="1061"/>
    </row>
    <row r="5" spans="1:8" ht="14.25" customHeight="1" x14ac:dyDescent="0.2">
      <c r="A5" s="2509" t="s">
        <v>1981</v>
      </c>
      <c r="B5" s="2510"/>
      <c r="C5" s="2510"/>
      <c r="D5" s="2510"/>
      <c r="E5" s="2510"/>
      <c r="F5" s="2511"/>
      <c r="G5" s="1061"/>
      <c r="H5" s="1061"/>
    </row>
    <row r="6" spans="1:8" s="1062" customFormat="1" ht="41.25" customHeight="1" x14ac:dyDescent="0.2">
      <c r="A6" s="2503" t="s">
        <v>1691</v>
      </c>
      <c r="B6" s="2504"/>
      <c r="C6" s="2504"/>
      <c r="D6" s="2504"/>
      <c r="E6" s="2504"/>
      <c r="F6" s="2505"/>
    </row>
    <row r="7" spans="1:8" ht="42" customHeight="1" x14ac:dyDescent="0.2">
      <c r="A7" s="1063" t="s">
        <v>481</v>
      </c>
      <c r="B7" s="1064" t="s">
        <v>1496</v>
      </c>
      <c r="C7" s="1064" t="s">
        <v>1497</v>
      </c>
      <c r="D7" s="1064" t="s">
        <v>1495</v>
      </c>
      <c r="E7" s="1064" t="s">
        <v>1498</v>
      </c>
      <c r="F7" s="1064" t="s">
        <v>1367</v>
      </c>
    </row>
    <row r="8" spans="1:8" s="1066" customFormat="1" ht="14.25" customHeight="1" x14ac:dyDescent="0.2">
      <c r="A8" s="1065" t="s">
        <v>1368</v>
      </c>
      <c r="B8" s="1802">
        <f>'Acct Summary 7-8'!C8</f>
        <v>26371072</v>
      </c>
      <c r="C8" s="1802">
        <f>'Acct Summary 7-8'!D8</f>
        <v>2379882</v>
      </c>
      <c r="D8" s="1802">
        <f>'Acct Summary 7-8'!F8</f>
        <v>1038689</v>
      </c>
      <c r="E8" s="1802">
        <f>'Acct Summary 7-8'!I8</f>
        <v>85065</v>
      </c>
      <c r="F8" s="1802">
        <f>SUM(B8:E8)</f>
        <v>29874708</v>
      </c>
    </row>
    <row r="9" spans="1:8" s="1066" customFormat="1" ht="14.25" customHeight="1" thickBot="1" x14ac:dyDescent="0.25">
      <c r="A9" s="1065" t="s">
        <v>1369</v>
      </c>
      <c r="B9" s="1803">
        <f>'Acct Summary 7-8'!C17</f>
        <v>24214310</v>
      </c>
      <c r="C9" s="1803">
        <f>'Acct Summary 7-8'!D17</f>
        <v>2598311</v>
      </c>
      <c r="D9" s="1803">
        <f>'Acct Summary 7-8'!F17</f>
        <v>1390778</v>
      </c>
      <c r="E9" s="1802"/>
      <c r="F9" s="1802">
        <f>SUM(B9:E9)</f>
        <v>28203399</v>
      </c>
    </row>
    <row r="10" spans="1:8" s="1066" customFormat="1" ht="14.25" thickTop="1" thickBot="1" x14ac:dyDescent="0.25">
      <c r="A10" s="1067" t="s">
        <v>1370</v>
      </c>
      <c r="B10" s="1804">
        <f>(B8-B9)</f>
        <v>2156762</v>
      </c>
      <c r="C10" s="1804">
        <f>(C8-C9)</f>
        <v>-218429</v>
      </c>
      <c r="D10" s="1804">
        <f>(D8-D9)</f>
        <v>-352089</v>
      </c>
      <c r="E10" s="1803">
        <f>(E8-E9)</f>
        <v>85065</v>
      </c>
      <c r="F10" s="1805">
        <f>SUM(F8-F9)</f>
        <v>1671309</v>
      </c>
    </row>
    <row r="11" spans="1:8" s="1066" customFormat="1" ht="14.25" thickTop="1" thickBot="1" x14ac:dyDescent="0.25">
      <c r="A11" s="1068" t="s">
        <v>1982</v>
      </c>
      <c r="B11" s="1806">
        <f>'Acct Summary 7-8'!C81</f>
        <v>15720190</v>
      </c>
      <c r="C11" s="1806">
        <f>'Acct Summary 7-8'!D81</f>
        <v>1879842</v>
      </c>
      <c r="D11" s="1806">
        <f>'Acct Summary 7-8'!F81</f>
        <v>331094</v>
      </c>
      <c r="E11" s="1806">
        <f>'Acct Summary 7-8'!I81</f>
        <v>4266274</v>
      </c>
      <c r="F11" s="1807">
        <f>SUM(B11:E11)</f>
        <v>22197400</v>
      </c>
    </row>
    <row r="12" spans="1:8" ht="16.5" customHeight="1" thickTop="1" x14ac:dyDescent="0.2">
      <c r="A12" s="1069"/>
      <c r="B12" s="1070"/>
      <c r="C12" s="2491" t="str">
        <f>IF(AND(F10&lt;0,F11&gt;=0,ABS(F10*3)&gt;ABS(F11)),A16,IF(AND(F10&lt;0,F11&gt;0,ABS(F10*3)&lt;=ABS(F11)),A17,IF(AND(F10&lt;0,F11&lt;0),A16,IF(F11=0,A19,A18))))</f>
        <v>Balanced - no deficit reduction plan is required.</v>
      </c>
      <c r="D12" s="2492"/>
      <c r="E12" s="2492"/>
      <c r="F12" s="2493"/>
    </row>
    <row r="13" spans="1:8" ht="19.5" customHeight="1" x14ac:dyDescent="0.2">
      <c r="A13" s="1071"/>
      <c r="B13" s="1072"/>
      <c r="C13" s="2491"/>
      <c r="D13" s="2492"/>
      <c r="E13" s="2492"/>
      <c r="F13" s="2493"/>
      <c r="H13" s="1061"/>
    </row>
    <row r="14" spans="1:8" ht="19.5" customHeight="1" x14ac:dyDescent="0.2">
      <c r="A14" s="1071"/>
      <c r="B14" s="1072"/>
      <c r="C14" s="2491"/>
      <c r="D14" s="2492"/>
      <c r="E14" s="2492"/>
      <c r="F14" s="2493"/>
      <c r="H14" s="1061"/>
    </row>
    <row r="15" spans="1:8" ht="17.25" customHeight="1" x14ac:dyDescent="0.2">
      <c r="A15" s="1071"/>
      <c r="B15" s="1072"/>
      <c r="C15" s="2494"/>
      <c r="D15" s="2495"/>
      <c r="E15" s="2495"/>
      <c r="F15" s="2496"/>
      <c r="H15" s="1061"/>
    </row>
    <row r="16" spans="1:8" s="310" customFormat="1" ht="51.75" hidden="1" customHeight="1" x14ac:dyDescent="0.2">
      <c r="A16" s="2490" t="s">
        <v>1687</v>
      </c>
      <c r="B16" s="2490"/>
      <c r="C16" s="2490"/>
      <c r="D16" s="2490"/>
      <c r="E16" s="2490"/>
      <c r="F16" s="310" t="s">
        <v>1371</v>
      </c>
    </row>
    <row r="17" spans="1:6" hidden="1" x14ac:dyDescent="0.2">
      <c r="A17" s="316" t="s">
        <v>1688</v>
      </c>
      <c r="F17" s="107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dimension ref="A1:L82"/>
  <sheetViews>
    <sheetView showGridLines="0" defaultGridColor="0" topLeftCell="A17" colorId="8" zoomScale="110" zoomScaleNormal="110" workbookViewId="0">
      <selection activeCell="D71" sqref="D71"/>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4"/>
      <c r="B2" s="1885"/>
      <c r="C2" s="1886"/>
      <c r="D2" s="1887"/>
    </row>
    <row r="3" spans="1:4" ht="36" customHeight="1" x14ac:dyDescent="0.2">
      <c r="A3" s="2512" t="s">
        <v>665</v>
      </c>
      <c r="B3" s="2513"/>
      <c r="C3" s="2513"/>
      <c r="D3" s="2514"/>
    </row>
    <row r="4" spans="1:4" x14ac:dyDescent="0.2">
      <c r="A4" s="1139" t="s">
        <v>1692</v>
      </c>
      <c r="B4" s="1140"/>
      <c r="C4" s="1141"/>
      <c r="D4" s="1142"/>
    </row>
    <row r="5" spans="1:4" ht="21" customHeight="1" x14ac:dyDescent="0.2">
      <c r="A5" s="1135"/>
      <c r="B5" s="1136">
        <v>1</v>
      </c>
      <c r="C5" s="1137" t="s">
        <v>1832</v>
      </c>
      <c r="D5" s="1138"/>
    </row>
    <row r="6" spans="1:4" s="657" customFormat="1" ht="14.25" customHeight="1" x14ac:dyDescent="0.2">
      <c r="A6" s="1125"/>
      <c r="B6" s="1080">
        <f t="shared" ref="B6:B13" si="0">B5+1</f>
        <v>2</v>
      </c>
      <c r="C6" s="1081" t="s">
        <v>864</v>
      </c>
      <c r="D6" s="1082"/>
    </row>
    <row r="7" spans="1:4" s="657" customFormat="1" ht="12.75" x14ac:dyDescent="0.2">
      <c r="A7" s="1125"/>
      <c r="B7" s="1080">
        <f t="shared" si="0"/>
        <v>3</v>
      </c>
      <c r="C7" s="2523" t="s">
        <v>1504</v>
      </c>
      <c r="D7" s="2524"/>
    </row>
    <row r="8" spans="1:4" s="657" customFormat="1" ht="12.75" x14ac:dyDescent="0.2">
      <c r="A8" s="1125"/>
      <c r="B8" s="1080"/>
      <c r="C8" s="1083" t="s">
        <v>1503</v>
      </c>
      <c r="D8" s="1084"/>
    </row>
    <row r="9" spans="1:4" s="657" customFormat="1" ht="14.25" customHeight="1" x14ac:dyDescent="0.2">
      <c r="A9" s="1125"/>
      <c r="B9" s="1080">
        <f>B7+1</f>
        <v>4</v>
      </c>
      <c r="C9" s="1081" t="s">
        <v>1910</v>
      </c>
      <c r="D9" s="1082"/>
    </row>
    <row r="10" spans="1:4" s="657" customFormat="1" ht="14.25" customHeight="1" x14ac:dyDescent="0.2">
      <c r="A10" s="1125"/>
      <c r="B10" s="1080">
        <f t="shared" si="0"/>
        <v>5</v>
      </c>
      <c r="C10" s="1081" t="s">
        <v>639</v>
      </c>
      <c r="D10" s="1082"/>
    </row>
    <row r="11" spans="1:4" s="657" customFormat="1" ht="14.25" customHeight="1" x14ac:dyDescent="0.2">
      <c r="A11" s="1125"/>
      <c r="B11" s="1080">
        <f t="shared" si="0"/>
        <v>6</v>
      </c>
      <c r="C11" s="1081" t="s">
        <v>778</v>
      </c>
      <c r="D11" s="1082"/>
    </row>
    <row r="12" spans="1:4" s="657" customFormat="1" ht="14.25" customHeight="1" x14ac:dyDescent="0.2">
      <c r="A12" s="1125"/>
      <c r="B12" s="1080">
        <f t="shared" si="0"/>
        <v>7</v>
      </c>
      <c r="C12" s="1081" t="s">
        <v>1062</v>
      </c>
      <c r="D12" s="1082"/>
    </row>
    <row r="13" spans="1:4" s="657" customFormat="1" ht="14.25" customHeight="1" x14ac:dyDescent="0.2">
      <c r="A13" s="1125"/>
      <c r="B13" s="1080">
        <f t="shared" si="0"/>
        <v>8</v>
      </c>
      <c r="C13" s="1121" t="s">
        <v>779</v>
      </c>
      <c r="D13" s="1082"/>
    </row>
    <row r="14" spans="1:4" s="657" customFormat="1" ht="14.25" customHeight="1" x14ac:dyDescent="0.2">
      <c r="A14" s="1125"/>
      <c r="B14" s="1122">
        <v>9</v>
      </c>
      <c r="C14" s="1123" t="s">
        <v>1505</v>
      </c>
      <c r="D14" s="1124"/>
    </row>
    <row r="15" spans="1:4" s="657" customFormat="1" ht="21.75" customHeight="1" x14ac:dyDescent="0.2">
      <c r="A15" s="2515" t="s">
        <v>1008</v>
      </c>
      <c r="B15" s="2516"/>
      <c r="C15" s="2516"/>
      <c r="D15" s="2517"/>
    </row>
    <row r="16" spans="1:4" s="657" customFormat="1" ht="24" customHeight="1" x14ac:dyDescent="0.2">
      <c r="A16" s="2518" t="s">
        <v>663</v>
      </c>
      <c r="B16" s="2519"/>
      <c r="C16" s="2519"/>
      <c r="D16" s="2520"/>
    </row>
    <row r="17" spans="1:10" s="657" customFormat="1" ht="12.75" customHeight="1" x14ac:dyDescent="0.2">
      <c r="A17" s="1143" t="s">
        <v>1693</v>
      </c>
      <c r="B17" s="1144"/>
      <c r="C17" s="1145"/>
      <c r="D17" s="1146"/>
    </row>
    <row r="18" spans="1:10" s="657" customFormat="1" ht="12.75" customHeight="1" x14ac:dyDescent="0.2">
      <c r="A18" s="1147" t="s">
        <v>1694</v>
      </c>
      <c r="B18" s="1148"/>
      <c r="C18" s="1149"/>
      <c r="D18" s="1150"/>
    </row>
    <row r="19" spans="1:10" ht="6.75" customHeight="1" thickBot="1" x14ac:dyDescent="0.25">
      <c r="A19" s="1151"/>
      <c r="B19" s="1152"/>
      <c r="C19" s="1153"/>
      <c r="D19" s="1154"/>
    </row>
    <row r="20" spans="1:10" s="1158" customFormat="1" ht="12.75" thickTop="1" x14ac:dyDescent="0.2">
      <c r="A20" s="1155"/>
      <c r="B20" s="1156" t="s">
        <v>1695</v>
      </c>
      <c r="C20" s="1157"/>
      <c r="D20" s="1160" t="s">
        <v>710</v>
      </c>
    </row>
    <row r="21" spans="1:10" x14ac:dyDescent="0.2">
      <c r="A21" s="1085"/>
      <c r="B21" s="1086">
        <v>1</v>
      </c>
      <c r="C21" s="2527" t="s">
        <v>314</v>
      </c>
      <c r="D21" s="2528"/>
    </row>
    <row r="22" spans="1:10" ht="12.75" x14ac:dyDescent="0.2">
      <c r="A22" s="1126"/>
      <c r="B22" s="1127">
        <v>2</v>
      </c>
      <c r="C22" s="2525" t="s">
        <v>1524</v>
      </c>
      <c r="D22" s="2526"/>
    </row>
    <row r="23" spans="1:10" ht="12.2" customHeight="1" x14ac:dyDescent="0.2">
      <c r="A23" s="1126"/>
      <c r="B23" s="1127"/>
      <c r="C23" s="1128" t="s">
        <v>954</v>
      </c>
      <c r="D23" s="1129" t="str">
        <f>IF(COVER!O11="X","CASH",IF(COVER!O12="X","ACCRUAL ","PLEASE CHECK AN ACCOUNTING BASIS."))</f>
        <v>CASH</v>
      </c>
    </row>
    <row r="24" spans="1:10" ht="12.2" customHeight="1" x14ac:dyDescent="0.2">
      <c r="A24" s="1126"/>
      <c r="B24" s="1127"/>
      <c r="C24" s="1128" t="s">
        <v>1332</v>
      </c>
      <c r="D24" s="1129" t="str">
        <f>IF(COVER!O11="X","OK",IF(AND('Aud Quest 2'!J90=0,'Aud Quest 2'!I77&lt;DATE(2017,12,31)),"ENTER ACCOUNTING INFO",IF(AND('Aud Quest 2'!J90&gt;0,'Aud Quest 2'!I77&lt;DATE(2017,12,31)),"OK")))</f>
        <v>OK</v>
      </c>
    </row>
    <row r="25" spans="1:10" x14ac:dyDescent="0.2">
      <c r="A25" s="1087"/>
      <c r="B25" s="1088"/>
      <c r="C25" s="1089" t="s">
        <v>1526</v>
      </c>
      <c r="D25" s="1090" t="str">
        <f>IF(AND(COVER!J29="X",COVER!J30="X",COVER!L30&lt;&gt;"X"),"OK",IF(AND(COVER!J29="X",COVER!J30&lt;&gt;"X",COVER!L30="X"),"OK",IF(AND(COVER!L29="X",COVER!J30&lt;&gt;"X"),"OK","PLEASE CHECK YES or NO.")))</f>
        <v>OK</v>
      </c>
    </row>
    <row r="26" spans="1:10" x14ac:dyDescent="0.2">
      <c r="A26" s="1087"/>
      <c r="B26" s="1130"/>
      <c r="C26" s="1091" t="s">
        <v>1525</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975</v>
      </c>
      <c r="D27" s="1092" t="str">
        <f>IF(AND(COVER!J29="X",COVER!J31="X",COVER!L29&lt;&gt;"X"),"OK",IF(AND(COVER!J29="X",COVER!J31&lt;&gt;"X",COVER!L31="X"),"NO FINDINGS WERE ISSUED",IF(AND(COVER!L29="X",COVER!J31&lt;&gt;"X"),"OK","PLEASE CHECK YES or NO.")))</f>
        <v>NO FINDINGS WERE ISSUED</v>
      </c>
    </row>
    <row r="28" spans="1:10" ht="24" hidden="1" customHeight="1" x14ac:dyDescent="0.2">
      <c r="A28" s="1093"/>
      <c r="B28" s="1130"/>
      <c r="C28" s="1089" t="s">
        <v>842</v>
      </c>
      <c r="D28" s="1094" t="str">
        <f>IF('Aud Quest 2'!B53="X",IF('Aud Quest 2'!F53&gt;"00/00/00 ","Enter Effective Date","ok"))</f>
        <v>ok</v>
      </c>
    </row>
    <row r="29" spans="1:10" x14ac:dyDescent="0.2">
      <c r="A29" s="1087"/>
      <c r="B29" s="1130"/>
      <c r="C29" s="1091" t="s">
        <v>1373</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825</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978</v>
      </c>
      <c r="D32" s="1090" t="str">
        <f>IF(OR(COVER!B6="x",'FP Info 3'!B31="X",'FP Info 3'!B32="X"),"OK","ENTRY IS REQUIRED!")</f>
        <v>OK</v>
      </c>
    </row>
    <row r="33" spans="1:12" s="1103" customFormat="1" ht="12.75" customHeight="1" x14ac:dyDescent="0.2">
      <c r="A33" s="1100"/>
      <c r="B33" s="1127">
        <f>B30+1</f>
        <v>4</v>
      </c>
      <c r="C33" s="1101" t="s">
        <v>780</v>
      </c>
      <c r="D33" s="1102"/>
    </row>
    <row r="34" spans="1:12" s="1103" customFormat="1" x14ac:dyDescent="0.2">
      <c r="A34" s="1104"/>
      <c r="B34" s="1127"/>
      <c r="C34" s="1105" t="s">
        <v>826</v>
      </c>
      <c r="D34" s="1090" t="str">
        <f>IF('Assets-Liab 5-6'!C4&lt;-0.49, "ERROR!","OK")</f>
        <v>OK</v>
      </c>
    </row>
    <row r="35" spans="1:12" x14ac:dyDescent="0.2">
      <c r="A35" s="1104"/>
      <c r="B35" s="1127"/>
      <c r="C35" s="1105" t="s">
        <v>306</v>
      </c>
      <c r="D35" s="1090" t="str">
        <f>IF('Assets-Liab 5-6'!D4&lt;-0.49, "ERROR!","OK")</f>
        <v>OK</v>
      </c>
      <c r="L35" s="1159"/>
    </row>
    <row r="36" spans="1:12" x14ac:dyDescent="0.2">
      <c r="A36" s="1104"/>
      <c r="B36" s="1127"/>
      <c r="C36" s="1105" t="s">
        <v>781</v>
      </c>
      <c r="D36" s="1090" t="str">
        <f>IF('Assets-Liab 5-6'!E4&lt;-0.49, "ERROR!","OK")</f>
        <v>OK</v>
      </c>
    </row>
    <row r="37" spans="1:12" x14ac:dyDescent="0.2">
      <c r="A37" s="1104"/>
      <c r="B37" s="1127"/>
      <c r="C37" s="1105" t="s">
        <v>307</v>
      </c>
      <c r="D37" s="1090" t="str">
        <f>IF('Assets-Liab 5-6'!F4&lt;-0.49, "ERROR!","OK")</f>
        <v>OK</v>
      </c>
    </row>
    <row r="38" spans="1:12" x14ac:dyDescent="0.2">
      <c r="A38" s="1104"/>
      <c r="B38" s="1127"/>
      <c r="C38" s="1105" t="s">
        <v>308</v>
      </c>
      <c r="D38" s="1090" t="str">
        <f>IF('Assets-Liab 5-6'!G4&lt;-0.49, "ERROR!","OK")</f>
        <v>OK</v>
      </c>
    </row>
    <row r="39" spans="1:12" x14ac:dyDescent="0.2">
      <c r="A39" s="1104"/>
      <c r="B39" s="1127"/>
      <c r="C39" s="1105" t="s">
        <v>782</v>
      </c>
      <c r="D39" s="1090" t="str">
        <f>IF('Assets-Liab 5-6'!H4&lt;-0.49, "ERROR!","OK")</f>
        <v>OK</v>
      </c>
    </row>
    <row r="40" spans="1:12" x14ac:dyDescent="0.2">
      <c r="A40" s="1104"/>
      <c r="B40" s="1127"/>
      <c r="C40" s="1105" t="s">
        <v>309</v>
      </c>
      <c r="D40" s="1090" t="str">
        <f>IF('Assets-Liab 5-6'!I4&lt;-0.49, "ERROR!","OK")</f>
        <v>OK</v>
      </c>
    </row>
    <row r="41" spans="1:12" x14ac:dyDescent="0.2">
      <c r="A41" s="1104"/>
      <c r="B41" s="1127"/>
      <c r="C41" s="1105" t="s">
        <v>783</v>
      </c>
      <c r="D41" s="1090" t="str">
        <f>IF('Assets-Liab 5-6'!J4&lt;-0.49, "ERROR!","OK")</f>
        <v>OK</v>
      </c>
    </row>
    <row r="42" spans="1:12" x14ac:dyDescent="0.2">
      <c r="A42" s="1104"/>
      <c r="B42" s="1127"/>
      <c r="C42" s="1105" t="s">
        <v>310</v>
      </c>
      <c r="D42" s="1090" t="str">
        <f>IF('Assets-Liab 5-6'!K4&lt;-0.49, "ERROR!","OK")</f>
        <v>OK</v>
      </c>
    </row>
    <row r="43" spans="1:12" x14ac:dyDescent="0.2">
      <c r="A43" s="1106"/>
      <c r="B43" s="1107">
        <f>B33+1</f>
        <v>5</v>
      </c>
      <c r="C43" s="2529" t="s">
        <v>536</v>
      </c>
      <c r="D43" s="2530"/>
    </row>
    <row r="44" spans="1:12" x14ac:dyDescent="0.2">
      <c r="A44" s="1106"/>
      <c r="B44" s="1108"/>
      <c r="C44" s="1109" t="s">
        <v>1335</v>
      </c>
      <c r="D44" s="1110" t="str">
        <f>IF(SUM('Assets-Liab 5-6'!C13)&lt;&gt;SUM('Assets-Liab 5-6'!C41),"ERROR!","OK")</f>
        <v>OK</v>
      </c>
    </row>
    <row r="45" spans="1:12" x14ac:dyDescent="0.2">
      <c r="A45" s="1106"/>
      <c r="B45" s="1108"/>
      <c r="C45" s="1109" t="s">
        <v>1336</v>
      </c>
      <c r="D45" s="1110" t="str">
        <f>IF(SUM('Assets-Liab 5-6'!D13)&lt;&gt;SUM('Assets-Liab 5-6'!D41),"ERROR!","OK")</f>
        <v>OK</v>
      </c>
    </row>
    <row r="46" spans="1:12" x14ac:dyDescent="0.2">
      <c r="A46" s="1106"/>
      <c r="B46" s="1108"/>
      <c r="C46" s="1109" t="s">
        <v>1337</v>
      </c>
      <c r="D46" s="1110" t="str">
        <f>IF(SUM('Assets-Liab 5-6'!E13)&lt;&gt;SUM('Assets-Liab 5-6'!E41),"ERROR!","OK")</f>
        <v>OK</v>
      </c>
    </row>
    <row r="47" spans="1:12" x14ac:dyDescent="0.2">
      <c r="A47" s="1106"/>
      <c r="B47" s="1108"/>
      <c r="C47" s="1109" t="s">
        <v>1338</v>
      </c>
      <c r="D47" s="1110" t="str">
        <f>IF(SUM('Assets-Liab 5-6'!F13)&lt;&gt;SUM('Assets-Liab 5-6'!F41),"ERROR!","OK")</f>
        <v>OK</v>
      </c>
    </row>
    <row r="48" spans="1:12" x14ac:dyDescent="0.2">
      <c r="A48" s="1106"/>
      <c r="B48" s="1108"/>
      <c r="C48" s="1109" t="s">
        <v>1339</v>
      </c>
      <c r="D48" s="1110" t="str">
        <f>IF(SUM('Assets-Liab 5-6'!G13)&lt;&gt;SUM('Assets-Liab 5-6'!G41),"ERROR!","OK")</f>
        <v>OK</v>
      </c>
    </row>
    <row r="49" spans="1:4" x14ac:dyDescent="0.2">
      <c r="A49" s="1106"/>
      <c r="B49" s="1108"/>
      <c r="C49" s="1109" t="s">
        <v>1340</v>
      </c>
      <c r="D49" s="1110" t="str">
        <f>IF(SUM('Assets-Liab 5-6'!H13)&lt;&gt;SUM('Assets-Liab 5-6'!H41),"ERROR!","OK")</f>
        <v>OK</v>
      </c>
    </row>
    <row r="50" spans="1:4" x14ac:dyDescent="0.2">
      <c r="A50" s="1106"/>
      <c r="B50" s="1108"/>
      <c r="C50" s="1109" t="s">
        <v>1341</v>
      </c>
      <c r="D50" s="1110" t="str">
        <f>IF(SUM('Assets-Liab 5-6'!I13)&lt;&gt;SUM('Assets-Liab 5-6'!I41),"ERROR!","OK")</f>
        <v>OK</v>
      </c>
    </row>
    <row r="51" spans="1:4" x14ac:dyDescent="0.2">
      <c r="A51" s="1106"/>
      <c r="B51" s="1108"/>
      <c r="C51" s="1109" t="s">
        <v>1342</v>
      </c>
      <c r="D51" s="1110" t="str">
        <f>IF(SUM('Assets-Liab 5-6'!J13)&lt;&gt;SUM('Assets-Liab 5-6'!J41),"ERROR!","OK")</f>
        <v>OK</v>
      </c>
    </row>
    <row r="52" spans="1:4" x14ac:dyDescent="0.2">
      <c r="A52" s="1106"/>
      <c r="B52" s="1108"/>
      <c r="C52" s="1109" t="s">
        <v>1343</v>
      </c>
      <c r="D52" s="1110" t="str">
        <f>IF(SUM('Assets-Liab 5-6'!K13)&lt;&gt;SUM('Assets-Liab 5-6'!K41),"ERROR!","OK")</f>
        <v>OK</v>
      </c>
    </row>
    <row r="53" spans="1:4" x14ac:dyDescent="0.2">
      <c r="A53" s="1106"/>
      <c r="B53" s="1108"/>
      <c r="C53" s="1109" t="s">
        <v>1344</v>
      </c>
      <c r="D53" s="1110" t="str">
        <f>IF(SUM('Assets-Liab 5-6'!L13)&lt;&gt;('Assets-Liab 5-6'!L41),"ERROR!","OK")</f>
        <v>OK</v>
      </c>
    </row>
    <row r="54" spans="1:4" x14ac:dyDescent="0.2">
      <c r="A54" s="1106"/>
      <c r="B54" s="1108"/>
      <c r="C54" s="1109" t="s">
        <v>1345</v>
      </c>
      <c r="D54" s="1110" t="str">
        <f>IF(SUM('Assets-Liab 5-6'!M23)&lt;&gt;('Assets-Liab 5-6'!M41),"ERROR!","OK")</f>
        <v>OK</v>
      </c>
    </row>
    <row r="55" spans="1:4" x14ac:dyDescent="0.2">
      <c r="A55" s="1106"/>
      <c r="B55" s="1108"/>
      <c r="C55" s="1109" t="s">
        <v>1346</v>
      </c>
      <c r="D55" s="1110" t="str">
        <f>IF(SUM('Assets-Liab 5-6'!N23)&lt;&gt;('Assets-Liab 5-6'!N41),"ERROR!","OK")</f>
        <v>OK</v>
      </c>
    </row>
    <row r="56" spans="1:4" x14ac:dyDescent="0.2">
      <c r="A56" s="1087"/>
      <c r="B56" s="1107">
        <f>B43+1</f>
        <v>6</v>
      </c>
      <c r="C56" s="2521" t="s">
        <v>784</v>
      </c>
      <c r="D56" s="2522"/>
    </row>
    <row r="57" spans="1:4" s="1103" customFormat="1" x14ac:dyDescent="0.2">
      <c r="A57" s="1087"/>
      <c r="B57" s="1097"/>
      <c r="C57" s="1105" t="s">
        <v>1347</v>
      </c>
      <c r="D57" s="1111" t="str">
        <f>IF('Assets-Liab 5-6'!C38+'Assets-Liab 5-6'!C39='Acct Summary 7-8'!C81,"OK","ERROR!")</f>
        <v>OK</v>
      </c>
    </row>
    <row r="58" spans="1:4" x14ac:dyDescent="0.2">
      <c r="A58" s="1087"/>
      <c r="B58" s="1097"/>
      <c r="C58" s="1105" t="s">
        <v>1348</v>
      </c>
      <c r="D58" s="1111" t="str">
        <f>IF((('Assets-Liab 5-6'!D38+'Assets-Liab 5-6'!D39) ='Acct Summary 7-8'!D81), "OK", "ERROR!" )</f>
        <v>OK</v>
      </c>
    </row>
    <row r="59" spans="1:4" s="1103" customFormat="1" x14ac:dyDescent="0.2">
      <c r="A59" s="1087"/>
      <c r="B59" s="1097"/>
      <c r="C59" s="1105" t="s">
        <v>1349</v>
      </c>
      <c r="D59" s="1111" t="str">
        <f>IF((('Assets-Liab 5-6'!E38 + 'Assets-Liab 5-6'!E39) ='Acct Summary 7-8'!E81), "OK", "ERROR!" )</f>
        <v>OK</v>
      </c>
    </row>
    <row r="60" spans="1:4" x14ac:dyDescent="0.2">
      <c r="A60" s="1087"/>
      <c r="B60" s="1097"/>
      <c r="C60" s="1105" t="s">
        <v>1350</v>
      </c>
      <c r="D60" s="1111" t="str">
        <f>IF((('Assets-Liab 5-6'!F38 + 'Assets-Liab 5-6'!F39) ='Acct Summary 7-8'!F81), "OK", "ERROR!" )</f>
        <v>OK</v>
      </c>
    </row>
    <row r="61" spans="1:4" ht="12.75" customHeight="1" x14ac:dyDescent="0.2">
      <c r="A61" s="1087"/>
      <c r="B61" s="1097"/>
      <c r="C61" s="1105" t="s">
        <v>1363</v>
      </c>
      <c r="D61" s="1111" t="str">
        <f>IF((('Assets-Liab 5-6'!G38 + 'Assets-Liab 5-6'!G39) ='Acct Summary 7-8'!G81), "OK", "ERROR!" )</f>
        <v>OK</v>
      </c>
    </row>
    <row r="62" spans="1:4" x14ac:dyDescent="0.2">
      <c r="A62" s="1087"/>
      <c r="B62" s="1097"/>
      <c r="C62" s="1105" t="s">
        <v>1351</v>
      </c>
      <c r="D62" s="1111" t="str">
        <f>IF((('Assets-Liab 5-6'!H38 + 'Assets-Liab 5-6'!H39) ='Acct Summary 7-8'!H81), "OK", "ERROR!" )</f>
        <v>OK</v>
      </c>
    </row>
    <row r="63" spans="1:4" ht="12.75" customHeight="1" x14ac:dyDescent="0.2">
      <c r="A63" s="1087"/>
      <c r="B63" s="1097"/>
      <c r="C63" s="1105" t="s">
        <v>1352</v>
      </c>
      <c r="D63" s="1111" t="str">
        <f>IF((('Assets-Liab 5-6'!I38 + 'Assets-Liab 5-6'!I39) ='Acct Summary 7-8'!I81), "OK", "ERROR!" )</f>
        <v>OK</v>
      </c>
    </row>
    <row r="64" spans="1:4" x14ac:dyDescent="0.2">
      <c r="A64" s="1087"/>
      <c r="B64" s="1097"/>
      <c r="C64" s="1105" t="s">
        <v>1353</v>
      </c>
      <c r="D64" s="1111" t="str">
        <f>IF((('Assets-Liab 5-6'!J38 + 'Assets-Liab 5-6'!J39) ='Acct Summary 7-8'!J81), "OK", "ERROR!" )</f>
        <v>OK</v>
      </c>
    </row>
    <row r="65" spans="1:4" x14ac:dyDescent="0.2">
      <c r="A65" s="1104"/>
      <c r="B65" s="1097"/>
      <c r="C65" s="1105" t="s">
        <v>1364</v>
      </c>
      <c r="D65" s="1111" t="str">
        <f>IF((('Assets-Liab 5-6'!K38 + 'Assets-Liab 5-6'!K39) ='Acct Summary 7-8'!K81), "OK", "ERROR!" )</f>
        <v>OK</v>
      </c>
    </row>
    <row r="66" spans="1:4" x14ac:dyDescent="0.2">
      <c r="A66" s="1085"/>
      <c r="B66" s="1127">
        <f>B56+1+1</f>
        <v>8</v>
      </c>
      <c r="C66" s="1133" t="s">
        <v>1911</v>
      </c>
      <c r="D66" s="1112"/>
    </row>
    <row r="67" spans="1:4" x14ac:dyDescent="0.2">
      <c r="A67" s="1106"/>
      <c r="B67" s="1127"/>
      <c r="C67" s="1134" t="s">
        <v>1021</v>
      </c>
      <c r="D67" s="1112"/>
    </row>
    <row r="68" spans="1:4" x14ac:dyDescent="0.2">
      <c r="A68" s="1087"/>
      <c r="B68" s="1097"/>
      <c r="C68" s="1089" t="s">
        <v>1912</v>
      </c>
      <c r="D68" s="1111" t="str">
        <f>IF('Short-Term Long-Term Debt 24'!F49=SUM(,'Acct Summary 7-8'!C33:K33),"OK","ERROR!")</f>
        <v>OK</v>
      </c>
    </row>
    <row r="69" spans="1:4" x14ac:dyDescent="0.2">
      <c r="A69" s="1087"/>
      <c r="B69" s="1097"/>
      <c r="C69" s="1089" t="s">
        <v>1913</v>
      </c>
      <c r="D69" s="1111" t="str">
        <f>IF('Expenditures 15-22'!H170&lt;&gt;'Short-Term Long-Term Debt 24'!H49,"ERROR!","OK")</f>
        <v>OK</v>
      </c>
    </row>
    <row r="70" spans="1:4" x14ac:dyDescent="0.2">
      <c r="A70" s="1085"/>
      <c r="B70" s="1107">
        <f>B66+1</f>
        <v>9</v>
      </c>
      <c r="C70" s="2521" t="s">
        <v>1696</v>
      </c>
      <c r="D70" s="2522"/>
    </row>
    <row r="71" spans="1:4" x14ac:dyDescent="0.2">
      <c r="A71" s="1085"/>
      <c r="B71" s="1107"/>
      <c r="C71" s="1089" t="s">
        <v>1354</v>
      </c>
      <c r="D71" s="1113" t="str">
        <f>IF(SUM('Acct Summary 7-8'!C27:K27) =SUM( 'Acct Summary 7-8'!C49:K49),"OK", "ERROR")</f>
        <v>OK</v>
      </c>
    </row>
    <row r="72" spans="1:4" x14ac:dyDescent="0.2">
      <c r="A72" s="1087"/>
      <c r="B72" s="1097"/>
      <c r="C72" s="1105" t="s">
        <v>1355</v>
      </c>
      <c r="D72" s="1111" t="str">
        <f>IF(SUM('Acct Summary 7-8'!C28:K28)=SUM('Acct Summary 7-8'!C50:K50),"OK","ERROR!")</f>
        <v>OK</v>
      </c>
    </row>
    <row r="73" spans="1:4" ht="24" x14ac:dyDescent="0.2">
      <c r="A73" s="1114"/>
      <c r="B73" s="1097"/>
      <c r="C73" s="1105" t="s">
        <v>1697</v>
      </c>
      <c r="D73" s="1113" t="str">
        <f>IF(SUM('Acct Summary 7-8'!C42:K42)&gt;=SUM( 'Acct Summary 7-8'!C74:K74),"OK", "ERROR")</f>
        <v>OK</v>
      </c>
    </row>
    <row r="74" spans="1:4" x14ac:dyDescent="0.2">
      <c r="A74" s="1085"/>
      <c r="B74" s="1107">
        <f>B70+1</f>
        <v>10</v>
      </c>
      <c r="C74" s="1101" t="s">
        <v>1914</v>
      </c>
      <c r="D74" s="1115"/>
    </row>
    <row r="75" spans="1:4" x14ac:dyDescent="0.2">
      <c r="A75" s="1087"/>
      <c r="B75" s="1097"/>
      <c r="C75" s="1105" t="s">
        <v>1377</v>
      </c>
      <c r="D75" s="1111" t="str">
        <f>IF(SUM('Assets-Liab 5-6'!C38:H38)&gt;=SUM('Rest Tax Levies-Tort Im 25'!G25:K25),"OK","ERROR")</f>
        <v>OK</v>
      </c>
    </row>
    <row r="76" spans="1:4" x14ac:dyDescent="0.2">
      <c r="A76" s="1087"/>
      <c r="B76" s="1097"/>
      <c r="C76" s="1105" t="s">
        <v>1418</v>
      </c>
      <c r="D76" s="1111" t="str">
        <f>IF(SUM('Assets-Liab 5-6'!C39:K39)&gt;0,"OK","ENTRY IS REQUIRED!")</f>
        <v>OK</v>
      </c>
    </row>
    <row r="77" spans="1:4" x14ac:dyDescent="0.2">
      <c r="A77" s="1087"/>
      <c r="B77" s="1116">
        <f>B74+1</f>
        <v>11</v>
      </c>
      <c r="C77" s="1161" t="s">
        <v>1378</v>
      </c>
      <c r="D77" s="1111"/>
    </row>
    <row r="78" spans="1:4" x14ac:dyDescent="0.2">
      <c r="A78" s="1087"/>
      <c r="B78" s="1097"/>
      <c r="C78" s="1105" t="s">
        <v>1915</v>
      </c>
      <c r="D78" s="1111" t="str">
        <f>IF(ISNUMBER('Acct Summary 7-8'!C9),"OK","ENTRY IS REQUIRED!")</f>
        <v>OK</v>
      </c>
    </row>
    <row r="79" spans="1:4" x14ac:dyDescent="0.2">
      <c r="A79" s="1106"/>
      <c r="B79" s="1107">
        <f>B74+1+1</f>
        <v>12</v>
      </c>
      <c r="C79" s="1117" t="s">
        <v>1900</v>
      </c>
      <c r="D79" s="1118" t="str">
        <f>IF(OR(COVER!$B$6="X",'PCTC-OEPP 27-28'!F78&gt;0),"OK","PLEASE ENTER 9 MO ADA.")</f>
        <v>OK</v>
      </c>
    </row>
    <row r="80" spans="1:4" x14ac:dyDescent="0.2">
      <c r="A80" s="1085"/>
      <c r="B80" s="1107">
        <v>13</v>
      </c>
      <c r="C80" s="1117" t="s">
        <v>1916</v>
      </c>
      <c r="D80" s="1118" t="str">
        <f>IF('Contracts Paid in CY 29'!D141&gt;0,"OK","PLEASE ENTER CONTRACTS PAID IN CURRENT YEAR.")</f>
        <v>OK</v>
      </c>
    </row>
    <row r="81" spans="1:4" x14ac:dyDescent="0.2">
      <c r="A81" s="1085"/>
      <c r="B81" s="1107">
        <v>14</v>
      </c>
      <c r="C81" s="1117" t="s">
        <v>1424</v>
      </c>
      <c r="D81" s="1110" t="str">
        <f>IF('Shared Outsourced Services 31'!B8="X","OK",IF('Shared Outsourced Services 31'!K34&gt;0,"OK","ENTRY REQUIRED!"))</f>
        <v>OK</v>
      </c>
    </row>
    <row r="82" spans="1:4" x14ac:dyDescent="0.2">
      <c r="A82" s="1106"/>
      <c r="B82" s="1107">
        <v>15</v>
      </c>
      <c r="C82" s="1117" t="s">
        <v>1423</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19022100016</v>
      </c>
    </row>
    <row r="3" spans="1:2" x14ac:dyDescent="0.2">
      <c r="A3" t="s">
        <v>956</v>
      </c>
      <c r="B3" s="138" t="str">
        <f>COVER!A15</f>
        <v>DuPage</v>
      </c>
    </row>
    <row r="4" spans="1:2" x14ac:dyDescent="0.2">
      <c r="A4" t="s">
        <v>1007</v>
      </c>
      <c r="B4" s="138" t="str">
        <f>COVER!A17</f>
        <v>Fenton CHSD 100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f>COVER!T23</f>
        <v>66003412</v>
      </c>
    </row>
    <row r="16" spans="1:2" x14ac:dyDescent="0.2">
      <c r="A16" t="s">
        <v>422</v>
      </c>
      <c r="B16" s="138" t="str">
        <f>COVER!T13</f>
        <v>Mathieson, Moyski, Austin &amp; Co., LLP</v>
      </c>
    </row>
    <row r="17" spans="1:2" x14ac:dyDescent="0.2">
      <c r="A17" t="s">
        <v>884</v>
      </c>
      <c r="B17" s="138" t="str">
        <f>COVER!T15</f>
        <v>Brett J. Mathieson</v>
      </c>
    </row>
    <row r="18" spans="1:2" x14ac:dyDescent="0.2">
      <c r="A18" t="s">
        <v>1150</v>
      </c>
      <c r="B18" s="138" t="str">
        <f>COVER!T17</f>
        <v>211 South Wheaton Ave., Suite 400</v>
      </c>
    </row>
    <row r="19" spans="1:2" x14ac:dyDescent="0.2">
      <c r="A19" t="s">
        <v>886</v>
      </c>
      <c r="B19" s="138" t="str">
        <f>COVER!T25</f>
        <v>bmathieson@mmaadvisors.com</v>
      </c>
    </row>
    <row r="20" spans="1:2" x14ac:dyDescent="0.2">
      <c r="A20" t="s">
        <v>887</v>
      </c>
      <c r="B20" s="138" t="str">
        <f>COVER!T19</f>
        <v>Wheaton</v>
      </c>
    </row>
    <row r="21" spans="1:2" x14ac:dyDescent="0.2">
      <c r="A21" t="s">
        <v>479</v>
      </c>
      <c r="B21" s="138" t="str">
        <f>COVER!X19</f>
        <v xml:space="preserve">IL </v>
      </c>
    </row>
    <row r="22" spans="1:2" x14ac:dyDescent="0.2">
      <c r="A22" t="s">
        <v>888</v>
      </c>
      <c r="B22" s="138">
        <f>COVER!Z19</f>
        <v>60187</v>
      </c>
    </row>
    <row r="23" spans="1:2" x14ac:dyDescent="0.2">
      <c r="A23" t="s">
        <v>1152</v>
      </c>
      <c r="B23" s="138" t="str">
        <f>COVER!T21</f>
        <v>630-653-1616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2037044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15720190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15720190</v>
      </c>
      <c r="D92" s="2" t="str">
        <f t="shared" si="0"/>
        <v>Error?</v>
      </c>
    </row>
    <row r="93" spans="1:4" x14ac:dyDescent="0.2">
      <c r="A93" s="5">
        <v>32</v>
      </c>
      <c r="B93" s="138">
        <f>'Assets-Liab 5-6'!C41</f>
        <v>15720190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1879842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1879842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1879842</v>
      </c>
      <c r="D123" s="2" t="str">
        <f t="shared" si="0"/>
        <v>Error?</v>
      </c>
    </row>
    <row r="124" spans="1:4" x14ac:dyDescent="0.2">
      <c r="A124" s="5">
        <v>63</v>
      </c>
      <c r="B124" s="138">
        <f>'Assets-Liab 5-6'!D41</f>
        <v>1879842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272715</v>
      </c>
      <c r="D129" s="2" t="str">
        <f t="shared" si="1"/>
        <v>Error?</v>
      </c>
    </row>
    <row r="130" spans="1:4" x14ac:dyDescent="0.2">
      <c r="A130" s="5">
        <v>69</v>
      </c>
      <c r="B130" s="138">
        <f>'Assets-Liab 5-6'!E12</f>
        <v>0</v>
      </c>
      <c r="D130" s="2" t="str">
        <f t="shared" si="1"/>
        <v>Error?</v>
      </c>
    </row>
    <row r="131" spans="1:4" x14ac:dyDescent="0.2">
      <c r="A131" s="5">
        <v>70</v>
      </c>
      <c r="B131" s="138">
        <f>'Assets-Liab 5-6'!E13</f>
        <v>272715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272715</v>
      </c>
      <c r="D140" s="2" t="str">
        <f t="shared" si="1"/>
        <v>Error?</v>
      </c>
    </row>
    <row r="141" spans="1:4" x14ac:dyDescent="0.2">
      <c r="A141" s="5">
        <v>80</v>
      </c>
      <c r="B141" s="138">
        <f>'Assets-Liab 5-6'!E41</f>
        <v>272715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331094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331094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331094</v>
      </c>
      <c r="D170" s="2" t="str">
        <f t="shared" si="1"/>
        <v>Error?</v>
      </c>
    </row>
    <row r="171" spans="1:4" x14ac:dyDescent="0.2">
      <c r="A171" s="5">
        <v>110</v>
      </c>
      <c r="B171" s="138">
        <f>'Assets-Liab 5-6'!F41</f>
        <v>331094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802583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802583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23068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23068</v>
      </c>
      <c r="C188" s="2" t="s">
        <v>573</v>
      </c>
      <c r="D188" s="2" t="str">
        <f t="shared" si="1"/>
        <v>Error?</v>
      </c>
    </row>
    <row r="189" spans="1:4" x14ac:dyDescent="0.2">
      <c r="A189" s="5">
        <v>128</v>
      </c>
      <c r="B189" s="138">
        <f>'Assets-Liab 5-6'!G39</f>
        <v>779515</v>
      </c>
      <c r="D189" s="2" t="str">
        <f t="shared" si="1"/>
        <v>Error?</v>
      </c>
    </row>
    <row r="190" spans="1:4" x14ac:dyDescent="0.2">
      <c r="A190" s="5">
        <v>129</v>
      </c>
      <c r="B190" s="138">
        <f>'Assets-Liab 5-6'!G41</f>
        <v>802583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135147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135147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135147</v>
      </c>
      <c r="D212" s="2" t="str">
        <f t="shared" si="2"/>
        <v>Error?</v>
      </c>
    </row>
    <row r="213" spans="1:4" x14ac:dyDescent="0.2">
      <c r="A213" s="12">
        <v>152</v>
      </c>
      <c r="B213" s="138">
        <f>'Assets-Liab 5-6'!H41</f>
        <v>135147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459795</v>
      </c>
      <c r="D273" s="2" t="str">
        <f t="shared" si="3"/>
        <v>Error?</v>
      </c>
    </row>
    <row r="274" spans="1:4" x14ac:dyDescent="0.2">
      <c r="A274" s="5">
        <v>213</v>
      </c>
      <c r="B274" s="138">
        <f>'Assets-Liab 5-6'!M17</f>
        <v>46162905</v>
      </c>
      <c r="D274" s="2" t="str">
        <f t="shared" si="3"/>
        <v>Error?</v>
      </c>
    </row>
    <row r="275" spans="1:4" x14ac:dyDescent="0.2">
      <c r="A275" s="5">
        <v>214</v>
      </c>
      <c r="B275" s="138">
        <f>'Assets-Liab 5-6'!M18</f>
        <v>3238686</v>
      </c>
      <c r="D275" s="2" t="str">
        <f t="shared" si="3"/>
        <v>Error?</v>
      </c>
    </row>
    <row r="276" spans="1:4" x14ac:dyDescent="0.2">
      <c r="A276" s="5">
        <v>215</v>
      </c>
      <c r="B276" s="138">
        <f>'Assets-Liab 5-6'!M19</f>
        <v>6882712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56744098</v>
      </c>
      <c r="C279" s="2" t="s">
        <v>573</v>
      </c>
      <c r="D279" s="2" t="str">
        <f t="shared" si="3"/>
        <v>Error?</v>
      </c>
    </row>
    <row r="280" spans="1:4" x14ac:dyDescent="0.2">
      <c r="A280" s="5">
        <v>219</v>
      </c>
      <c r="B280" s="138">
        <f>'Assets-Liab 5-6'!M40</f>
        <v>56744098</v>
      </c>
      <c r="D280" s="2" t="str">
        <f t="shared" si="3"/>
        <v>Error?</v>
      </c>
    </row>
    <row r="281" spans="1:4" x14ac:dyDescent="0.2">
      <c r="A281" s="5">
        <v>220</v>
      </c>
      <c r="B281" s="138">
        <f>'Assets-Liab 5-6'!M41</f>
        <v>56744098</v>
      </c>
      <c r="C281" s="2" t="s">
        <v>573</v>
      </c>
      <c r="D281" s="2" t="str">
        <f t="shared" si="3"/>
        <v>Error?</v>
      </c>
    </row>
    <row r="282" spans="1:4" x14ac:dyDescent="0.2">
      <c r="A282" s="5">
        <v>221</v>
      </c>
      <c r="B282" s="138">
        <f>'Assets-Liab 5-6'!N21</f>
        <v>272715</v>
      </c>
      <c r="D282" s="2" t="str">
        <f t="shared" si="3"/>
        <v>Error?</v>
      </c>
    </row>
    <row r="283" spans="1:4" x14ac:dyDescent="0.2">
      <c r="A283" s="5">
        <v>222</v>
      </c>
      <c r="B283" s="138">
        <f>'Assets-Liab 5-6'!N22</f>
        <v>9622285</v>
      </c>
      <c r="D283" s="2" t="str">
        <f t="shared" si="3"/>
        <v>Error?</v>
      </c>
    </row>
    <row r="284" spans="1:4" x14ac:dyDescent="0.2">
      <c r="A284" s="5">
        <v>223</v>
      </c>
      <c r="B284" s="138">
        <f>'Assets-Liab 5-6'!N23</f>
        <v>9895000</v>
      </c>
      <c r="C284" s="2" t="s">
        <v>573</v>
      </c>
      <c r="D284" s="2" t="str">
        <f t="shared" si="3"/>
        <v>Error?</v>
      </c>
    </row>
    <row r="285" spans="1:4" x14ac:dyDescent="0.2">
      <c r="A285" s="5">
        <v>224</v>
      </c>
      <c r="B285" s="138">
        <f>'Assets-Liab 5-6'!N36</f>
        <v>9895000</v>
      </c>
      <c r="D285" s="2" t="str">
        <f t="shared" si="3"/>
        <v>Error?</v>
      </c>
    </row>
    <row r="286" spans="1:4" x14ac:dyDescent="0.2">
      <c r="A286" s="10">
        <v>225</v>
      </c>
      <c r="D286" s="2" t="str">
        <f t="shared" si="3"/>
        <v>OK</v>
      </c>
    </row>
    <row r="287" spans="1:4" x14ac:dyDescent="0.2">
      <c r="A287" s="5">
        <v>226</v>
      </c>
      <c r="B287" s="138">
        <f>'Assets-Liab 5-6'!N37</f>
        <v>9895000</v>
      </c>
      <c r="C287" s="2" t="s">
        <v>573</v>
      </c>
      <c r="D287" s="2" t="str">
        <f t="shared" si="3"/>
        <v>Error?</v>
      </c>
    </row>
    <row r="288" spans="1:4" x14ac:dyDescent="0.2">
      <c r="A288" s="5">
        <v>227</v>
      </c>
      <c r="B288" s="138">
        <f>'Assets-Liab 5-6'!N41</f>
        <v>9895000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7642633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461152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1069190</v>
      </c>
      <c r="D717" s="2" t="str">
        <f t="shared" si="10"/>
        <v>Error?</v>
      </c>
    </row>
    <row r="718" spans="1:4" x14ac:dyDescent="0.2">
      <c r="A718" s="5">
        <v>657</v>
      </c>
      <c r="B718" s="138">
        <f>'Expenditures 15-22'!C14</f>
        <v>1077925</v>
      </c>
      <c r="D718" s="2" t="str">
        <f t="shared" si="10"/>
        <v>Error?</v>
      </c>
    </row>
    <row r="719" spans="1:4" x14ac:dyDescent="0.2">
      <c r="A719" s="5">
        <v>658</v>
      </c>
      <c r="B719" s="138">
        <f>'Expenditures 15-22'!C15</f>
        <v>67676</v>
      </c>
      <c r="D719" s="2" t="str">
        <f t="shared" si="10"/>
        <v>Error?</v>
      </c>
    </row>
    <row r="720" spans="1:4" x14ac:dyDescent="0.2">
      <c r="A720" s="5">
        <v>659</v>
      </c>
      <c r="B720" s="138">
        <f>'Expenditures 15-22'!C33</f>
        <v>12286270</v>
      </c>
      <c r="C720" s="2" t="s">
        <v>573</v>
      </c>
      <c r="D720" s="2" t="str">
        <f t="shared" si="10"/>
        <v>Error?</v>
      </c>
    </row>
    <row r="721" spans="1:4" x14ac:dyDescent="0.2">
      <c r="A721" s="5">
        <v>660</v>
      </c>
      <c r="B721" s="138">
        <f>'Expenditures 15-22'!C36</f>
        <v>265522</v>
      </c>
      <c r="D721" s="2" t="str">
        <f t="shared" si="10"/>
        <v>Error?</v>
      </c>
    </row>
    <row r="722" spans="1:4" x14ac:dyDescent="0.2">
      <c r="A722" s="5">
        <v>661</v>
      </c>
      <c r="B722" s="138">
        <f>'Expenditures 15-22'!C37</f>
        <v>857516</v>
      </c>
      <c r="D722" s="2" t="str">
        <f t="shared" si="10"/>
        <v>Error?</v>
      </c>
    </row>
    <row r="723" spans="1:4" x14ac:dyDescent="0.2">
      <c r="A723" s="5">
        <v>662</v>
      </c>
      <c r="B723" s="138">
        <f>'Expenditures 15-22'!C38</f>
        <v>123632</v>
      </c>
      <c r="D723" s="2" t="str">
        <f t="shared" si="10"/>
        <v>Error?</v>
      </c>
    </row>
    <row r="724" spans="1:4" x14ac:dyDescent="0.2">
      <c r="A724" s="5">
        <v>663</v>
      </c>
      <c r="B724" s="138">
        <f>'Expenditures 15-22'!C39</f>
        <v>78878</v>
      </c>
      <c r="D724" s="2" t="str">
        <f t="shared" si="10"/>
        <v>Error?</v>
      </c>
    </row>
    <row r="725" spans="1:4" x14ac:dyDescent="0.2">
      <c r="A725" s="5">
        <v>664</v>
      </c>
      <c r="B725" s="138">
        <f>'Expenditures 15-22'!C40</f>
        <v>21083</v>
      </c>
      <c r="D725" s="2" t="str">
        <f t="shared" si="10"/>
        <v>Error?</v>
      </c>
    </row>
    <row r="726" spans="1:4" x14ac:dyDescent="0.2">
      <c r="A726" s="5">
        <v>665</v>
      </c>
      <c r="B726" s="138">
        <f>'Expenditures 15-22'!C41</f>
        <v>536641</v>
      </c>
      <c r="D726" s="2" t="str">
        <f t="shared" si="10"/>
        <v>Error?</v>
      </c>
    </row>
    <row r="727" spans="1:4" x14ac:dyDescent="0.2">
      <c r="A727" s="5">
        <v>666</v>
      </c>
      <c r="B727" s="138">
        <f>'Expenditures 15-22'!C42</f>
        <v>1883272</v>
      </c>
      <c r="C727" s="2" t="s">
        <v>573</v>
      </c>
      <c r="D727" s="2" t="str">
        <f t="shared" si="10"/>
        <v>Error?</v>
      </c>
    </row>
    <row r="728" spans="1:4" x14ac:dyDescent="0.2">
      <c r="A728" s="5">
        <v>667</v>
      </c>
      <c r="B728" s="138">
        <f>'Expenditures 15-22'!C44</f>
        <v>212989</v>
      </c>
      <c r="D728" s="2" t="str">
        <f t="shared" si="10"/>
        <v>Error?</v>
      </c>
    </row>
    <row r="729" spans="1:4" x14ac:dyDescent="0.2">
      <c r="A729" s="5">
        <v>668</v>
      </c>
      <c r="B729" s="138">
        <f>'Expenditures 15-22'!C45</f>
        <v>192764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405753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245369</v>
      </c>
      <c r="D733" s="2" t="str">
        <f t="shared" si="10"/>
        <v>Error?</v>
      </c>
    </row>
    <row r="734" spans="1:4" x14ac:dyDescent="0.2">
      <c r="A734" s="5">
        <v>673</v>
      </c>
      <c r="B734" s="138">
        <f>'Expenditures 15-22'!C53</f>
        <v>245369</v>
      </c>
      <c r="C734" s="2" t="s">
        <v>573</v>
      </c>
      <c r="D734" s="2" t="str">
        <f t="shared" si="10"/>
        <v>Error?</v>
      </c>
    </row>
    <row r="735" spans="1:4" x14ac:dyDescent="0.2">
      <c r="A735" s="5">
        <v>674</v>
      </c>
      <c r="B735" s="138">
        <f>'Expenditures 15-22'!C55</f>
        <v>869659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869659</v>
      </c>
      <c r="C737" s="2" t="s">
        <v>573</v>
      </c>
      <c r="D737" s="2" t="str">
        <f t="shared" si="10"/>
        <v>Error?</v>
      </c>
    </row>
    <row r="738" spans="1:4" x14ac:dyDescent="0.2">
      <c r="A738" s="5">
        <v>677</v>
      </c>
      <c r="B738" s="138">
        <f>'Expenditures 15-22'!C59</f>
        <v>147370</v>
      </c>
      <c r="D738" s="2" t="str">
        <f t="shared" si="10"/>
        <v>Error?</v>
      </c>
    </row>
    <row r="739" spans="1:4" x14ac:dyDescent="0.2">
      <c r="A739" s="5">
        <v>678</v>
      </c>
      <c r="B739" s="138">
        <f>'Expenditures 15-22'!C60</f>
        <v>345068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65631</v>
      </c>
      <c r="D742" s="2" t="str">
        <f t="shared" si="10"/>
        <v>Error?</v>
      </c>
    </row>
    <row r="743" spans="1:4" x14ac:dyDescent="0.2">
      <c r="A743" s="5">
        <v>682</v>
      </c>
      <c r="B743" s="138">
        <f>'Expenditures 15-22'!C64</f>
        <v>47718</v>
      </c>
      <c r="D743" s="2" t="str">
        <f t="shared" si="10"/>
        <v>Error?</v>
      </c>
    </row>
    <row r="744" spans="1:4" x14ac:dyDescent="0.2">
      <c r="A744" s="10">
        <v>683</v>
      </c>
      <c r="D744" s="2" t="str">
        <f t="shared" si="10"/>
        <v>OK</v>
      </c>
    </row>
    <row r="745" spans="1:4" x14ac:dyDescent="0.2">
      <c r="A745" s="5">
        <v>684</v>
      </c>
      <c r="B745" s="138">
        <f>'Expenditures 15-22'!C65</f>
        <v>605787</v>
      </c>
      <c r="C745" s="2" t="s">
        <v>573</v>
      </c>
      <c r="D745" s="2" t="str">
        <f t="shared" si="10"/>
        <v>Error?</v>
      </c>
    </row>
    <row r="746" spans="1:4" x14ac:dyDescent="0.2">
      <c r="A746" s="5">
        <v>685</v>
      </c>
      <c r="B746" s="138">
        <f>'Expenditures 15-22'!C67</f>
        <v>68988</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87290</v>
      </c>
      <c r="D748" s="2" t="str">
        <f t="shared" si="10"/>
        <v>Error?</v>
      </c>
    </row>
    <row r="749" spans="1:4" x14ac:dyDescent="0.2">
      <c r="A749" s="5">
        <v>688</v>
      </c>
      <c r="B749" s="138">
        <f>'Expenditures 15-22'!C70</f>
        <v>50459</v>
      </c>
      <c r="D749" s="2" t="str">
        <f t="shared" si="10"/>
        <v>Error?</v>
      </c>
    </row>
    <row r="750" spans="1:4" x14ac:dyDescent="0.2">
      <c r="A750" s="10">
        <v>689</v>
      </c>
      <c r="D750" s="2" t="str">
        <f t="shared" si="10"/>
        <v>OK</v>
      </c>
    </row>
    <row r="751" spans="1:4" x14ac:dyDescent="0.2">
      <c r="A751" s="5">
        <v>690</v>
      </c>
      <c r="B751" s="138">
        <f>'Expenditures 15-22'!C71</f>
        <v>313494</v>
      </c>
      <c r="D751" s="2" t="str">
        <f t="shared" si="10"/>
        <v>Error?</v>
      </c>
    </row>
    <row r="752" spans="1:4" x14ac:dyDescent="0.2">
      <c r="A752" s="10">
        <v>691</v>
      </c>
      <c r="D752" s="2" t="str">
        <f t="shared" si="10"/>
        <v>OK</v>
      </c>
    </row>
    <row r="753" spans="1:4" x14ac:dyDescent="0.2">
      <c r="A753" s="5">
        <v>692</v>
      </c>
      <c r="B753" s="138">
        <f>'Expenditures 15-22'!C72</f>
        <v>520231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4530071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16816341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1327117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69218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177219</v>
      </c>
      <c r="D775" s="2" t="str">
        <f t="shared" si="11"/>
        <v>Error?</v>
      </c>
    </row>
    <row r="776" spans="1:4" x14ac:dyDescent="0.2">
      <c r="A776" s="5">
        <v>715</v>
      </c>
      <c r="B776" s="138">
        <f>'Expenditures 15-22'!D14</f>
        <v>60365</v>
      </c>
      <c r="D776" s="2" t="str">
        <f t="shared" si="11"/>
        <v>Error?</v>
      </c>
    </row>
    <row r="777" spans="1:4" x14ac:dyDescent="0.2">
      <c r="A777" s="5">
        <v>716</v>
      </c>
      <c r="B777" s="138">
        <f>'Expenditures 15-22'!D15</f>
        <v>2053</v>
      </c>
      <c r="D777" s="2" t="str">
        <f t="shared" si="11"/>
        <v>Error?</v>
      </c>
    </row>
    <row r="778" spans="1:4" x14ac:dyDescent="0.2">
      <c r="A778" s="5">
        <v>717</v>
      </c>
      <c r="B778" s="138">
        <f>'Expenditures 15-22'!D33</f>
        <v>1982870</v>
      </c>
      <c r="C778" s="2" t="s">
        <v>573</v>
      </c>
      <c r="D778" s="2" t="str">
        <f t="shared" si="11"/>
        <v>Error?</v>
      </c>
    </row>
    <row r="779" spans="1:4" x14ac:dyDescent="0.2">
      <c r="A779" s="5">
        <v>718</v>
      </c>
      <c r="B779" s="138">
        <f>'Expenditures 15-22'!D36</f>
        <v>13116</v>
      </c>
      <c r="D779" s="2" t="str">
        <f t="shared" si="11"/>
        <v>Error?</v>
      </c>
    </row>
    <row r="780" spans="1:4" x14ac:dyDescent="0.2">
      <c r="A780" s="5">
        <v>719</v>
      </c>
      <c r="B780" s="138">
        <f>'Expenditures 15-22'!D37</f>
        <v>115375</v>
      </c>
      <c r="D780" s="2" t="str">
        <f t="shared" si="11"/>
        <v>Error?</v>
      </c>
    </row>
    <row r="781" spans="1:4" x14ac:dyDescent="0.2">
      <c r="A781" s="5">
        <v>720</v>
      </c>
      <c r="B781" s="138">
        <f>'Expenditures 15-22'!D38</f>
        <v>27766</v>
      </c>
      <c r="D781" s="2" t="str">
        <f t="shared" si="11"/>
        <v>Error?</v>
      </c>
    </row>
    <row r="782" spans="1:4" x14ac:dyDescent="0.2">
      <c r="A782" s="5">
        <v>721</v>
      </c>
      <c r="B782" s="138">
        <f>'Expenditures 15-22'!D39</f>
        <v>13996</v>
      </c>
      <c r="D782" s="2" t="str">
        <f t="shared" si="11"/>
        <v>Error?</v>
      </c>
    </row>
    <row r="783" spans="1:4" x14ac:dyDescent="0.2">
      <c r="A783" s="5">
        <v>722</v>
      </c>
      <c r="B783" s="138">
        <f>'Expenditures 15-22'!D40</f>
        <v>453</v>
      </c>
      <c r="D783" s="2" t="str">
        <f t="shared" si="11"/>
        <v>Error?</v>
      </c>
    </row>
    <row r="784" spans="1:4" x14ac:dyDescent="0.2">
      <c r="A784" s="5">
        <v>723</v>
      </c>
      <c r="B784" s="138">
        <f>'Expenditures 15-22'!D41</f>
        <v>95281</v>
      </c>
      <c r="D784" s="2" t="str">
        <f t="shared" si="11"/>
        <v>Error?</v>
      </c>
    </row>
    <row r="785" spans="1:4" x14ac:dyDescent="0.2">
      <c r="A785" s="5">
        <v>724</v>
      </c>
      <c r="B785" s="138">
        <f>'Expenditures 15-22'!D42</f>
        <v>265987</v>
      </c>
      <c r="C785" s="2" t="s">
        <v>573</v>
      </c>
      <c r="D785" s="2" t="str">
        <f t="shared" si="11"/>
        <v>Error?</v>
      </c>
    </row>
    <row r="786" spans="1:4" x14ac:dyDescent="0.2">
      <c r="A786" s="5">
        <v>725</v>
      </c>
      <c r="B786" s="138">
        <f>'Expenditures 15-22'!D44</f>
        <v>42856</v>
      </c>
      <c r="D786" s="2" t="str">
        <f t="shared" si="11"/>
        <v>Error?</v>
      </c>
    </row>
    <row r="787" spans="1:4" x14ac:dyDescent="0.2">
      <c r="A787" s="5">
        <v>726</v>
      </c>
      <c r="B787" s="138">
        <f>'Expenditures 15-22'!D45</f>
        <v>43137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85993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68773</v>
      </c>
      <c r="D791" s="2" t="str">
        <f t="shared" si="11"/>
        <v>Error?</v>
      </c>
    </row>
    <row r="792" spans="1:4" x14ac:dyDescent="0.2">
      <c r="A792" s="5">
        <v>731</v>
      </c>
      <c r="B792" s="138">
        <f>'Expenditures 15-22'!D53</f>
        <v>68773</v>
      </c>
      <c r="C792" s="2" t="s">
        <v>573</v>
      </c>
      <c r="D792" s="2" t="str">
        <f t="shared" si="11"/>
        <v>Error?</v>
      </c>
    </row>
    <row r="793" spans="1:4" x14ac:dyDescent="0.2">
      <c r="A793" s="5">
        <v>732</v>
      </c>
      <c r="B793" s="138">
        <f>'Expenditures 15-22'!D55</f>
        <v>216304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216304</v>
      </c>
      <c r="C795" s="2" t="s">
        <v>573</v>
      </c>
      <c r="D795" s="2" t="str">
        <f t="shared" si="11"/>
        <v>Error?</v>
      </c>
    </row>
    <row r="796" spans="1:4" x14ac:dyDescent="0.2">
      <c r="A796" s="5">
        <v>735</v>
      </c>
      <c r="B796" s="138">
        <f>'Expenditures 15-22'!D59</f>
        <v>48861</v>
      </c>
      <c r="D796" s="2" t="str">
        <f t="shared" si="11"/>
        <v>Error?</v>
      </c>
    </row>
    <row r="797" spans="1:4" x14ac:dyDescent="0.2">
      <c r="A797" s="5">
        <v>736</v>
      </c>
      <c r="B797" s="138">
        <f>'Expenditures 15-22'!D60</f>
        <v>83006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2361</v>
      </c>
      <c r="D800" s="2" t="str">
        <f t="shared" si="11"/>
        <v>Error?</v>
      </c>
    </row>
    <row r="801" spans="1:4" x14ac:dyDescent="0.2">
      <c r="A801" s="5">
        <v>740</v>
      </c>
      <c r="B801" s="138">
        <f>'Expenditures 15-22'!D64</f>
        <v>22105</v>
      </c>
      <c r="D801" s="2" t="str">
        <f t="shared" si="11"/>
        <v>Error?</v>
      </c>
    </row>
    <row r="802" spans="1:4" x14ac:dyDescent="0.2">
      <c r="A802" s="10">
        <v>741</v>
      </c>
      <c r="D802" s="2" t="str">
        <f t="shared" si="11"/>
        <v>OK</v>
      </c>
    </row>
    <row r="803" spans="1:4" x14ac:dyDescent="0.2">
      <c r="A803" s="5">
        <v>742</v>
      </c>
      <c r="B803" s="138">
        <f>'Expenditures 15-22'!D65</f>
        <v>156333</v>
      </c>
      <c r="C803" s="2" t="s">
        <v>573</v>
      </c>
      <c r="D803" s="2" t="str">
        <f t="shared" si="11"/>
        <v>Error?</v>
      </c>
    </row>
    <row r="804" spans="1:4" x14ac:dyDescent="0.2">
      <c r="A804" s="5">
        <v>743</v>
      </c>
      <c r="B804" s="138">
        <f>'Expenditures 15-22'!D67</f>
        <v>22996</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27571</v>
      </c>
      <c r="D806" s="2" t="str">
        <f t="shared" si="11"/>
        <v>Error?</v>
      </c>
    </row>
    <row r="807" spans="1:4" x14ac:dyDescent="0.2">
      <c r="A807" s="5">
        <v>746</v>
      </c>
      <c r="B807" s="138">
        <f>'Expenditures 15-22'!D70</f>
        <v>8038</v>
      </c>
      <c r="D807" s="2" t="str">
        <f t="shared" si="11"/>
        <v>Error?</v>
      </c>
    </row>
    <row r="808" spans="1:4" x14ac:dyDescent="0.2">
      <c r="A808" s="10">
        <v>747</v>
      </c>
      <c r="D808" s="2" t="str">
        <f t="shared" si="11"/>
        <v>OK</v>
      </c>
    </row>
    <row r="809" spans="1:4" x14ac:dyDescent="0.2">
      <c r="A809" s="5">
        <v>748</v>
      </c>
      <c r="B809" s="138">
        <f>'Expenditures 15-22'!D71</f>
        <v>52156</v>
      </c>
      <c r="D809" s="2" t="str">
        <f t="shared" si="11"/>
        <v>Error?</v>
      </c>
    </row>
    <row r="810" spans="1:4" x14ac:dyDescent="0.2">
      <c r="A810" s="10">
        <v>749</v>
      </c>
      <c r="D810" s="2" t="str">
        <f t="shared" si="11"/>
        <v>OK</v>
      </c>
    </row>
    <row r="811" spans="1:4" x14ac:dyDescent="0.2">
      <c r="A811" s="5">
        <v>750</v>
      </c>
      <c r="B811" s="138">
        <f>'Expenditures 15-22'!D72</f>
        <v>110761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904151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2887021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39887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1190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8089</v>
      </c>
      <c r="D833" s="2" t="str">
        <f t="shared" si="12"/>
        <v>Error?</v>
      </c>
    </row>
    <row r="834" spans="1:4" x14ac:dyDescent="0.2">
      <c r="A834" s="5">
        <v>773</v>
      </c>
      <c r="B834" s="138">
        <f>'Expenditures 15-22'!E14</f>
        <v>168308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255141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3037</v>
      </c>
      <c r="D838" s="2" t="str">
        <f t="shared" si="12"/>
        <v>Error?</v>
      </c>
    </row>
    <row r="839" spans="1:4" x14ac:dyDescent="0.2">
      <c r="A839" s="5">
        <v>778</v>
      </c>
      <c r="B839" s="138">
        <f>'Expenditures 15-22'!E38</f>
        <v>878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95639</v>
      </c>
      <c r="D842" s="2" t="str">
        <f t="shared" si="12"/>
        <v>Error?</v>
      </c>
    </row>
    <row r="843" spans="1:4" x14ac:dyDescent="0.2">
      <c r="A843" s="5">
        <v>782</v>
      </c>
      <c r="B843" s="138">
        <f>'Expenditures 15-22'!E42</f>
        <v>99554</v>
      </c>
      <c r="C843" s="2" t="s">
        <v>573</v>
      </c>
      <c r="D843" s="2" t="str">
        <f t="shared" si="12"/>
        <v>Error?</v>
      </c>
    </row>
    <row r="844" spans="1:4" x14ac:dyDescent="0.2">
      <c r="A844" s="5">
        <v>783</v>
      </c>
      <c r="B844" s="138">
        <f>'Expenditures 15-22'!E44</f>
        <v>194464</v>
      </c>
      <c r="D844" s="2" t="str">
        <f t="shared" si="12"/>
        <v>Error?</v>
      </c>
    </row>
    <row r="845" spans="1:4" x14ac:dyDescent="0.2">
      <c r="A845" s="5">
        <v>784</v>
      </c>
      <c r="B845" s="138">
        <f>'Expenditures 15-22'!E45</f>
        <v>3464</v>
      </c>
      <c r="D845" s="2" t="str">
        <f t="shared" si="12"/>
        <v>Error?</v>
      </c>
    </row>
    <row r="846" spans="1:4" x14ac:dyDescent="0.2">
      <c r="A846" s="5">
        <v>785</v>
      </c>
      <c r="B846" s="138">
        <f>'Expenditures 15-22'!E46</f>
        <v>35075</v>
      </c>
      <c r="D846" s="2" t="str">
        <f t="shared" si="12"/>
        <v>Error?</v>
      </c>
    </row>
    <row r="847" spans="1:4" x14ac:dyDescent="0.2">
      <c r="A847" s="5">
        <v>786</v>
      </c>
      <c r="B847" s="138">
        <f>'Expenditures 15-22'!E47</f>
        <v>233003</v>
      </c>
      <c r="C847" s="2" t="s">
        <v>573</v>
      </c>
      <c r="D847" s="2" t="str">
        <f t="shared" si="12"/>
        <v>Error?</v>
      </c>
    </row>
    <row r="848" spans="1:4" x14ac:dyDescent="0.2">
      <c r="A848" s="5">
        <v>787</v>
      </c>
      <c r="B848" s="138">
        <f>'Expenditures 15-22'!E49</f>
        <v>240522</v>
      </c>
      <c r="D848" s="2" t="str">
        <f t="shared" si="12"/>
        <v>Error?</v>
      </c>
    </row>
    <row r="849" spans="1:4" x14ac:dyDescent="0.2">
      <c r="A849" s="5">
        <v>788</v>
      </c>
      <c r="B849" s="138">
        <f>'Expenditures 15-22'!E50</f>
        <v>11819</v>
      </c>
      <c r="D849" s="2" t="str">
        <f t="shared" si="12"/>
        <v>Error?</v>
      </c>
    </row>
    <row r="850" spans="1:4" x14ac:dyDescent="0.2">
      <c r="A850" s="5">
        <v>789</v>
      </c>
      <c r="B850" s="138">
        <f>'Expenditures 15-22'!E53</f>
        <v>252341</v>
      </c>
      <c r="C850" s="2" t="s">
        <v>573</v>
      </c>
      <c r="D850" s="2" t="str">
        <f t="shared" si="12"/>
        <v>Error?</v>
      </c>
    </row>
    <row r="851" spans="1:4" x14ac:dyDescent="0.2">
      <c r="A851" s="5">
        <v>790</v>
      </c>
      <c r="B851" s="138">
        <f>'Expenditures 15-22'!E55</f>
        <v>34320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34320</v>
      </c>
      <c r="C853" s="2" t="s">
        <v>573</v>
      </c>
      <c r="D853" s="2" t="str">
        <f t="shared" si="12"/>
        <v>Error?</v>
      </c>
    </row>
    <row r="854" spans="1:4" x14ac:dyDescent="0.2">
      <c r="A854" s="5">
        <v>793</v>
      </c>
      <c r="B854" s="138">
        <f>'Expenditures 15-22'!E59</f>
        <v>1111</v>
      </c>
      <c r="D854" s="2" t="str">
        <f t="shared" si="12"/>
        <v>Error?</v>
      </c>
    </row>
    <row r="855" spans="1:4" x14ac:dyDescent="0.2">
      <c r="A855" s="5">
        <v>794</v>
      </c>
      <c r="B855" s="138">
        <f>'Expenditures 15-22'!E60</f>
        <v>21343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480415</v>
      </c>
      <c r="D858" s="2" t="str">
        <f t="shared" si="12"/>
        <v>Error?</v>
      </c>
    </row>
    <row r="859" spans="1:4" x14ac:dyDescent="0.2">
      <c r="A859" s="5">
        <v>798</v>
      </c>
      <c r="B859" s="138">
        <f>'Expenditures 15-22'!E64</f>
        <v>58059</v>
      </c>
      <c r="D859" s="2" t="str">
        <f t="shared" si="12"/>
        <v>Error?</v>
      </c>
    </row>
    <row r="860" spans="1:4" x14ac:dyDescent="0.2">
      <c r="A860" s="10">
        <v>799</v>
      </c>
      <c r="D860" s="2" t="str">
        <f t="shared" si="12"/>
        <v>OK</v>
      </c>
    </row>
    <row r="861" spans="1:4" x14ac:dyDescent="0.2">
      <c r="A861" s="5">
        <v>800</v>
      </c>
      <c r="B861" s="138">
        <f>'Expenditures 15-22'!E65</f>
        <v>560928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1987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170963</v>
      </c>
      <c r="D867" s="2" t="str">
        <f t="shared" si="12"/>
        <v>Error?</v>
      </c>
    </row>
    <row r="868" spans="1:4" x14ac:dyDescent="0.2">
      <c r="A868" s="10">
        <v>807</v>
      </c>
      <c r="D868" s="2" t="str">
        <f t="shared" si="12"/>
        <v>OK</v>
      </c>
    </row>
    <row r="869" spans="1:4" x14ac:dyDescent="0.2">
      <c r="A869" s="5">
        <v>808</v>
      </c>
      <c r="B869" s="138">
        <f>'Expenditures 15-22'!E72</f>
        <v>172950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1353096</v>
      </c>
      <c r="C871" s="2" t="s">
        <v>573</v>
      </c>
      <c r="D871" s="2" t="str">
        <f t="shared" si="12"/>
        <v>Error?</v>
      </c>
    </row>
    <row r="872" spans="1:4" x14ac:dyDescent="0.2">
      <c r="A872" s="5">
        <v>811</v>
      </c>
      <c r="B872" s="138">
        <f>'Expenditures 15-22'!E75</f>
        <v>2386</v>
      </c>
      <c r="D872" s="2" t="str">
        <f t="shared" si="12"/>
        <v>Error?</v>
      </c>
    </row>
    <row r="873" spans="1:4" x14ac:dyDescent="0.2">
      <c r="A873" s="5">
        <v>812</v>
      </c>
      <c r="B873" s="138">
        <f>'Expenditures 15-22'!E114</f>
        <v>1610623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204281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17042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86772</v>
      </c>
      <c r="D891" s="2" t="str">
        <f t="shared" si="12"/>
        <v>Error?</v>
      </c>
    </row>
    <row r="892" spans="1:4" x14ac:dyDescent="0.2">
      <c r="A892" s="5">
        <v>831</v>
      </c>
      <c r="B892" s="138">
        <f>'Expenditures 15-22'!F14</f>
        <v>103201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547519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1533</v>
      </c>
      <c r="D896" s="2" t="str">
        <f t="shared" si="13"/>
        <v>Error?</v>
      </c>
    </row>
    <row r="897" spans="1:4" x14ac:dyDescent="0.2">
      <c r="A897" s="5">
        <v>836</v>
      </c>
      <c r="B897" s="138">
        <f>'Expenditures 15-22'!F38</f>
        <v>1976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2914</v>
      </c>
      <c r="D900" s="2" t="str">
        <f t="shared" si="13"/>
        <v>Error?</v>
      </c>
    </row>
    <row r="901" spans="1:4" x14ac:dyDescent="0.2">
      <c r="A901" s="5">
        <v>840</v>
      </c>
      <c r="B901" s="138">
        <f>'Expenditures 15-22'!F42</f>
        <v>6423</v>
      </c>
      <c r="C901" s="2" t="s">
        <v>573</v>
      </c>
      <c r="D901" s="2" t="str">
        <f t="shared" si="13"/>
        <v>Error?</v>
      </c>
    </row>
    <row r="902" spans="1:4" x14ac:dyDescent="0.2">
      <c r="A902" s="5">
        <v>841</v>
      </c>
      <c r="B902" s="138">
        <f>'Expenditures 15-22'!F44</f>
        <v>9509</v>
      </c>
      <c r="D902" s="2" t="str">
        <f t="shared" si="13"/>
        <v>Error?</v>
      </c>
    </row>
    <row r="903" spans="1:4" x14ac:dyDescent="0.2">
      <c r="A903" s="5">
        <v>842</v>
      </c>
      <c r="B903" s="138">
        <f>'Expenditures 15-22'!F45</f>
        <v>34554</v>
      </c>
      <c r="D903" s="2" t="str">
        <f t="shared" si="13"/>
        <v>Error?</v>
      </c>
    </row>
    <row r="904" spans="1:4" x14ac:dyDescent="0.2">
      <c r="A904" s="5">
        <v>843</v>
      </c>
      <c r="B904" s="138">
        <f>'Expenditures 15-22'!F46</f>
        <v>749</v>
      </c>
      <c r="D904" s="2" t="str">
        <f t="shared" si="13"/>
        <v>Error?</v>
      </c>
    </row>
    <row r="905" spans="1:4" x14ac:dyDescent="0.2">
      <c r="A905" s="5">
        <v>844</v>
      </c>
      <c r="B905" s="138">
        <f>'Expenditures 15-22'!F47</f>
        <v>44812</v>
      </c>
      <c r="C905" s="2" t="s">
        <v>573</v>
      </c>
      <c r="D905" s="2" t="str">
        <f t="shared" si="13"/>
        <v>Error?</v>
      </c>
    </row>
    <row r="906" spans="1:4" x14ac:dyDescent="0.2">
      <c r="A906" s="5">
        <v>845</v>
      </c>
      <c r="B906" s="138">
        <f>'Expenditures 15-22'!F49</f>
        <v>8223</v>
      </c>
      <c r="D906" s="2" t="str">
        <f t="shared" si="13"/>
        <v>Error?</v>
      </c>
    </row>
    <row r="907" spans="1:4" x14ac:dyDescent="0.2">
      <c r="A907" s="5">
        <v>846</v>
      </c>
      <c r="B907" s="138">
        <f>'Expenditures 15-22'!F50</f>
        <v>4720</v>
      </c>
      <c r="D907" s="2" t="str">
        <f t="shared" si="13"/>
        <v>Error?</v>
      </c>
    </row>
    <row r="908" spans="1:4" x14ac:dyDescent="0.2">
      <c r="A908" s="5">
        <v>847</v>
      </c>
      <c r="B908" s="138">
        <f>'Expenditures 15-22'!F53</f>
        <v>12943</v>
      </c>
      <c r="C908" s="2" t="s">
        <v>573</v>
      </c>
      <c r="D908" s="2" t="str">
        <f t="shared" si="13"/>
        <v>Error?</v>
      </c>
    </row>
    <row r="909" spans="1:4" x14ac:dyDescent="0.2">
      <c r="A909" s="5">
        <v>848</v>
      </c>
      <c r="B909" s="138">
        <f>'Expenditures 15-22'!F55</f>
        <v>18278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18278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4831</v>
      </c>
      <c r="D917" s="2" t="str">
        <f t="shared" si="13"/>
        <v>Error?</v>
      </c>
    </row>
    <row r="918" spans="1:4" x14ac:dyDescent="0.2">
      <c r="A918" s="10">
        <v>857</v>
      </c>
      <c r="D918" s="2" t="str">
        <f t="shared" si="13"/>
        <v>OK</v>
      </c>
    </row>
    <row r="919" spans="1:4" x14ac:dyDescent="0.2">
      <c r="A919" s="5">
        <v>858</v>
      </c>
      <c r="B919" s="138">
        <f>'Expenditures 15-22'!F65</f>
        <v>4831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6609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66098</v>
      </c>
      <c r="D925" s="2" t="str">
        <f t="shared" si="13"/>
        <v>Error?</v>
      </c>
    </row>
    <row r="926" spans="1:4" x14ac:dyDescent="0.2">
      <c r="A926" s="10">
        <v>865</v>
      </c>
      <c r="D926" s="2" t="str">
        <f t="shared" si="13"/>
        <v>OK</v>
      </c>
    </row>
    <row r="927" spans="1:4" x14ac:dyDescent="0.2">
      <c r="A927" s="5">
        <v>866</v>
      </c>
      <c r="B927" s="138">
        <f>'Expenditures 15-22'!F72</f>
        <v>72707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159994</v>
      </c>
      <c r="C929" s="2" t="s">
        <v>573</v>
      </c>
      <c r="D929" s="2" t="str">
        <f t="shared" si="13"/>
        <v>Error?</v>
      </c>
    </row>
    <row r="930" spans="1:4" x14ac:dyDescent="0.2">
      <c r="A930" s="5">
        <v>869</v>
      </c>
      <c r="B930" s="138">
        <f>'Expenditures 15-22'!F75</f>
        <v>878</v>
      </c>
      <c r="D930" s="2" t="str">
        <f t="shared" si="13"/>
        <v>Error?</v>
      </c>
    </row>
    <row r="931" spans="1:4" x14ac:dyDescent="0.2">
      <c r="A931" s="5">
        <v>870</v>
      </c>
      <c r="B931" s="138">
        <f>'Expenditures 15-22'!F114</f>
        <v>708391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31580</v>
      </c>
      <c r="D949" s="2" t="str">
        <f t="shared" si="13"/>
        <v>Error?</v>
      </c>
    </row>
    <row r="950" spans="1:4" x14ac:dyDescent="0.2">
      <c r="A950" s="5">
        <v>889</v>
      </c>
      <c r="B950" s="138">
        <f>'Expenditures 15-22'!G14</f>
        <v>23500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57916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3325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3325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52188</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52188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10955</v>
      </c>
      <c r="D983" s="2" t="str">
        <f t="shared" si="14"/>
        <v>Error?</v>
      </c>
    </row>
    <row r="984" spans="1:4" x14ac:dyDescent="0.2">
      <c r="A984" s="10">
        <v>923</v>
      </c>
      <c r="D984" s="2" t="str">
        <f t="shared" si="14"/>
        <v>OK</v>
      </c>
    </row>
    <row r="985" spans="1:4" x14ac:dyDescent="0.2">
      <c r="A985" s="5">
        <v>924</v>
      </c>
      <c r="B985" s="138">
        <f>'Expenditures 15-22'!G72</f>
        <v>10955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66468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124384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36327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463336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1185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1185</v>
      </c>
      <c r="C1021" s="2" t="s">
        <v>573</v>
      </c>
      <c r="D1021" s="2" t="str">
        <f t="shared" si="14"/>
        <v>Error?</v>
      </c>
    </row>
    <row r="1022" spans="1:4" x14ac:dyDescent="0.2">
      <c r="A1022" s="5">
        <v>961</v>
      </c>
      <c r="B1022" s="138">
        <f>'Expenditures 15-22'!H49</f>
        <v>19919</v>
      </c>
      <c r="D1022" s="2" t="str">
        <f t="shared" si="14"/>
        <v>Error?</v>
      </c>
    </row>
    <row r="1023" spans="1:4" x14ac:dyDescent="0.2">
      <c r="A1023" s="5">
        <v>962</v>
      </c>
      <c r="B1023" s="138">
        <f>'Expenditures 15-22'!H50</f>
        <v>8261</v>
      </c>
      <c r="D1023" s="2" t="str">
        <f t="shared" ref="D1023:D1086" si="15">IF(ISBLANK(B1023),"OK",IF(A1023-B1023=0,"OK","Error?"))</f>
        <v>Error?</v>
      </c>
    </row>
    <row r="1024" spans="1:4" x14ac:dyDescent="0.2">
      <c r="A1024" s="5">
        <v>963</v>
      </c>
      <c r="B1024" s="138">
        <f>'Expenditures 15-22'!H53</f>
        <v>28180</v>
      </c>
      <c r="C1024" s="2" t="s">
        <v>573</v>
      </c>
      <c r="D1024" s="2" t="str">
        <f t="shared" si="15"/>
        <v>Error?</v>
      </c>
    </row>
    <row r="1025" spans="1:4" x14ac:dyDescent="0.2">
      <c r="A1025" s="5">
        <v>964</v>
      </c>
      <c r="B1025" s="138">
        <f>'Expenditures 15-22'!H55</f>
        <v>2546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2546</v>
      </c>
      <c r="C1027" s="2" t="s">
        <v>573</v>
      </c>
      <c r="D1027" s="2" t="str">
        <f t="shared" si="15"/>
        <v>Error?</v>
      </c>
    </row>
    <row r="1028" spans="1:4" x14ac:dyDescent="0.2">
      <c r="A1028" s="5">
        <v>967</v>
      </c>
      <c r="B1028" s="138">
        <f>'Expenditures 15-22'!H59</f>
        <v>545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585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585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33041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1467546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1963923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9216754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548602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1372850</v>
      </c>
      <c r="C1105" s="2" t="s">
        <v>573</v>
      </c>
      <c r="D1105" s="2" t="str">
        <f t="shared" si="16"/>
        <v>Error?</v>
      </c>
    </row>
    <row r="1106" spans="1:4" x14ac:dyDescent="0.2">
      <c r="A1106" s="5">
        <v>1045</v>
      </c>
      <c r="B1106" s="138">
        <f>'Expenditures 15-22'!K14</f>
        <v>1477374</v>
      </c>
      <c r="C1106" s="2" t="s">
        <v>573</v>
      </c>
      <c r="D1106" s="2" t="str">
        <f t="shared" si="16"/>
        <v>Error?</v>
      </c>
    </row>
    <row r="1107" spans="1:4" x14ac:dyDescent="0.2">
      <c r="A1107" s="5">
        <v>1046</v>
      </c>
      <c r="B1107" s="138">
        <f>'Expenditures 15-22'!K15</f>
        <v>69729</v>
      </c>
      <c r="C1107" s="2" t="s">
        <v>573</v>
      </c>
      <c r="D1107" s="2" t="str">
        <f t="shared" si="16"/>
        <v>Error?</v>
      </c>
    </row>
    <row r="1108" spans="1:4" x14ac:dyDescent="0.2">
      <c r="A1108" s="5">
        <v>1047</v>
      </c>
      <c r="B1108" s="138">
        <f>'Expenditures 15-22'!K33</f>
        <v>15600800</v>
      </c>
      <c r="C1108" s="2" t="s">
        <v>573</v>
      </c>
      <c r="D1108" s="2" t="str">
        <f t="shared" si="16"/>
        <v>Error?</v>
      </c>
    </row>
    <row r="1109" spans="1:4" x14ac:dyDescent="0.2">
      <c r="A1109" s="5">
        <v>1048</v>
      </c>
      <c r="B1109" s="138">
        <f>'Expenditures 15-22'!K36</f>
        <v>278638</v>
      </c>
      <c r="C1109" s="2" t="s">
        <v>573</v>
      </c>
      <c r="D1109" s="2" t="str">
        <f t="shared" si="16"/>
        <v>Error?</v>
      </c>
    </row>
    <row r="1110" spans="1:4" x14ac:dyDescent="0.2">
      <c r="A1110" s="5">
        <v>1049</v>
      </c>
      <c r="B1110" s="138">
        <f>'Expenditures 15-22'!K37</f>
        <v>977461</v>
      </c>
      <c r="C1110" s="2" t="s">
        <v>573</v>
      </c>
      <c r="D1110" s="2" t="str">
        <f t="shared" si="16"/>
        <v>Error?</v>
      </c>
    </row>
    <row r="1111" spans="1:4" x14ac:dyDescent="0.2">
      <c r="A1111" s="5">
        <v>1050</v>
      </c>
      <c r="B1111" s="138">
        <f>'Expenditures 15-22'!K38</f>
        <v>154252</v>
      </c>
      <c r="C1111" s="2" t="s">
        <v>573</v>
      </c>
      <c r="D1111" s="2" t="str">
        <f t="shared" si="16"/>
        <v>Error?</v>
      </c>
    </row>
    <row r="1112" spans="1:4" x14ac:dyDescent="0.2">
      <c r="A1112" s="5">
        <v>1051</v>
      </c>
      <c r="B1112" s="138">
        <f>'Expenditures 15-22'!K39</f>
        <v>92874</v>
      </c>
      <c r="C1112" s="2" t="s">
        <v>573</v>
      </c>
      <c r="D1112" s="2" t="str">
        <f t="shared" si="16"/>
        <v>Error?</v>
      </c>
    </row>
    <row r="1113" spans="1:4" x14ac:dyDescent="0.2">
      <c r="A1113" s="5">
        <v>1052</v>
      </c>
      <c r="B1113" s="138">
        <f>'Expenditures 15-22'!K40</f>
        <v>21536</v>
      </c>
      <c r="C1113" s="2" t="s">
        <v>573</v>
      </c>
      <c r="D1113" s="2" t="str">
        <f t="shared" si="16"/>
        <v>Error?</v>
      </c>
    </row>
    <row r="1114" spans="1:4" x14ac:dyDescent="0.2">
      <c r="A1114" s="5">
        <v>1053</v>
      </c>
      <c r="B1114" s="138">
        <f>'Expenditures 15-22'!K41</f>
        <v>730475</v>
      </c>
      <c r="C1114" s="2" t="s">
        <v>573</v>
      </c>
      <c r="D1114" s="2" t="str">
        <f t="shared" si="16"/>
        <v>Error?</v>
      </c>
    </row>
    <row r="1115" spans="1:4" x14ac:dyDescent="0.2">
      <c r="A1115" s="5">
        <v>1054</v>
      </c>
      <c r="B1115" s="138">
        <f>'Expenditures 15-22'!K42</f>
        <v>2255236</v>
      </c>
      <c r="C1115" s="2" t="s">
        <v>573</v>
      </c>
      <c r="D1115" s="2" t="str">
        <f t="shared" si="16"/>
        <v>Error?</v>
      </c>
    </row>
    <row r="1116" spans="1:4" x14ac:dyDescent="0.2">
      <c r="A1116" s="5">
        <v>1055</v>
      </c>
      <c r="B1116" s="138">
        <f>'Expenditures 15-22'!K44</f>
        <v>461003</v>
      </c>
      <c r="C1116" s="2" t="s">
        <v>573</v>
      </c>
      <c r="D1116" s="2" t="str">
        <f t="shared" si="16"/>
        <v>Error?</v>
      </c>
    </row>
    <row r="1117" spans="1:4" x14ac:dyDescent="0.2">
      <c r="A1117" s="5">
        <v>1056</v>
      </c>
      <c r="B1117" s="138">
        <f>'Expenditures 15-22'!K45</f>
        <v>278140</v>
      </c>
      <c r="C1117" s="2" t="s">
        <v>573</v>
      </c>
      <c r="D1117" s="2" t="str">
        <f t="shared" si="16"/>
        <v>Error?</v>
      </c>
    </row>
    <row r="1118" spans="1:4" x14ac:dyDescent="0.2">
      <c r="A1118" s="5">
        <v>1057</v>
      </c>
      <c r="B1118" s="138">
        <f>'Expenditures 15-22'!K46</f>
        <v>35824</v>
      </c>
      <c r="C1118" s="2" t="s">
        <v>573</v>
      </c>
      <c r="D1118" s="2" t="str">
        <f t="shared" si="16"/>
        <v>Error?</v>
      </c>
    </row>
    <row r="1119" spans="1:4" x14ac:dyDescent="0.2">
      <c r="A1119" s="5">
        <v>1058</v>
      </c>
      <c r="B1119" s="138">
        <f>'Expenditures 15-22'!K47</f>
        <v>774967</v>
      </c>
      <c r="C1119" s="2" t="s">
        <v>573</v>
      </c>
      <c r="D1119" s="2" t="str">
        <f t="shared" si="16"/>
        <v>Error?</v>
      </c>
    </row>
    <row r="1120" spans="1:4" x14ac:dyDescent="0.2">
      <c r="A1120" s="5">
        <v>1059</v>
      </c>
      <c r="B1120" s="138">
        <f>'Expenditures 15-22'!K49</f>
        <v>268664</v>
      </c>
      <c r="C1120" s="2" t="s">
        <v>573</v>
      </c>
      <c r="D1120" s="2" t="str">
        <f t="shared" si="16"/>
        <v>Error?</v>
      </c>
    </row>
    <row r="1121" spans="1:4" x14ac:dyDescent="0.2">
      <c r="A1121" s="5">
        <v>1060</v>
      </c>
      <c r="B1121" s="138">
        <f>'Expenditures 15-22'!K50</f>
        <v>338942</v>
      </c>
      <c r="C1121" s="2" t="s">
        <v>573</v>
      </c>
      <c r="D1121" s="2" t="str">
        <f t="shared" si="16"/>
        <v>Error?</v>
      </c>
    </row>
    <row r="1122" spans="1:4" x14ac:dyDescent="0.2">
      <c r="A1122" s="5">
        <v>1061</v>
      </c>
      <c r="B1122" s="138">
        <f>'Expenditures 15-22'!K53</f>
        <v>607606</v>
      </c>
      <c r="C1122" s="2" t="s">
        <v>573</v>
      </c>
      <c r="D1122" s="2" t="str">
        <f t="shared" si="16"/>
        <v>Error?</v>
      </c>
    </row>
    <row r="1123" spans="1:4" x14ac:dyDescent="0.2">
      <c r="A1123" s="5">
        <v>1062</v>
      </c>
      <c r="B1123" s="138">
        <f>'Expenditures 15-22'!K55</f>
        <v>1141107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1141107</v>
      </c>
      <c r="C1125" s="2" t="s">
        <v>573</v>
      </c>
      <c r="D1125" s="2" t="str">
        <f t="shared" si="16"/>
        <v>Error?</v>
      </c>
    </row>
    <row r="1126" spans="1:4" x14ac:dyDescent="0.2">
      <c r="A1126" s="5">
        <v>1065</v>
      </c>
      <c r="B1126" s="138">
        <f>'Expenditures 15-22'!K59</f>
        <v>197887</v>
      </c>
      <c r="C1126" s="2" t="s">
        <v>573</v>
      </c>
      <c r="D1126" s="2" t="str">
        <f t="shared" si="16"/>
        <v>Error?</v>
      </c>
    </row>
    <row r="1127" spans="1:4" x14ac:dyDescent="0.2">
      <c r="A1127" s="5">
        <v>1066</v>
      </c>
      <c r="B1127" s="138">
        <f>'Expenditures 15-22'!K60</f>
        <v>449417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52188</v>
      </c>
      <c r="C1129" s="2" t="s">
        <v>573</v>
      </c>
      <c r="D1129" s="2" t="str">
        <f t="shared" si="16"/>
        <v>Error?</v>
      </c>
    </row>
    <row r="1130" spans="1:4" x14ac:dyDescent="0.2">
      <c r="A1130" s="5">
        <v>1069</v>
      </c>
      <c r="B1130" s="138">
        <f>'Expenditures 15-22'!K63</f>
        <v>551507</v>
      </c>
      <c r="C1130" s="2" t="s">
        <v>573</v>
      </c>
      <c r="D1130" s="2" t="str">
        <f t="shared" si="16"/>
        <v>Error?</v>
      </c>
    </row>
    <row r="1131" spans="1:4" x14ac:dyDescent="0.2">
      <c r="A1131" s="5">
        <v>1070</v>
      </c>
      <c r="B1131" s="138">
        <f>'Expenditures 15-22'!K64</f>
        <v>132713</v>
      </c>
      <c r="C1131" s="2" t="s">
        <v>573</v>
      </c>
      <c r="D1131" s="2" t="str">
        <f t="shared" si="16"/>
        <v>Error?</v>
      </c>
    </row>
    <row r="1132" spans="1:4" x14ac:dyDescent="0.2">
      <c r="A1132" s="10">
        <v>1071</v>
      </c>
      <c r="D1132" s="2" t="str">
        <f t="shared" si="16"/>
        <v>OK</v>
      </c>
    </row>
    <row r="1133" spans="1:4" x14ac:dyDescent="0.2">
      <c r="A1133" s="5">
        <v>1072</v>
      </c>
      <c r="B1133" s="138">
        <f>'Expenditures 15-22'!K65</f>
        <v>1383712</v>
      </c>
      <c r="C1133" s="2" t="s">
        <v>573</v>
      </c>
      <c r="D1133" s="2" t="str">
        <f t="shared" si="16"/>
        <v>Error?</v>
      </c>
    </row>
    <row r="1134" spans="1:4" x14ac:dyDescent="0.2">
      <c r="A1134" s="5">
        <v>1073</v>
      </c>
      <c r="B1134" s="138">
        <f>'Expenditures 15-22'!K67</f>
        <v>91984</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124042</v>
      </c>
      <c r="C1136" s="2" t="s">
        <v>573</v>
      </c>
      <c r="D1136" s="2" t="str">
        <f t="shared" si="16"/>
        <v>Error?</v>
      </c>
    </row>
    <row r="1137" spans="1:4" x14ac:dyDescent="0.2">
      <c r="A1137" s="5">
        <v>1076</v>
      </c>
      <c r="B1137" s="138">
        <f>'Expenditures 15-22'!K70</f>
        <v>58497</v>
      </c>
      <c r="C1137" s="2" t="s">
        <v>573</v>
      </c>
      <c r="D1137" s="2" t="str">
        <f t="shared" si="16"/>
        <v>Error?</v>
      </c>
    </row>
    <row r="1138" spans="1:4" x14ac:dyDescent="0.2">
      <c r="A1138" s="10">
        <v>1077</v>
      </c>
      <c r="D1138" s="2" t="str">
        <f t="shared" si="16"/>
        <v>OK</v>
      </c>
    </row>
    <row r="1139" spans="1:4" x14ac:dyDescent="0.2">
      <c r="A1139" s="5">
        <v>1078</v>
      </c>
      <c r="B1139" s="138">
        <f>'Expenditures 15-22'!K71</f>
        <v>705549</v>
      </c>
      <c r="C1139" s="2" t="s">
        <v>573</v>
      </c>
      <c r="D1139" s="2" t="str">
        <f t="shared" si="16"/>
        <v>Error?</v>
      </c>
    </row>
    <row r="1140" spans="1:4" x14ac:dyDescent="0.2">
      <c r="A1140" s="10">
        <v>1079</v>
      </c>
      <c r="D1140" s="2" t="str">
        <f t="shared" si="16"/>
        <v>OK</v>
      </c>
    </row>
    <row r="1141" spans="1:4" x14ac:dyDescent="0.2">
      <c r="A1141" s="5">
        <v>1080</v>
      </c>
      <c r="B1141" s="138">
        <f>'Expenditures 15-22'!K72</f>
        <v>980072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7142700</v>
      </c>
      <c r="C1143" s="2" t="s">
        <v>573</v>
      </c>
      <c r="D1143" s="2" t="str">
        <f t="shared" si="16"/>
        <v>Error?</v>
      </c>
    </row>
    <row r="1144" spans="1:4" x14ac:dyDescent="0.2">
      <c r="A1144" s="5">
        <v>1083</v>
      </c>
      <c r="B1144" s="138">
        <f>'Expenditures 15-22'!K75</f>
        <v>3264</v>
      </c>
      <c r="C1144" s="2" t="s">
        <v>573</v>
      </c>
      <c r="D1144" s="2" t="str">
        <f t="shared" si="16"/>
        <v>Error?</v>
      </c>
    </row>
    <row r="1145" spans="1:4" x14ac:dyDescent="0.2">
      <c r="A1145" s="5">
        <v>1084</v>
      </c>
      <c r="B1145" s="138">
        <f>'Expenditures 15-22'!K102</f>
        <v>1467546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24214310</v>
      </c>
      <c r="C1152" s="2" t="s">
        <v>573</v>
      </c>
      <c r="D1152" s="2" t="str">
        <f t="shared" si="17"/>
        <v>Error?</v>
      </c>
    </row>
    <row r="1153" spans="1:4" x14ac:dyDescent="0.2">
      <c r="A1153" s="5">
        <v>1092</v>
      </c>
      <c r="B1153" s="138">
        <f>'Expenditures 15-22'!K115</f>
        <v>2156762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1232289</v>
      </c>
      <c r="D1221" s="2" t="str">
        <f t="shared" si="18"/>
        <v>Error?</v>
      </c>
    </row>
    <row r="1222" spans="1:4" x14ac:dyDescent="0.2">
      <c r="A1222" s="10">
        <v>1161</v>
      </c>
      <c r="D1222" s="2" t="str">
        <f t="shared" si="18"/>
        <v>OK</v>
      </c>
    </row>
    <row r="1223" spans="1:4" x14ac:dyDescent="0.2">
      <c r="A1223" s="5">
        <v>1162</v>
      </c>
      <c r="B1223" s="138">
        <f>'Expenditures 15-22'!C127</f>
        <v>1232289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1232289</v>
      </c>
      <c r="C1225" s="2" t="s">
        <v>573</v>
      </c>
      <c r="D1225" s="2" t="str">
        <f t="shared" si="18"/>
        <v>Error?</v>
      </c>
    </row>
    <row r="1226" spans="1:4" x14ac:dyDescent="0.2">
      <c r="A1226" s="5">
        <v>1165</v>
      </c>
      <c r="B1226" s="138">
        <f>'Expenditures 15-22'!C151</f>
        <v>1232289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250803</v>
      </c>
      <c r="D1229" s="2" t="str">
        <f t="shared" si="18"/>
        <v>Error?</v>
      </c>
    </row>
    <row r="1230" spans="1:4" x14ac:dyDescent="0.2">
      <c r="A1230" s="10">
        <v>1169</v>
      </c>
      <c r="D1230" s="2" t="str">
        <f t="shared" si="18"/>
        <v>OK</v>
      </c>
    </row>
    <row r="1231" spans="1:4" x14ac:dyDescent="0.2">
      <c r="A1231" s="5">
        <v>1170</v>
      </c>
      <c r="B1231" s="138">
        <f>'Expenditures 15-22'!D127</f>
        <v>250803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250803</v>
      </c>
      <c r="C1233" s="2" t="s">
        <v>573</v>
      </c>
      <c r="D1233" s="2" t="str">
        <f t="shared" si="18"/>
        <v>Error?</v>
      </c>
    </row>
    <row r="1234" spans="1:4" x14ac:dyDescent="0.2">
      <c r="A1234" s="5">
        <v>1173</v>
      </c>
      <c r="B1234" s="138">
        <f>'Expenditures 15-22'!D151</f>
        <v>250803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204009</v>
      </c>
      <c r="D1236" s="2" t="str">
        <f t="shared" si="18"/>
        <v>Error?</v>
      </c>
    </row>
    <row r="1237" spans="1:4" x14ac:dyDescent="0.2">
      <c r="A1237" s="5">
        <v>1176</v>
      </c>
      <c r="B1237" s="138">
        <f>'Expenditures 15-22'!E124</f>
        <v>401723</v>
      </c>
      <c r="D1237" s="2" t="str">
        <f t="shared" si="18"/>
        <v>Error?</v>
      </c>
    </row>
    <row r="1238" spans="1:4" x14ac:dyDescent="0.2">
      <c r="A1238" s="10">
        <v>1177</v>
      </c>
      <c r="D1238" s="2" t="str">
        <f t="shared" si="18"/>
        <v>OK</v>
      </c>
    </row>
    <row r="1239" spans="1:4" x14ac:dyDescent="0.2">
      <c r="A1239" s="5">
        <v>1178</v>
      </c>
      <c r="B1239" s="138">
        <f>'Expenditures 15-22'!E127</f>
        <v>605732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605732</v>
      </c>
      <c r="C1241" s="2" t="s">
        <v>573</v>
      </c>
      <c r="D1241" s="2" t="str">
        <f t="shared" si="18"/>
        <v>Error?</v>
      </c>
    </row>
    <row r="1242" spans="1:4" x14ac:dyDescent="0.2">
      <c r="A1242" s="5">
        <v>1181</v>
      </c>
      <c r="B1242" s="138">
        <f>'Expenditures 15-22'!E151</f>
        <v>605732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477246</v>
      </c>
      <c r="D1245" s="2" t="str">
        <f t="shared" si="18"/>
        <v>Error?</v>
      </c>
    </row>
    <row r="1246" spans="1:4" x14ac:dyDescent="0.2">
      <c r="A1246" s="10">
        <v>1185</v>
      </c>
      <c r="D1246" s="2" t="str">
        <f t="shared" si="18"/>
        <v>OK</v>
      </c>
    </row>
    <row r="1247" spans="1:4" x14ac:dyDescent="0.2">
      <c r="A1247" s="5">
        <v>1186</v>
      </c>
      <c r="B1247" s="138">
        <f>'Expenditures 15-22'!F127</f>
        <v>477246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477246</v>
      </c>
      <c r="C1249" s="2" t="s">
        <v>573</v>
      </c>
      <c r="D1249" s="2" t="str">
        <f t="shared" si="18"/>
        <v>Error?</v>
      </c>
    </row>
    <row r="1250" spans="1:4" x14ac:dyDescent="0.2">
      <c r="A1250" s="5">
        <v>1189</v>
      </c>
      <c r="B1250" s="138">
        <f>'Expenditures 15-22'!F151</f>
        <v>477246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11541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11541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11541</v>
      </c>
      <c r="C1258" s="2" t="s">
        <v>573</v>
      </c>
      <c r="D1258" s="2" t="str">
        <f t="shared" si="18"/>
        <v>Error?</v>
      </c>
    </row>
    <row r="1259" spans="1:4" x14ac:dyDescent="0.2">
      <c r="A1259" s="5">
        <v>1198</v>
      </c>
      <c r="B1259" s="138">
        <f>'Expenditures 15-22'!G151</f>
        <v>11541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146</v>
      </c>
      <c r="D1262" s="2" t="str">
        <f t="shared" si="18"/>
        <v>Error?</v>
      </c>
    </row>
    <row r="1263" spans="1:4" x14ac:dyDescent="0.2">
      <c r="A1263" s="10">
        <v>1202</v>
      </c>
      <c r="D1263" s="2" t="str">
        <f t="shared" si="18"/>
        <v>OK</v>
      </c>
    </row>
    <row r="1264" spans="1:4" x14ac:dyDescent="0.2">
      <c r="A1264" s="5">
        <v>1203</v>
      </c>
      <c r="B1264" s="138">
        <f>'Expenditures 15-22'!H127</f>
        <v>146</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146</v>
      </c>
      <c r="C1266" s="2" t="s">
        <v>573</v>
      </c>
      <c r="D1266" s="2" t="str">
        <f t="shared" si="18"/>
        <v>Error?</v>
      </c>
    </row>
    <row r="1267" spans="1:4" x14ac:dyDescent="0.2">
      <c r="A1267" s="5">
        <v>1206</v>
      </c>
      <c r="B1267" s="138">
        <f>'Expenditures 15-22'!H139</f>
        <v>20554</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20700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204009</v>
      </c>
      <c r="C1275" s="2" t="s">
        <v>573</v>
      </c>
      <c r="D1275" s="2" t="str">
        <f t="shared" si="18"/>
        <v>Error?</v>
      </c>
    </row>
    <row r="1276" spans="1:4" x14ac:dyDescent="0.2">
      <c r="A1276" s="5">
        <v>1215</v>
      </c>
      <c r="B1276" s="138">
        <f>'Expenditures 15-22'!K124</f>
        <v>2373748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2577757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2577757</v>
      </c>
      <c r="C1281" s="2" t="s">
        <v>573</v>
      </c>
      <c r="D1281" s="2" t="str">
        <f t="shared" si="19"/>
        <v>Error?</v>
      </c>
    </row>
    <row r="1282" spans="1:4" x14ac:dyDescent="0.2">
      <c r="A1282" s="5">
        <v>1221</v>
      </c>
      <c r="B1282" s="138">
        <f>'Expenditures 15-22'!K139</f>
        <v>20554</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2598311</v>
      </c>
      <c r="C1288" s="2" t="s">
        <v>573</v>
      </c>
      <c r="D1288" s="2" t="str">
        <f t="shared" si="19"/>
        <v>Error?</v>
      </c>
    </row>
    <row r="1289" spans="1:4" x14ac:dyDescent="0.2">
      <c r="A1289" s="5">
        <v>1228</v>
      </c>
      <c r="B1289" s="138">
        <f>'Expenditures 15-22'!K152</f>
        <v>-218429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298475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405000</v>
      </c>
      <c r="D1315" s="2" t="str">
        <f t="shared" si="19"/>
        <v>Error?</v>
      </c>
    </row>
    <row r="1316" spans="1:4" x14ac:dyDescent="0.2">
      <c r="A1316" s="5">
        <v>1255</v>
      </c>
      <c r="B1316" s="138">
        <f>'Expenditures 15-22'!H171</f>
        <v>2750</v>
      </c>
      <c r="D1316" s="2" t="str">
        <f t="shared" si="19"/>
        <v>Error?</v>
      </c>
    </row>
    <row r="1317" spans="1:4" x14ac:dyDescent="0.2">
      <c r="A1317" s="5">
        <v>1256</v>
      </c>
      <c r="B1317" s="138">
        <f>'Expenditures 15-22'!H172</f>
        <v>706225</v>
      </c>
      <c r="C1317" s="2" t="s">
        <v>573</v>
      </c>
      <c r="D1317" s="2" t="str">
        <f t="shared" si="19"/>
        <v>Error?</v>
      </c>
    </row>
    <row r="1318" spans="1:4" x14ac:dyDescent="0.2">
      <c r="A1318" s="5">
        <v>1257</v>
      </c>
      <c r="B1318" s="138">
        <f>'Expenditures 15-22'!H174</f>
        <v>706225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298475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405000</v>
      </c>
      <c r="C1329" s="2" t="s">
        <v>573</v>
      </c>
      <c r="D1329" s="2" t="str">
        <f t="shared" si="19"/>
        <v>Error?</v>
      </c>
    </row>
    <row r="1330" spans="1:4" x14ac:dyDescent="0.2">
      <c r="A1330" s="5">
        <v>1269</v>
      </c>
      <c r="B1330" s="138">
        <f>'Expenditures 15-22'!K171</f>
        <v>2750</v>
      </c>
      <c r="C1330" s="2" t="s">
        <v>573</v>
      </c>
      <c r="D1330" s="2" t="str">
        <f t="shared" si="19"/>
        <v>Error?</v>
      </c>
    </row>
    <row r="1331" spans="1:4" x14ac:dyDescent="0.2">
      <c r="A1331" s="5">
        <v>1270</v>
      </c>
      <c r="B1331" s="138">
        <f>'Expenditures 15-22'!K172</f>
        <v>706225</v>
      </c>
      <c r="C1331" s="2" t="s">
        <v>573</v>
      </c>
      <c r="D1331" s="2" t="str">
        <f t="shared" si="19"/>
        <v>Error?</v>
      </c>
    </row>
    <row r="1332" spans="1:4" x14ac:dyDescent="0.2">
      <c r="A1332" s="5">
        <v>1271</v>
      </c>
      <c r="B1332" s="138">
        <f>'Expenditures 15-22'!K174</f>
        <v>706225</v>
      </c>
      <c r="C1332" s="2" t="s">
        <v>573</v>
      </c>
      <c r="D1332" s="2" t="str">
        <f t="shared" si="19"/>
        <v>Error?</v>
      </c>
    </row>
    <row r="1333" spans="1:4" x14ac:dyDescent="0.2">
      <c r="A1333" s="5">
        <v>1272</v>
      </c>
      <c r="B1333" s="138">
        <f>'Expenditures 15-22'!K175</f>
        <v>17324</v>
      </c>
      <c r="C1333" s="2" t="s">
        <v>573</v>
      </c>
      <c r="D1333" s="2" t="str">
        <f t="shared" si="19"/>
        <v>Error?</v>
      </c>
    </row>
    <row r="1334" spans="1:4" x14ac:dyDescent="0.2">
      <c r="A1334" s="10">
        <v>1273</v>
      </c>
      <c r="D1334" s="2" t="str">
        <f t="shared" si="19"/>
        <v>OK</v>
      </c>
    </row>
    <row r="1335" spans="1:4" x14ac:dyDescent="0.2">
      <c r="A1335" s="5">
        <v>1274</v>
      </c>
      <c r="B1335" s="138">
        <f>'Expenditures 15-22'!C182</f>
        <v>816224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816224</v>
      </c>
      <c r="C1339" s="2" t="s">
        <v>573</v>
      </c>
      <c r="D1339" s="2" t="str">
        <f t="shared" si="19"/>
        <v>Error?</v>
      </c>
    </row>
    <row r="1340" spans="1:4" x14ac:dyDescent="0.2">
      <c r="A1340" s="5">
        <v>1279</v>
      </c>
      <c r="B1340" s="138">
        <f>'Expenditures 15-22'!C210</f>
        <v>816224</v>
      </c>
      <c r="C1340" s="2" t="s">
        <v>573</v>
      </c>
      <c r="D1340" s="2" t="str">
        <f t="shared" si="19"/>
        <v>Error?</v>
      </c>
    </row>
    <row r="1341" spans="1:4" x14ac:dyDescent="0.2">
      <c r="A1341" s="5">
        <v>1280</v>
      </c>
      <c r="B1341" s="138">
        <f>'Expenditures 15-22'!D182</f>
        <v>23419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23419</v>
      </c>
      <c r="C1345" s="2" t="s">
        <v>573</v>
      </c>
      <c r="D1345" s="2" t="str">
        <f t="shared" si="20"/>
        <v>Error?</v>
      </c>
    </row>
    <row r="1346" spans="1:4" x14ac:dyDescent="0.2">
      <c r="A1346" s="5">
        <v>1285</v>
      </c>
      <c r="B1346" s="138">
        <f>'Expenditures 15-22'!D210</f>
        <v>23419</v>
      </c>
      <c r="C1346" s="2" t="s">
        <v>573</v>
      </c>
      <c r="D1346" s="2" t="str">
        <f t="shared" si="20"/>
        <v>Error?</v>
      </c>
    </row>
    <row r="1347" spans="1:4" x14ac:dyDescent="0.2">
      <c r="A1347" s="5">
        <v>1286</v>
      </c>
      <c r="B1347" s="138">
        <f>'Expenditures 15-22'!E182</f>
        <v>449620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449620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449620</v>
      </c>
      <c r="C1353" s="2" t="s">
        <v>573</v>
      </c>
      <c r="D1353" s="2" t="str">
        <f t="shared" si="20"/>
        <v>Error?</v>
      </c>
    </row>
    <row r="1354" spans="1:4" x14ac:dyDescent="0.2">
      <c r="A1354" s="5">
        <v>1293</v>
      </c>
      <c r="B1354" s="138">
        <f>'Expenditures 15-22'!F182</f>
        <v>94342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94342</v>
      </c>
      <c r="C1358" s="2" t="s">
        <v>573</v>
      </c>
      <c r="D1358" s="2" t="str">
        <f t="shared" si="20"/>
        <v>Error?</v>
      </c>
    </row>
    <row r="1359" spans="1:4" x14ac:dyDescent="0.2">
      <c r="A1359" s="5">
        <v>1298</v>
      </c>
      <c r="B1359" s="138">
        <f>'Expenditures 15-22'!F210</f>
        <v>94342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7173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7173</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7173</v>
      </c>
      <c r="C1376" s="2" t="s">
        <v>573</v>
      </c>
      <c r="D1376" s="2" t="str">
        <f t="shared" si="20"/>
        <v>Error?</v>
      </c>
    </row>
    <row r="1377" spans="1:4" x14ac:dyDescent="0.2">
      <c r="A1377" s="5">
        <v>1316</v>
      </c>
      <c r="B1377" s="138">
        <f>'Expenditures 15-22'!K182</f>
        <v>1390778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1390778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1390778</v>
      </c>
      <c r="C1388" s="2" t="s">
        <v>573</v>
      </c>
      <c r="D1388" s="2" t="str">
        <f t="shared" si="20"/>
        <v>Error?</v>
      </c>
    </row>
    <row r="1389" spans="1:4" x14ac:dyDescent="0.2">
      <c r="A1389" s="5">
        <v>1328</v>
      </c>
      <c r="B1389" s="138">
        <f>'Expenditures 15-22'!K211</f>
        <v>-352089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6989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15462</v>
      </c>
      <c r="D1407" s="2" t="str">
        <f t="shared" ref="D1407:D1470" si="21">IF(ISBLANK(B1407),"OK",IF(A1407-B1407=0,"OK","Error?"))</f>
        <v>Error?</v>
      </c>
    </row>
    <row r="1408" spans="1:4" x14ac:dyDescent="0.2">
      <c r="A1408" s="5">
        <v>1347</v>
      </c>
      <c r="B1408" s="138">
        <f>'Expenditures 15-22'!D223</f>
        <v>56640</v>
      </c>
      <c r="D1408" s="2" t="str">
        <f t="shared" si="21"/>
        <v>Error?</v>
      </c>
    </row>
    <row r="1409" spans="1:4" x14ac:dyDescent="0.2">
      <c r="A1409" s="5">
        <v>1348</v>
      </c>
      <c r="B1409" s="138">
        <f>'Expenditures 15-22'!D224</f>
        <v>2049</v>
      </c>
      <c r="D1409" s="2" t="str">
        <f t="shared" si="21"/>
        <v>Error?</v>
      </c>
    </row>
    <row r="1410" spans="1:4" x14ac:dyDescent="0.2">
      <c r="A1410" s="5">
        <v>1349</v>
      </c>
      <c r="B1410" s="138">
        <f>'Expenditures 15-22'!D229</f>
        <v>275088</v>
      </c>
      <c r="C1410" s="2" t="s">
        <v>573</v>
      </c>
      <c r="D1410" s="2" t="str">
        <f t="shared" si="21"/>
        <v>Error?</v>
      </c>
    </row>
    <row r="1411" spans="1:4" x14ac:dyDescent="0.2">
      <c r="A1411" s="5">
        <v>1350</v>
      </c>
      <c r="B1411" s="138">
        <f>'Expenditures 15-22'!D232</f>
        <v>4373</v>
      </c>
      <c r="D1411" s="2" t="str">
        <f t="shared" si="21"/>
        <v>Error?</v>
      </c>
    </row>
    <row r="1412" spans="1:4" x14ac:dyDescent="0.2">
      <c r="A1412" s="5">
        <v>1351</v>
      </c>
      <c r="B1412" s="138">
        <f>'Expenditures 15-22'!D233</f>
        <v>18296</v>
      </c>
      <c r="D1412" s="2" t="str">
        <f t="shared" si="21"/>
        <v>Error?</v>
      </c>
    </row>
    <row r="1413" spans="1:4" x14ac:dyDescent="0.2">
      <c r="A1413" s="5">
        <v>1352</v>
      </c>
      <c r="B1413" s="138">
        <f>'Expenditures 15-22'!D234</f>
        <v>6497</v>
      </c>
      <c r="D1413" s="2" t="str">
        <f t="shared" si="21"/>
        <v>Error?</v>
      </c>
    </row>
    <row r="1414" spans="1:4" x14ac:dyDescent="0.2">
      <c r="A1414" s="5">
        <v>1353</v>
      </c>
      <c r="B1414" s="138">
        <f>'Expenditures 15-22'!D235</f>
        <v>1104</v>
      </c>
      <c r="D1414" s="2" t="str">
        <f t="shared" si="21"/>
        <v>Error?</v>
      </c>
    </row>
    <row r="1415" spans="1:4" x14ac:dyDescent="0.2">
      <c r="A1415" s="5">
        <v>1354</v>
      </c>
      <c r="B1415" s="138">
        <f>'Expenditures 15-22'!D236</f>
        <v>304</v>
      </c>
      <c r="D1415" s="2" t="str">
        <f t="shared" si="21"/>
        <v>Error?</v>
      </c>
    </row>
    <row r="1416" spans="1:4" x14ac:dyDescent="0.2">
      <c r="A1416" s="5">
        <v>1355</v>
      </c>
      <c r="B1416" s="138">
        <f>'Expenditures 15-22'!D237</f>
        <v>52992</v>
      </c>
      <c r="D1416" s="2" t="str">
        <f t="shared" si="21"/>
        <v>Error?</v>
      </c>
    </row>
    <row r="1417" spans="1:4" x14ac:dyDescent="0.2">
      <c r="A1417" s="5">
        <v>1356</v>
      </c>
      <c r="B1417" s="138">
        <f>'Expenditures 15-22'!D238</f>
        <v>83566</v>
      </c>
      <c r="C1417" s="2" t="s">
        <v>573</v>
      </c>
      <c r="D1417" s="2" t="str">
        <f t="shared" si="21"/>
        <v>Error?</v>
      </c>
    </row>
    <row r="1418" spans="1:4" x14ac:dyDescent="0.2">
      <c r="A1418" s="5">
        <v>1357</v>
      </c>
      <c r="B1418" s="138">
        <f>'Expenditures 15-22'!D240</f>
        <v>12776</v>
      </c>
      <c r="D1418" s="2" t="str">
        <f t="shared" si="21"/>
        <v>Error?</v>
      </c>
    </row>
    <row r="1419" spans="1:4" x14ac:dyDescent="0.2">
      <c r="A1419" s="5">
        <v>1358</v>
      </c>
      <c r="B1419" s="138">
        <f>'Expenditures 15-22'!D241</f>
        <v>7375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20151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17727</v>
      </c>
      <c r="D1423" s="2" t="str">
        <f t="shared" si="21"/>
        <v>Error?</v>
      </c>
    </row>
    <row r="1424" spans="1:4" x14ac:dyDescent="0.2">
      <c r="A1424" s="5">
        <v>1363</v>
      </c>
      <c r="B1424" s="138">
        <f>'Expenditures 15-22'!D257</f>
        <v>17727</v>
      </c>
      <c r="C1424" s="2" t="s">
        <v>573</v>
      </c>
      <c r="D1424" s="2" t="str">
        <f t="shared" si="21"/>
        <v>Error?</v>
      </c>
    </row>
    <row r="1425" spans="1:4" x14ac:dyDescent="0.2">
      <c r="A1425" s="5">
        <v>1364</v>
      </c>
      <c r="B1425" s="138">
        <f>'Expenditures 15-22'!D259</f>
        <v>60782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60782</v>
      </c>
      <c r="C1427" s="2" t="s">
        <v>573</v>
      </c>
      <c r="D1427" s="2" t="str">
        <f t="shared" si="21"/>
        <v>Error?</v>
      </c>
    </row>
    <row r="1428" spans="1:4" x14ac:dyDescent="0.2">
      <c r="A1428" s="5">
        <v>1367</v>
      </c>
      <c r="B1428" s="138">
        <f>'Expenditures 15-22'!D263</f>
        <v>4216</v>
      </c>
      <c r="D1428" s="2" t="str">
        <f t="shared" si="21"/>
        <v>Error?</v>
      </c>
    </row>
    <row r="1429" spans="1:4" x14ac:dyDescent="0.2">
      <c r="A1429" s="5">
        <v>1368</v>
      </c>
      <c r="B1429" s="138">
        <f>'Expenditures 15-22'!D264</f>
        <v>48237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202421</v>
      </c>
      <c r="D1431" s="2" t="str">
        <f t="shared" si="21"/>
        <v>Error?</v>
      </c>
    </row>
    <row r="1432" spans="1:4" x14ac:dyDescent="0.2">
      <c r="A1432" s="5">
        <v>1371</v>
      </c>
      <c r="B1432" s="138">
        <f>'Expenditures 15-22'!D267</f>
        <v>139439</v>
      </c>
      <c r="D1432" s="2" t="str">
        <f t="shared" si="21"/>
        <v>Error?</v>
      </c>
    </row>
    <row r="1433" spans="1:4" x14ac:dyDescent="0.2">
      <c r="A1433" s="5">
        <v>1372</v>
      </c>
      <c r="B1433" s="138">
        <f>'Expenditures 15-22'!D268</f>
        <v>923</v>
      </c>
      <c r="D1433" s="2" t="str">
        <f t="shared" si="21"/>
        <v>Error?</v>
      </c>
    </row>
    <row r="1434" spans="1:4" x14ac:dyDescent="0.2">
      <c r="A1434" s="5">
        <v>1373</v>
      </c>
      <c r="B1434" s="138">
        <f>'Expenditures 15-22'!D269</f>
        <v>7535</v>
      </c>
      <c r="D1434" s="2" t="str">
        <f t="shared" si="21"/>
        <v>Error?</v>
      </c>
    </row>
    <row r="1435" spans="1:4" x14ac:dyDescent="0.2">
      <c r="A1435" s="10">
        <v>1374</v>
      </c>
      <c r="D1435" s="2" t="str">
        <f t="shared" si="21"/>
        <v>OK</v>
      </c>
    </row>
    <row r="1436" spans="1:4" x14ac:dyDescent="0.2">
      <c r="A1436" s="5">
        <v>1375</v>
      </c>
      <c r="B1436" s="138">
        <f>'Expenditures 15-22'!D270</f>
        <v>402771</v>
      </c>
      <c r="C1436" s="2" t="s">
        <v>573</v>
      </c>
      <c r="D1436" s="2" t="str">
        <f t="shared" si="21"/>
        <v>Error?</v>
      </c>
    </row>
    <row r="1437" spans="1:4" x14ac:dyDescent="0.2">
      <c r="A1437" s="5">
        <v>1376</v>
      </c>
      <c r="B1437" s="138">
        <f>'Expenditures 15-22'!D272</f>
        <v>1987</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14898</v>
      </c>
      <c r="D1439" s="2" t="str">
        <f t="shared" si="21"/>
        <v>Error?</v>
      </c>
    </row>
    <row r="1440" spans="1:4" x14ac:dyDescent="0.2">
      <c r="A1440" s="5">
        <v>1379</v>
      </c>
      <c r="B1440" s="138">
        <f>'Expenditures 15-22'!D275</f>
        <v>8431</v>
      </c>
      <c r="D1440" s="2" t="str">
        <f t="shared" si="21"/>
        <v>Error?</v>
      </c>
    </row>
    <row r="1441" spans="1:4" x14ac:dyDescent="0.2">
      <c r="A1441" s="10">
        <v>1380</v>
      </c>
      <c r="D1441" s="2" t="str">
        <f t="shared" si="21"/>
        <v>OK</v>
      </c>
    </row>
    <row r="1442" spans="1:4" x14ac:dyDescent="0.2">
      <c r="A1442" s="5">
        <v>1381</v>
      </c>
      <c r="B1442" s="138">
        <f>'Expenditures 15-22'!D276</f>
        <v>53508</v>
      </c>
      <c r="D1442" s="2" t="str">
        <f t="shared" si="21"/>
        <v>Error?</v>
      </c>
    </row>
    <row r="1443" spans="1:4" x14ac:dyDescent="0.2">
      <c r="A1443" s="10">
        <v>1382</v>
      </c>
      <c r="D1443" s="2" t="str">
        <f t="shared" si="21"/>
        <v>OK</v>
      </c>
    </row>
    <row r="1444" spans="1:4" x14ac:dyDescent="0.2">
      <c r="A1444" s="5">
        <v>1383</v>
      </c>
      <c r="B1444" s="138">
        <f>'Expenditures 15-22'!D277</f>
        <v>78824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663821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938909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6989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15462</v>
      </c>
      <c r="C1471" s="2" t="s">
        <v>573</v>
      </c>
      <c r="D1471" s="2" t="str">
        <f t="shared" ref="D1471:D1534" si="22">IF(ISBLANK(B1471),"OK",IF(A1471-B1471=0,"OK","Error?"))</f>
        <v>Error?</v>
      </c>
    </row>
    <row r="1472" spans="1:4" x14ac:dyDescent="0.2">
      <c r="A1472" s="5">
        <v>1411</v>
      </c>
      <c r="B1472" s="138">
        <f>'Expenditures 15-22'!K223</f>
        <v>56640</v>
      </c>
      <c r="C1472" s="2" t="s">
        <v>573</v>
      </c>
      <c r="D1472" s="2" t="str">
        <f t="shared" si="22"/>
        <v>Error?</v>
      </c>
    </row>
    <row r="1473" spans="1:4" x14ac:dyDescent="0.2">
      <c r="A1473" s="5">
        <v>1412</v>
      </c>
      <c r="B1473" s="138">
        <f>'Expenditures 15-22'!K224</f>
        <v>2049</v>
      </c>
      <c r="C1473" s="2" t="s">
        <v>573</v>
      </c>
      <c r="D1473" s="2" t="str">
        <f t="shared" si="22"/>
        <v>Error?</v>
      </c>
    </row>
    <row r="1474" spans="1:4" x14ac:dyDescent="0.2">
      <c r="A1474" s="5">
        <v>1413</v>
      </c>
      <c r="B1474" s="138">
        <f>'Expenditures 15-22'!K229</f>
        <v>275088</v>
      </c>
      <c r="C1474" s="2" t="s">
        <v>573</v>
      </c>
      <c r="D1474" s="2" t="str">
        <f t="shared" si="22"/>
        <v>Error?</v>
      </c>
    </row>
    <row r="1475" spans="1:4" x14ac:dyDescent="0.2">
      <c r="A1475" s="5">
        <v>1414</v>
      </c>
      <c r="B1475" s="138">
        <f>'Expenditures 15-22'!K232</f>
        <v>4373</v>
      </c>
      <c r="C1475" s="2" t="s">
        <v>573</v>
      </c>
      <c r="D1475" s="2" t="str">
        <f t="shared" si="22"/>
        <v>Error?</v>
      </c>
    </row>
    <row r="1476" spans="1:4" x14ac:dyDescent="0.2">
      <c r="A1476" s="5">
        <v>1415</v>
      </c>
      <c r="B1476" s="138">
        <f>'Expenditures 15-22'!K233</f>
        <v>18296</v>
      </c>
      <c r="C1476" s="2" t="s">
        <v>573</v>
      </c>
      <c r="D1476" s="2" t="str">
        <f t="shared" si="22"/>
        <v>Error?</v>
      </c>
    </row>
    <row r="1477" spans="1:4" x14ac:dyDescent="0.2">
      <c r="A1477" s="5">
        <v>1416</v>
      </c>
      <c r="B1477" s="138">
        <f>'Expenditures 15-22'!K234</f>
        <v>6497</v>
      </c>
      <c r="C1477" s="2" t="s">
        <v>573</v>
      </c>
      <c r="D1477" s="2" t="str">
        <f t="shared" si="22"/>
        <v>Error?</v>
      </c>
    </row>
    <row r="1478" spans="1:4" x14ac:dyDescent="0.2">
      <c r="A1478" s="5">
        <v>1417</v>
      </c>
      <c r="B1478" s="138">
        <f>'Expenditures 15-22'!K235</f>
        <v>1104</v>
      </c>
      <c r="C1478" s="2" t="s">
        <v>573</v>
      </c>
      <c r="D1478" s="2" t="str">
        <f t="shared" si="22"/>
        <v>Error?</v>
      </c>
    </row>
    <row r="1479" spans="1:4" x14ac:dyDescent="0.2">
      <c r="A1479" s="5">
        <v>1418</v>
      </c>
      <c r="B1479" s="138">
        <f>'Expenditures 15-22'!K236</f>
        <v>304</v>
      </c>
      <c r="C1479" s="2" t="s">
        <v>573</v>
      </c>
      <c r="D1479" s="2" t="str">
        <f t="shared" si="22"/>
        <v>Error?</v>
      </c>
    </row>
    <row r="1480" spans="1:4" x14ac:dyDescent="0.2">
      <c r="A1480" s="5">
        <v>1419</v>
      </c>
      <c r="B1480" s="138">
        <f>'Expenditures 15-22'!K237</f>
        <v>52992</v>
      </c>
      <c r="C1480" s="2" t="s">
        <v>573</v>
      </c>
      <c r="D1480" s="2" t="str">
        <f t="shared" si="22"/>
        <v>Error?</v>
      </c>
    </row>
    <row r="1481" spans="1:4" x14ac:dyDescent="0.2">
      <c r="A1481" s="5">
        <v>1420</v>
      </c>
      <c r="B1481" s="138">
        <f>'Expenditures 15-22'!K238</f>
        <v>83566</v>
      </c>
      <c r="C1481" s="2" t="s">
        <v>573</v>
      </c>
      <c r="D1481" s="2" t="str">
        <f t="shared" si="22"/>
        <v>Error?</v>
      </c>
    </row>
    <row r="1482" spans="1:4" x14ac:dyDescent="0.2">
      <c r="A1482" s="5">
        <v>1421</v>
      </c>
      <c r="B1482" s="138">
        <f>'Expenditures 15-22'!K240</f>
        <v>12776</v>
      </c>
      <c r="C1482" s="2" t="s">
        <v>573</v>
      </c>
      <c r="D1482" s="2" t="str">
        <f t="shared" si="22"/>
        <v>Error?</v>
      </c>
    </row>
    <row r="1483" spans="1:4" x14ac:dyDescent="0.2">
      <c r="A1483" s="5">
        <v>1422</v>
      </c>
      <c r="B1483" s="138">
        <f>'Expenditures 15-22'!K241</f>
        <v>7375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20151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17727</v>
      </c>
      <c r="C1487" s="2" t="s">
        <v>573</v>
      </c>
      <c r="D1487" s="2" t="str">
        <f t="shared" si="22"/>
        <v>Error?</v>
      </c>
    </row>
    <row r="1488" spans="1:4" x14ac:dyDescent="0.2">
      <c r="A1488" s="5">
        <v>1427</v>
      </c>
      <c r="B1488" s="138">
        <f>'Expenditures 15-22'!K257</f>
        <v>17727</v>
      </c>
      <c r="C1488" s="2" t="s">
        <v>573</v>
      </c>
      <c r="D1488" s="2" t="str">
        <f t="shared" si="22"/>
        <v>Error?</v>
      </c>
    </row>
    <row r="1489" spans="1:4" x14ac:dyDescent="0.2">
      <c r="A1489" s="5">
        <v>1428</v>
      </c>
      <c r="B1489" s="138">
        <f>'Expenditures 15-22'!K259</f>
        <v>60782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60782</v>
      </c>
      <c r="C1491" s="2" t="s">
        <v>573</v>
      </c>
      <c r="D1491" s="2" t="str">
        <f t="shared" si="22"/>
        <v>Error?</v>
      </c>
    </row>
    <row r="1492" spans="1:4" x14ac:dyDescent="0.2">
      <c r="A1492" s="5">
        <v>1431</v>
      </c>
      <c r="B1492" s="138">
        <f>'Expenditures 15-22'!K263</f>
        <v>4216</v>
      </c>
      <c r="C1492" s="2" t="s">
        <v>573</v>
      </c>
      <c r="D1492" s="2" t="str">
        <f t="shared" si="22"/>
        <v>Error?</v>
      </c>
    </row>
    <row r="1493" spans="1:4" x14ac:dyDescent="0.2">
      <c r="A1493" s="5">
        <v>1432</v>
      </c>
      <c r="B1493" s="138">
        <f>'Expenditures 15-22'!K264</f>
        <v>48237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202421</v>
      </c>
      <c r="C1495" s="2" t="s">
        <v>573</v>
      </c>
      <c r="D1495" s="2" t="str">
        <f t="shared" si="22"/>
        <v>Error?</v>
      </c>
    </row>
    <row r="1496" spans="1:4" x14ac:dyDescent="0.2">
      <c r="A1496" s="5">
        <v>1435</v>
      </c>
      <c r="B1496" s="138">
        <f>'Expenditures 15-22'!K267</f>
        <v>139439</v>
      </c>
      <c r="C1496" s="2" t="s">
        <v>573</v>
      </c>
      <c r="D1496" s="2" t="str">
        <f t="shared" si="22"/>
        <v>Error?</v>
      </c>
    </row>
    <row r="1497" spans="1:4" x14ac:dyDescent="0.2">
      <c r="A1497" s="5">
        <v>1436</v>
      </c>
      <c r="B1497" s="138">
        <f>'Expenditures 15-22'!K268</f>
        <v>923</v>
      </c>
      <c r="C1497" s="2" t="s">
        <v>573</v>
      </c>
      <c r="D1497" s="2" t="str">
        <f t="shared" si="22"/>
        <v>Error?</v>
      </c>
    </row>
    <row r="1498" spans="1:4" x14ac:dyDescent="0.2">
      <c r="A1498" s="5">
        <v>1437</v>
      </c>
      <c r="B1498" s="138">
        <f>'Expenditures 15-22'!K269</f>
        <v>7535</v>
      </c>
      <c r="C1498" s="2" t="s">
        <v>573</v>
      </c>
      <c r="D1498" s="2" t="str">
        <f t="shared" si="22"/>
        <v>Error?</v>
      </c>
    </row>
    <row r="1499" spans="1:4" x14ac:dyDescent="0.2">
      <c r="A1499" s="10">
        <v>1438</v>
      </c>
      <c r="D1499" s="2" t="str">
        <f t="shared" si="22"/>
        <v>OK</v>
      </c>
    </row>
    <row r="1500" spans="1:4" x14ac:dyDescent="0.2">
      <c r="A1500" s="5">
        <v>1439</v>
      </c>
      <c r="B1500" s="138">
        <f>'Expenditures 15-22'!K270</f>
        <v>402771</v>
      </c>
      <c r="C1500" s="2" t="s">
        <v>573</v>
      </c>
      <c r="D1500" s="2" t="str">
        <f t="shared" si="22"/>
        <v>Error?</v>
      </c>
    </row>
    <row r="1501" spans="1:4" x14ac:dyDescent="0.2">
      <c r="A1501" s="5">
        <v>1440</v>
      </c>
      <c r="B1501" s="138">
        <f>'Expenditures 15-22'!K272</f>
        <v>1987</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14898</v>
      </c>
      <c r="C1503" s="2" t="s">
        <v>573</v>
      </c>
      <c r="D1503" s="2" t="str">
        <f t="shared" si="22"/>
        <v>Error?</v>
      </c>
    </row>
    <row r="1504" spans="1:4" x14ac:dyDescent="0.2">
      <c r="A1504" s="5">
        <v>1443</v>
      </c>
      <c r="B1504" s="138">
        <f>'Expenditures 15-22'!K275</f>
        <v>8431</v>
      </c>
      <c r="C1504" s="2" t="s">
        <v>573</v>
      </c>
      <c r="D1504" s="2" t="str">
        <f t="shared" si="22"/>
        <v>Error?</v>
      </c>
    </row>
    <row r="1505" spans="1:4" x14ac:dyDescent="0.2">
      <c r="A1505" s="10">
        <v>1444</v>
      </c>
      <c r="D1505" s="2" t="str">
        <f t="shared" si="22"/>
        <v>OK</v>
      </c>
    </row>
    <row r="1506" spans="1:4" x14ac:dyDescent="0.2">
      <c r="A1506" s="5">
        <v>1445</v>
      </c>
      <c r="B1506" s="138">
        <f>'Expenditures 15-22'!K276</f>
        <v>53508</v>
      </c>
      <c r="C1506" s="2" t="s">
        <v>573</v>
      </c>
      <c r="D1506" s="2" t="str">
        <f t="shared" si="22"/>
        <v>Error?</v>
      </c>
    </row>
    <row r="1507" spans="1:4" x14ac:dyDescent="0.2">
      <c r="A1507" s="10">
        <v>1446</v>
      </c>
      <c r="D1507" s="2" t="str">
        <f t="shared" si="22"/>
        <v>OK</v>
      </c>
    </row>
    <row r="1508" spans="1:4" x14ac:dyDescent="0.2">
      <c r="A1508" s="5">
        <v>1447</v>
      </c>
      <c r="B1508" s="138">
        <f>'Expenditures 15-22'!K277</f>
        <v>78824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663821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938909</v>
      </c>
      <c r="C1517" s="2" t="s">
        <v>573</v>
      </c>
      <c r="D1517" s="2" t="str">
        <f t="shared" si="22"/>
        <v>Error?</v>
      </c>
    </row>
    <row r="1518" spans="1:4" x14ac:dyDescent="0.2">
      <c r="A1518" s="5">
        <v>1457</v>
      </c>
      <c r="B1518" s="138">
        <f>'Expenditures 15-22'!K296</f>
        <v>91366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2678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13563428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15720190</v>
      </c>
      <c r="C1630" s="2" t="s">
        <v>573</v>
      </c>
      <c r="D1630" s="2" t="str">
        <f t="shared" si="24"/>
        <v>Error?</v>
      </c>
    </row>
    <row r="1631" spans="1:4" x14ac:dyDescent="0.2">
      <c r="A1631" s="5">
        <v>1570</v>
      </c>
      <c r="B1631" s="138">
        <f>'Acct Summary 7-8'!D79</f>
        <v>2098271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1879842</v>
      </c>
      <c r="C1644" s="2" t="s">
        <v>573</v>
      </c>
      <c r="D1644" s="2" t="str">
        <f t="shared" si="24"/>
        <v>Error?</v>
      </c>
    </row>
    <row r="1645" spans="1:4" x14ac:dyDescent="0.2">
      <c r="A1645" s="5">
        <v>1584</v>
      </c>
      <c r="B1645" s="138">
        <f>'Acct Summary 7-8'!E79</f>
        <v>255391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272715</v>
      </c>
      <c r="C1658" s="2" t="s">
        <v>573</v>
      </c>
      <c r="D1658" s="2" t="str">
        <f t="shared" si="24"/>
        <v>Error?</v>
      </c>
    </row>
    <row r="1659" spans="1:4" x14ac:dyDescent="0.2">
      <c r="A1659" s="5">
        <v>1598</v>
      </c>
      <c r="B1659" s="138">
        <f>'Acct Summary 7-8'!F79</f>
        <v>683183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331094</v>
      </c>
      <c r="C1672" s="2" t="s">
        <v>573</v>
      </c>
      <c r="D1672" s="2" t="str">
        <f t="shared" si="25"/>
        <v>Error?</v>
      </c>
    </row>
    <row r="1673" spans="1:4" x14ac:dyDescent="0.2">
      <c r="A1673" s="5">
        <v>1612</v>
      </c>
      <c r="B1673" s="138">
        <f>'Acct Summary 7-8'!G79</f>
        <v>688149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779515</v>
      </c>
      <c r="C1686" s="2" t="s">
        <v>573</v>
      </c>
      <c r="D1686" s="2" t="str">
        <f t="shared" si="25"/>
        <v>Error?</v>
      </c>
    </row>
    <row r="1687" spans="1:4" x14ac:dyDescent="0.2">
      <c r="A1687" s="5">
        <v>1626</v>
      </c>
      <c r="B1687" s="138">
        <f>'Acct Summary 7-8'!H79</f>
        <v>132469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135147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20416533</v>
      </c>
      <c r="C1744" s="2" t="s">
        <v>573</v>
      </c>
      <c r="D1744" s="2" t="str">
        <f t="shared" si="26"/>
        <v>Error?</v>
      </c>
    </row>
    <row r="1745" spans="1:5" x14ac:dyDescent="0.2">
      <c r="A1745" s="5">
        <v>1684</v>
      </c>
      <c r="B1745" s="138">
        <f>'Tax Sched 23'!B5</f>
        <v>2274742</v>
      </c>
      <c r="C1745" s="2" t="s">
        <v>573</v>
      </c>
      <c r="D1745" s="2" t="str">
        <f t="shared" si="26"/>
        <v>Error?</v>
      </c>
    </row>
    <row r="1746" spans="1:5" x14ac:dyDescent="0.2">
      <c r="A1746" s="5">
        <v>1685</v>
      </c>
      <c r="B1746" s="138">
        <f>'Tax Sched 23'!B6</f>
        <v>718340</v>
      </c>
      <c r="C1746" s="2" t="s">
        <v>573</v>
      </c>
      <c r="D1746" s="2" t="str">
        <f t="shared" si="26"/>
        <v>Error?</v>
      </c>
    </row>
    <row r="1747" spans="1:5" x14ac:dyDescent="0.2">
      <c r="A1747" s="5">
        <v>1686</v>
      </c>
      <c r="B1747" s="138">
        <f>'Tax Sched 23'!B7</f>
        <v>640166</v>
      </c>
      <c r="C1747" s="2" t="s">
        <v>573</v>
      </c>
      <c r="D1747" s="2" t="str">
        <f t="shared" si="26"/>
        <v>Error?</v>
      </c>
    </row>
    <row r="1748" spans="1:5" x14ac:dyDescent="0.2">
      <c r="A1748" s="5">
        <v>1687</v>
      </c>
      <c r="B1748" s="138">
        <f>'Tax Sched 23'!B8</f>
        <v>413987</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317054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25257624</v>
      </c>
      <c r="C1759" s="2" t="s">
        <v>573</v>
      </c>
      <c r="D1759" s="2" t="str">
        <f t="shared" si="26"/>
        <v>Error?</v>
      </c>
    </row>
    <row r="1760" spans="1:5" x14ac:dyDescent="0.2">
      <c r="A1760" s="5">
        <v>1699</v>
      </c>
      <c r="B1760" s="138">
        <f>'Tax Sched 23'!D4</f>
        <v>9888242</v>
      </c>
      <c r="C1760" s="2" t="s">
        <v>573</v>
      </c>
      <c r="D1760" s="2" t="str">
        <f t="shared" si="26"/>
        <v>Error?</v>
      </c>
    </row>
    <row r="1761" spans="1:5" x14ac:dyDescent="0.2">
      <c r="A1761" s="5">
        <v>1700</v>
      </c>
      <c r="B1761" s="138">
        <f>'Tax Sched 23'!D5</f>
        <v>1115746</v>
      </c>
      <c r="C1761" s="2" t="s">
        <v>573</v>
      </c>
      <c r="D1761" s="2" t="str">
        <f t="shared" si="26"/>
        <v>Error?</v>
      </c>
    </row>
    <row r="1762" spans="1:5" s="8" customFormat="1" x14ac:dyDescent="0.2">
      <c r="A1762" s="5">
        <v>1701</v>
      </c>
      <c r="B1762" s="138">
        <f>'Tax Sched 23'!D6</f>
        <v>350545</v>
      </c>
      <c r="C1762" s="2" t="s">
        <v>573</v>
      </c>
      <c r="D1762" s="2" t="str">
        <f t="shared" si="26"/>
        <v>Error?</v>
      </c>
      <c r="E1762" s="9"/>
    </row>
    <row r="1763" spans="1:5" x14ac:dyDescent="0.2">
      <c r="A1763" s="5">
        <v>1702</v>
      </c>
      <c r="B1763" s="138">
        <f>'Tax Sched 23'!D7</f>
        <v>314079</v>
      </c>
      <c r="C1763" s="2" t="s">
        <v>573</v>
      </c>
      <c r="D1763" s="2" t="str">
        <f t="shared" si="26"/>
        <v>Error?</v>
      </c>
    </row>
    <row r="1764" spans="1:5" x14ac:dyDescent="0.2">
      <c r="A1764" s="5">
        <v>1703</v>
      </c>
      <c r="B1764" s="138">
        <f>'Tax Sched 23'!D8</f>
        <v>202916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155275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12260304</v>
      </c>
      <c r="C1775" s="2" t="s">
        <v>573</v>
      </c>
      <c r="D1775" s="2" t="str">
        <f t="shared" si="26"/>
        <v>Error?</v>
      </c>
    </row>
    <row r="1776" spans="1:5" x14ac:dyDescent="0.2">
      <c r="A1776" s="5">
        <v>1715</v>
      </c>
      <c r="B1776" s="138">
        <f>'Tax Sched 23'!C4</f>
        <v>10528291</v>
      </c>
      <c r="D1776" s="2" t="str">
        <f t="shared" si="26"/>
        <v>Error?</v>
      </c>
    </row>
    <row r="1777" spans="1:4" x14ac:dyDescent="0.2">
      <c r="A1777" s="5">
        <v>1716</v>
      </c>
      <c r="B1777" s="138">
        <f>'Tax Sched 23'!C5</f>
        <v>1158996</v>
      </c>
      <c r="D1777" s="2" t="str">
        <f t="shared" si="26"/>
        <v>Error?</v>
      </c>
    </row>
    <row r="1778" spans="1:4" x14ac:dyDescent="0.2">
      <c r="A1778" s="5">
        <v>1717</v>
      </c>
      <c r="B1778" s="138">
        <f>'Tax Sched 23'!C6</f>
        <v>367795</v>
      </c>
      <c r="D1778" s="2" t="str">
        <f t="shared" si="26"/>
        <v>Error?</v>
      </c>
    </row>
    <row r="1779" spans="1:4" x14ac:dyDescent="0.2">
      <c r="A1779" s="5">
        <v>1718</v>
      </c>
      <c r="B1779" s="138">
        <f>'Tax Sched 23'!C7</f>
        <v>326087</v>
      </c>
      <c r="D1779" s="2" t="str">
        <f t="shared" si="26"/>
        <v>Error?</v>
      </c>
    </row>
    <row r="1780" spans="1:4" x14ac:dyDescent="0.2">
      <c r="A1780" s="5">
        <v>1719</v>
      </c>
      <c r="B1780" s="138">
        <f>'Tax Sched 23'!C8</f>
        <v>211071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161779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12997320</v>
      </c>
      <c r="C1791" s="2" t="s">
        <v>573</v>
      </c>
      <c r="D1791" s="2" t="str">
        <f t="shared" ref="D1791:D1854" si="27">IF(ISBLANK(B1791),"OK",IF(A1791-B1791=0,"OK","Error?"))</f>
        <v>Error?</v>
      </c>
    </row>
    <row r="1792" spans="1:4" x14ac:dyDescent="0.2">
      <c r="A1792" s="5">
        <v>1731</v>
      </c>
      <c r="B1792" s="138">
        <f>'Tax Sched 23'!F4</f>
        <v>10255271</v>
      </c>
      <c r="C1792" s="2" t="s">
        <v>573</v>
      </c>
      <c r="D1792" s="2" t="str">
        <f t="shared" si="27"/>
        <v>Error?</v>
      </c>
    </row>
    <row r="1793" spans="1:4" x14ac:dyDescent="0.2">
      <c r="A1793" s="5">
        <v>1732</v>
      </c>
      <c r="B1793" s="138">
        <f>'Tax Sched 23'!F5</f>
        <v>1128942</v>
      </c>
      <c r="C1793" s="2" t="s">
        <v>573</v>
      </c>
      <c r="D1793" s="2" t="str">
        <f t="shared" si="27"/>
        <v>Error?</v>
      </c>
    </row>
    <row r="1794" spans="1:4" x14ac:dyDescent="0.2">
      <c r="A1794" s="5">
        <v>1733</v>
      </c>
      <c r="B1794" s="138">
        <f>'Tax Sched 23'!F6</f>
        <v>358257</v>
      </c>
      <c r="C1794" s="2" t="s">
        <v>573</v>
      </c>
      <c r="D1794" s="2" t="str">
        <f t="shared" si="27"/>
        <v>Error?</v>
      </c>
    </row>
    <row r="1795" spans="1:4" x14ac:dyDescent="0.2">
      <c r="A1795" s="5">
        <v>1734</v>
      </c>
      <c r="B1795" s="138">
        <f>'Tax Sched 23'!F7</f>
        <v>317631</v>
      </c>
      <c r="C1795" s="2" t="s">
        <v>573</v>
      </c>
      <c r="D1795" s="2" t="str">
        <f t="shared" si="27"/>
        <v>Error?</v>
      </c>
    </row>
    <row r="1796" spans="1:4" x14ac:dyDescent="0.2">
      <c r="A1796" s="5">
        <v>1735</v>
      </c>
      <c r="B1796" s="138">
        <f>'Tax Sched 23'!F8</f>
        <v>205598</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157584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12660274</v>
      </c>
      <c r="C1807" s="2" t="s">
        <v>573</v>
      </c>
      <c r="D1807" s="2" t="str">
        <f t="shared" si="27"/>
        <v>Error?</v>
      </c>
    </row>
    <row r="1808" spans="1:4" x14ac:dyDescent="0.2">
      <c r="A1808" s="5">
        <v>1747</v>
      </c>
      <c r="B1808" s="138">
        <f>'Tax Sched 23'!E4</f>
        <v>20783562</v>
      </c>
      <c r="D1808" s="2" t="str">
        <f t="shared" si="27"/>
        <v>Error?</v>
      </c>
    </row>
    <row r="1809" spans="1:4" x14ac:dyDescent="0.2">
      <c r="A1809" s="5">
        <v>1748</v>
      </c>
      <c r="B1809" s="138">
        <f>'Tax Sched 23'!E5</f>
        <v>2287938</v>
      </c>
      <c r="D1809" s="2" t="str">
        <f t="shared" si="27"/>
        <v>Error?</v>
      </c>
    </row>
    <row r="1810" spans="1:4" x14ac:dyDescent="0.2">
      <c r="A1810" s="5">
        <v>1749</v>
      </c>
      <c r="B1810" s="138">
        <f>'Tax Sched 23'!E6</f>
        <v>726052</v>
      </c>
      <c r="D1810" s="2" t="str">
        <f t="shared" si="27"/>
        <v>Error?</v>
      </c>
    </row>
    <row r="1811" spans="1:4" x14ac:dyDescent="0.2">
      <c r="A1811" s="5">
        <v>1750</v>
      </c>
      <c r="B1811" s="138">
        <f>'Tax Sched 23'!E7</f>
        <v>643718</v>
      </c>
      <c r="D1811" s="2" t="str">
        <f t="shared" si="27"/>
        <v>Error?</v>
      </c>
    </row>
    <row r="1812" spans="1:4" x14ac:dyDescent="0.2">
      <c r="A1812" s="5">
        <v>1751</v>
      </c>
      <c r="B1812" s="138">
        <f>'Tax Sched 23'!E8</f>
        <v>416669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319363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25657594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317054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317054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317054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459795</v>
      </c>
      <c r="D2008" s="2" t="str">
        <f t="shared" si="30"/>
        <v>Error?</v>
      </c>
    </row>
    <row r="2009" spans="1:4" x14ac:dyDescent="0.2">
      <c r="A2009" s="5">
        <v>1948</v>
      </c>
      <c r="B2009" s="138">
        <f>'Cap Outlay Deprec 26'!C8</f>
        <v>46148993</v>
      </c>
      <c r="D2009" s="2" t="str">
        <f t="shared" si="30"/>
        <v>Error?</v>
      </c>
    </row>
    <row r="2010" spans="1:4" x14ac:dyDescent="0.2">
      <c r="A2010" s="5">
        <v>1949</v>
      </c>
      <c r="B2010" s="138">
        <f>'Cap Outlay Deprec 26'!C10</f>
        <v>3238686</v>
      </c>
      <c r="D2010" s="2" t="str">
        <f t="shared" si="30"/>
        <v>Error?</v>
      </c>
    </row>
    <row r="2011" spans="1:4" x14ac:dyDescent="0.2">
      <c r="A2011" s="5">
        <v>1950</v>
      </c>
      <c r="B2011" s="138">
        <f>'Cap Outlay Deprec 26'!C12</f>
        <v>6762220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56609694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13912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189132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203044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68640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68640</v>
      </c>
      <c r="C2025" s="2" t="s">
        <v>573</v>
      </c>
      <c r="D2025" s="2" t="str">
        <f t="shared" si="30"/>
        <v>Error?</v>
      </c>
    </row>
    <row r="2026" spans="1:4" x14ac:dyDescent="0.2">
      <c r="A2026" s="5">
        <v>1965</v>
      </c>
      <c r="B2026" s="138">
        <f>'Cap Outlay Deprec 26'!F5</f>
        <v>459795</v>
      </c>
      <c r="C2026" s="2" t="s">
        <v>573</v>
      </c>
      <c r="D2026" s="2" t="str">
        <f t="shared" si="30"/>
        <v>Error?</v>
      </c>
    </row>
    <row r="2027" spans="1:4" x14ac:dyDescent="0.2">
      <c r="A2027" s="5">
        <v>1966</v>
      </c>
      <c r="B2027" s="138">
        <f>'Cap Outlay Deprec 26'!F8</f>
        <v>46162905</v>
      </c>
      <c r="C2027" s="2" t="s">
        <v>573</v>
      </c>
      <c r="D2027" s="2" t="str">
        <f t="shared" si="30"/>
        <v>Error?</v>
      </c>
    </row>
    <row r="2028" spans="1:4" x14ac:dyDescent="0.2">
      <c r="A2028" s="5">
        <v>1967</v>
      </c>
      <c r="B2028" s="138">
        <f>'Cap Outlay Deprec 26'!F10</f>
        <v>3238686</v>
      </c>
      <c r="C2028" s="2" t="s">
        <v>573</v>
      </c>
      <c r="D2028" s="2" t="str">
        <f t="shared" si="30"/>
        <v>Error?</v>
      </c>
    </row>
    <row r="2029" spans="1:4" x14ac:dyDescent="0.2">
      <c r="A2029" s="5">
        <v>1968</v>
      </c>
      <c r="B2029" s="138">
        <f>'Cap Outlay Deprec 26'!F12</f>
        <v>6882712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56744098</v>
      </c>
      <c r="C2031" s="2" t="s">
        <v>573</v>
      </c>
      <c r="D2031" s="2" t="str">
        <f t="shared" si="30"/>
        <v>Error?</v>
      </c>
    </row>
    <row r="2032" spans="1:4" x14ac:dyDescent="0.2">
      <c r="A2032" s="10">
        <v>1971</v>
      </c>
      <c r="D2032" s="2" t="str">
        <f t="shared" si="30"/>
        <v>OK</v>
      </c>
    </row>
    <row r="2033" spans="1:4" x14ac:dyDescent="0.2">
      <c r="A2033" s="5">
        <v>1972</v>
      </c>
      <c r="B2033" s="138">
        <f>'Cap Outlay Deprec 26'!H8</f>
        <v>29086344</v>
      </c>
      <c r="D2033" s="2" t="str">
        <f t="shared" si="30"/>
        <v>Error?</v>
      </c>
    </row>
    <row r="2034" spans="1:4" x14ac:dyDescent="0.2">
      <c r="A2034" s="5">
        <v>1973</v>
      </c>
      <c r="B2034" s="138">
        <f>'Cap Outlay Deprec 26'!H10</f>
        <v>2614766</v>
      </c>
      <c r="D2034" s="2" t="str">
        <f t="shared" si="30"/>
        <v>Error?</v>
      </c>
    </row>
    <row r="2035" spans="1:4" x14ac:dyDescent="0.2">
      <c r="A2035" s="5">
        <v>1974</v>
      </c>
      <c r="B2035" s="138">
        <f>'Cap Outlay Deprec 26'!H12</f>
        <v>5111935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36813045</v>
      </c>
      <c r="C2037" s="2" t="s">
        <v>573</v>
      </c>
      <c r="D2037" s="2" t="str">
        <f t="shared" si="30"/>
        <v>Error?</v>
      </c>
    </row>
    <row r="2038" spans="1:4" x14ac:dyDescent="0.2">
      <c r="A2038" s="10">
        <v>1977</v>
      </c>
      <c r="D2038" s="2" t="str">
        <f t="shared" si="30"/>
        <v>OK</v>
      </c>
    </row>
    <row r="2039" spans="1:4" x14ac:dyDescent="0.2">
      <c r="A2039" s="5">
        <v>1978</v>
      </c>
      <c r="B2039" s="138">
        <f>'Cap Outlay Deprec 26'!I8</f>
        <v>751563</v>
      </c>
      <c r="D2039" s="2" t="str">
        <f t="shared" si="30"/>
        <v>Error?</v>
      </c>
    </row>
    <row r="2040" spans="1:4" x14ac:dyDescent="0.2">
      <c r="A2040" s="5">
        <v>1979</v>
      </c>
      <c r="B2040" s="138">
        <f>'Cap Outlay Deprec 26'!I10</f>
        <v>131011</v>
      </c>
      <c r="D2040" s="2" t="str">
        <f t="shared" si="30"/>
        <v>Error?</v>
      </c>
    </row>
    <row r="2041" spans="1:4" x14ac:dyDescent="0.2">
      <c r="A2041" s="5">
        <v>1980</v>
      </c>
      <c r="B2041" s="138">
        <f>'Cap Outlay Deprec 26'!I12</f>
        <v>328539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1211113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29303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29303</v>
      </c>
      <c r="C2049" s="2" t="s">
        <v>573</v>
      </c>
      <c r="D2049" s="2" t="str">
        <f t="shared" si="31"/>
        <v>Error?</v>
      </c>
    </row>
    <row r="2050" spans="1:4" x14ac:dyDescent="0.2">
      <c r="A2050" s="10">
        <v>1989</v>
      </c>
      <c r="D2050" s="2" t="str">
        <f t="shared" si="31"/>
        <v>OK</v>
      </c>
    </row>
    <row r="2051" spans="1:4" x14ac:dyDescent="0.2">
      <c r="A2051" s="5">
        <v>1990</v>
      </c>
      <c r="B2051" s="138">
        <f>'Cap Outlay Deprec 26'!K8</f>
        <v>29837907</v>
      </c>
      <c r="C2051" s="2" t="s">
        <v>573</v>
      </c>
      <c r="D2051" s="2" t="str">
        <f t="shared" si="31"/>
        <v>Error?</v>
      </c>
    </row>
    <row r="2052" spans="1:4" x14ac:dyDescent="0.2">
      <c r="A2052" s="5">
        <v>1991</v>
      </c>
      <c r="B2052" s="138">
        <f>'Cap Outlay Deprec 26'!K10</f>
        <v>2745777</v>
      </c>
      <c r="C2052" s="2" t="s">
        <v>573</v>
      </c>
      <c r="D2052" s="2" t="str">
        <f t="shared" si="31"/>
        <v>Error?</v>
      </c>
    </row>
    <row r="2053" spans="1:4" x14ac:dyDescent="0.2">
      <c r="A2053" s="5">
        <v>1992</v>
      </c>
      <c r="B2053" s="138">
        <f>'Cap Outlay Deprec 26'!K12</f>
        <v>5411171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37994855</v>
      </c>
      <c r="C2055" s="2" t="s">
        <v>573</v>
      </c>
      <c r="D2055" s="2" t="str">
        <f t="shared" si="31"/>
        <v>Error?</v>
      </c>
    </row>
    <row r="2056" spans="1:4" x14ac:dyDescent="0.2">
      <c r="A2056" s="5">
        <v>1995</v>
      </c>
      <c r="B2056" s="138">
        <f>'Cap Outlay Deprec 26'!L5</f>
        <v>459795</v>
      </c>
      <c r="C2056" s="2" t="s">
        <v>573</v>
      </c>
      <c r="D2056" s="2" t="str">
        <f t="shared" si="31"/>
        <v>Error?</v>
      </c>
    </row>
    <row r="2057" spans="1:4" x14ac:dyDescent="0.2">
      <c r="A2057" s="5">
        <v>1996</v>
      </c>
      <c r="B2057" s="138">
        <f>'Cap Outlay Deprec 26'!L8</f>
        <v>16324998</v>
      </c>
      <c r="C2057" s="2" t="s">
        <v>573</v>
      </c>
      <c r="D2057" s="2" t="str">
        <f t="shared" si="31"/>
        <v>Error?</v>
      </c>
    </row>
    <row r="2058" spans="1:4" x14ac:dyDescent="0.2">
      <c r="A2058" s="5">
        <v>1997</v>
      </c>
      <c r="B2058" s="138">
        <f>'Cap Outlay Deprec 26'!L10</f>
        <v>492909</v>
      </c>
      <c r="C2058" s="2" t="s">
        <v>573</v>
      </c>
      <c r="D2058" s="2" t="str">
        <f t="shared" si="31"/>
        <v>Error?</v>
      </c>
    </row>
    <row r="2059" spans="1:4" x14ac:dyDescent="0.2">
      <c r="A2059" s="5">
        <v>1998</v>
      </c>
      <c r="B2059" s="138">
        <f>'Cap Outlay Deprec 26'!L12</f>
        <v>1471541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18749243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1467546</v>
      </c>
      <c r="C2089" s="2" t="s">
        <v>573</v>
      </c>
      <c r="D2089" s="2" t="str">
        <f t="shared" si="31"/>
        <v>Error?</v>
      </c>
    </row>
    <row r="2090" spans="1:4" x14ac:dyDescent="0.2">
      <c r="A2090" s="10">
        <v>2029</v>
      </c>
      <c r="D2090" s="2" t="str">
        <f t="shared" si="31"/>
        <v>OK</v>
      </c>
    </row>
    <row r="2091" spans="1:4" x14ac:dyDescent="0.2">
      <c r="A2091" s="5">
        <v>2030</v>
      </c>
      <c r="B2091" s="138">
        <f>'Expenditures 15-22'!H137</f>
        <v>20554</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20554</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23315160</v>
      </c>
      <c r="C2551" s="2" t="s">
        <v>573</v>
      </c>
      <c r="D2551" s="2" t="str">
        <f t="shared" si="38"/>
        <v>Error?</v>
      </c>
    </row>
    <row r="2552" spans="1:4" x14ac:dyDescent="0.2">
      <c r="A2552" s="10">
        <v>2491</v>
      </c>
      <c r="D2552" s="2" t="str">
        <f t="shared" si="38"/>
        <v>OK</v>
      </c>
    </row>
    <row r="2553" spans="1:4" x14ac:dyDescent="0.2">
      <c r="A2553" s="5">
        <v>2492</v>
      </c>
      <c r="B2553" s="138">
        <f>'Acct Summary 7-8'!C6</f>
        <v>2009303</v>
      </c>
      <c r="C2553" s="2" t="s">
        <v>573</v>
      </c>
      <c r="D2553" s="2" t="str">
        <f t="shared" si="38"/>
        <v>Error?</v>
      </c>
    </row>
    <row r="2554" spans="1:4" x14ac:dyDescent="0.2">
      <c r="A2554" s="5">
        <v>2493</v>
      </c>
      <c r="B2554" s="138">
        <f>'Acct Summary 7-8'!C7</f>
        <v>1046609</v>
      </c>
      <c r="C2554" s="2" t="s">
        <v>573</v>
      </c>
      <c r="D2554" s="2" t="str">
        <f t="shared" si="38"/>
        <v>Error?</v>
      </c>
    </row>
    <row r="2555" spans="1:4" x14ac:dyDescent="0.2">
      <c r="A2555" s="5">
        <v>2494</v>
      </c>
      <c r="B2555" s="138">
        <f>'Acct Summary 7-8'!C8</f>
        <v>26371072</v>
      </c>
      <c r="C2555" s="2" t="s">
        <v>573</v>
      </c>
      <c r="D2555" s="2" t="str">
        <f t="shared" si="38"/>
        <v>Error?</v>
      </c>
    </row>
    <row r="2556" spans="1:4" x14ac:dyDescent="0.2">
      <c r="A2556" s="5">
        <v>2495</v>
      </c>
      <c r="B2556" s="138">
        <f>'Acct Summary 7-8'!C12</f>
        <v>15600800</v>
      </c>
      <c r="C2556" s="2" t="s">
        <v>573</v>
      </c>
      <c r="D2556" s="2" t="str">
        <f t="shared" si="38"/>
        <v>Error?</v>
      </c>
    </row>
    <row r="2557" spans="1:4" x14ac:dyDescent="0.2">
      <c r="A2557" s="5">
        <v>2496</v>
      </c>
      <c r="B2557" s="138">
        <f>'Acct Summary 7-8'!C13</f>
        <v>7142700</v>
      </c>
      <c r="C2557" s="2" t="s">
        <v>573</v>
      </c>
      <c r="D2557" s="2" t="str">
        <f t="shared" si="38"/>
        <v>Error?</v>
      </c>
    </row>
    <row r="2558" spans="1:4" x14ac:dyDescent="0.2">
      <c r="A2558" s="5">
        <v>2497</v>
      </c>
      <c r="B2558" s="138">
        <f>'Acct Summary 7-8'!C14</f>
        <v>3264</v>
      </c>
      <c r="C2558" s="2" t="s">
        <v>573</v>
      </c>
      <c r="D2558" s="2" t="str">
        <f t="shared" si="38"/>
        <v>Error?</v>
      </c>
    </row>
    <row r="2559" spans="1:4" x14ac:dyDescent="0.2">
      <c r="A2559" s="5">
        <v>2498</v>
      </c>
      <c r="B2559" s="138">
        <f>'Acct Summary 7-8'!C15</f>
        <v>1467546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24214310</v>
      </c>
      <c r="C2561" s="2" t="s">
        <v>573</v>
      </c>
      <c r="D2561" s="2" t="str">
        <f t="shared" si="39"/>
        <v>Error?</v>
      </c>
    </row>
    <row r="2562" spans="1:4" x14ac:dyDescent="0.2">
      <c r="A2562" s="5">
        <v>2501</v>
      </c>
      <c r="B2562" s="138">
        <f>'Acct Summary 7-8'!C20</f>
        <v>2156762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2379882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2379882</v>
      </c>
      <c r="C2568" s="2" t="s">
        <v>573</v>
      </c>
      <c r="D2568" s="2" t="str">
        <f t="shared" si="39"/>
        <v>Error?</v>
      </c>
    </row>
    <row r="2569" spans="1:4" x14ac:dyDescent="0.2">
      <c r="A2569" s="5">
        <v>2508</v>
      </c>
      <c r="B2569" s="138">
        <f>'Acct Summary 7-8'!D13</f>
        <v>2577757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20554</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2598311</v>
      </c>
      <c r="C2573" s="2" t="s">
        <v>573</v>
      </c>
      <c r="D2573" s="2" t="str">
        <f t="shared" si="39"/>
        <v>Error?</v>
      </c>
    </row>
    <row r="2574" spans="1:4" x14ac:dyDescent="0.2">
      <c r="A2574" s="5">
        <v>2513</v>
      </c>
      <c r="B2574" s="138">
        <f>'Acct Summary 7-8'!D20</f>
        <v>-218429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681693</v>
      </c>
      <c r="C2591" s="2" t="s">
        <v>573</v>
      </c>
      <c r="D2591" s="2" t="str">
        <f t="shared" si="39"/>
        <v>Error?</v>
      </c>
    </row>
    <row r="2592" spans="1:4" x14ac:dyDescent="0.2">
      <c r="A2592" s="10">
        <v>2531</v>
      </c>
      <c r="D2592" s="2" t="str">
        <f t="shared" si="39"/>
        <v>OK</v>
      </c>
    </row>
    <row r="2593" spans="1:4" x14ac:dyDescent="0.2">
      <c r="A2593" s="5">
        <v>2532</v>
      </c>
      <c r="B2593" s="138">
        <f>'Acct Summary 7-8'!F6</f>
        <v>356996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1038689</v>
      </c>
      <c r="C2595" s="2" t="s">
        <v>573</v>
      </c>
      <c r="D2595" s="2" t="str">
        <f t="shared" si="39"/>
        <v>Error?</v>
      </c>
    </row>
    <row r="2596" spans="1:4" x14ac:dyDescent="0.2">
      <c r="A2596" s="5">
        <v>2535</v>
      </c>
      <c r="B2596" s="138">
        <f>'Acct Summary 7-8'!F13</f>
        <v>1390778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1390778</v>
      </c>
      <c r="C2600" s="2" t="s">
        <v>573</v>
      </c>
      <c r="D2600" s="2" t="str">
        <f t="shared" si="39"/>
        <v>Error?</v>
      </c>
    </row>
    <row r="2601" spans="1:4" x14ac:dyDescent="0.2">
      <c r="A2601" s="5">
        <v>2540</v>
      </c>
      <c r="B2601" s="138">
        <f>'Acct Summary 7-8'!F20</f>
        <v>-352089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1030275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1030275</v>
      </c>
      <c r="C2606" s="2" t="s">
        <v>573</v>
      </c>
      <c r="D2606" s="2" t="str">
        <f t="shared" si="39"/>
        <v>Error?</v>
      </c>
    </row>
    <row r="2607" spans="1:4" x14ac:dyDescent="0.2">
      <c r="A2607" s="5">
        <v>2546</v>
      </c>
      <c r="B2607" s="138">
        <f>'Acct Summary 7-8'!G12</f>
        <v>275088</v>
      </c>
      <c r="C2607" s="2" t="s">
        <v>573</v>
      </c>
      <c r="D2607" s="2" t="str">
        <f t="shared" si="39"/>
        <v>Error?</v>
      </c>
    </row>
    <row r="2608" spans="1:4" x14ac:dyDescent="0.2">
      <c r="A2608" s="5">
        <v>2547</v>
      </c>
      <c r="B2608" s="138">
        <f>'Acct Summary 7-8'!G13</f>
        <v>663821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938909</v>
      </c>
      <c r="C2612" s="2" t="s">
        <v>573</v>
      </c>
      <c r="D2612" s="2" t="str">
        <f t="shared" si="39"/>
        <v>Error?</v>
      </c>
    </row>
    <row r="2613" spans="1:4" x14ac:dyDescent="0.2">
      <c r="A2613" s="5">
        <v>2552</v>
      </c>
      <c r="B2613" s="138">
        <f>'Acct Summary 7-8'!G20</f>
        <v>91366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723549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723549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706225</v>
      </c>
      <c r="C2634" s="2" t="s">
        <v>573</v>
      </c>
      <c r="D2634" s="2" t="str">
        <f t="shared" si="40"/>
        <v>Error?</v>
      </c>
    </row>
    <row r="2635" spans="1:4" x14ac:dyDescent="0.2">
      <c r="A2635" s="5">
        <v>2574</v>
      </c>
      <c r="B2635" s="138">
        <f>'Acct Summary 7-8'!E17</f>
        <v>706225</v>
      </c>
      <c r="C2635" s="2" t="s">
        <v>573</v>
      </c>
      <c r="D2635" s="2" t="str">
        <f t="shared" si="40"/>
        <v>Error?</v>
      </c>
    </row>
    <row r="2636" spans="1:4" x14ac:dyDescent="0.2">
      <c r="A2636" s="5">
        <v>2575</v>
      </c>
      <c r="B2636" s="138">
        <f>'Acct Summary 7-8'!E20</f>
        <v>17324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2678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2678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2678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4265551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4266274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136180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4266274</v>
      </c>
      <c r="D2912" s="2" t="str">
        <f t="shared" si="44"/>
        <v>Error?</v>
      </c>
    </row>
    <row r="2913" spans="1:4" x14ac:dyDescent="0.2">
      <c r="A2913" s="5">
        <v>2852</v>
      </c>
      <c r="B2913" s="138">
        <f>'Assets-Liab 5-6'!I41</f>
        <v>4266274</v>
      </c>
      <c r="C2913" s="2" t="s">
        <v>573</v>
      </c>
      <c r="D2913" s="2" t="str">
        <f t="shared" si="44"/>
        <v>Error?</v>
      </c>
    </row>
    <row r="2914" spans="1:4" x14ac:dyDescent="0.2">
      <c r="A2914" s="5">
        <v>2853</v>
      </c>
      <c r="B2914" s="138">
        <f>'Assets-Liab 5-6'!L33</f>
        <v>136180</v>
      </c>
      <c r="D2914" s="2" t="str">
        <f t="shared" si="44"/>
        <v>Error?</v>
      </c>
    </row>
    <row r="2915" spans="1:4" x14ac:dyDescent="0.2">
      <c r="A2915" s="10">
        <v>2854</v>
      </c>
      <c r="D2915" s="2" t="str">
        <f t="shared" si="44"/>
        <v>OK</v>
      </c>
    </row>
    <row r="2916" spans="1:4" x14ac:dyDescent="0.2">
      <c r="A2916" s="5">
        <v>2855</v>
      </c>
      <c r="B2916" s="138">
        <f>'Assets-Liab 5-6'!L34</f>
        <v>136180</v>
      </c>
      <c r="C2916" s="2" t="s">
        <v>573</v>
      </c>
      <c r="D2916" s="2" t="str">
        <f t="shared" si="44"/>
        <v>Error?</v>
      </c>
    </row>
    <row r="2917" spans="1:4" x14ac:dyDescent="0.2">
      <c r="A2917" s="5">
        <v>2856</v>
      </c>
      <c r="B2917" s="138">
        <f>'Assets-Liab 5-6'!L41</f>
        <v>136180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20554</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20554</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16363</v>
      </c>
      <c r="D3055" s="2" t="str">
        <f t="shared" si="46"/>
        <v>Error?</v>
      </c>
    </row>
    <row r="3056" spans="1:4" x14ac:dyDescent="0.2">
      <c r="A3056" s="5">
        <v>2995</v>
      </c>
      <c r="B3056" s="138">
        <f>'Expenditures 15-22'!D10</f>
        <v>1382</v>
      </c>
      <c r="D3056" s="2" t="str">
        <f t="shared" si="46"/>
        <v>Error?</v>
      </c>
    </row>
    <row r="3057" spans="1:4" x14ac:dyDescent="0.2">
      <c r="A3057" s="5">
        <v>2996</v>
      </c>
      <c r="B3057" s="138">
        <f>'Expenditures 15-22'!E10</f>
        <v>18278</v>
      </c>
      <c r="D3057" s="2" t="str">
        <f t="shared" si="46"/>
        <v>Error?</v>
      </c>
    </row>
    <row r="3058" spans="1:4" x14ac:dyDescent="0.2">
      <c r="A3058" s="5">
        <v>2997</v>
      </c>
      <c r="B3058" s="138">
        <f>'Expenditures 15-22'!F10</f>
        <v>123636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159659</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85065</v>
      </c>
      <c r="C3225" s="2" t="s">
        <v>573</v>
      </c>
      <c r="D3225" s="2" t="str">
        <f t="shared" si="49"/>
        <v>Error?</v>
      </c>
    </row>
    <row r="3226" spans="1:4" x14ac:dyDescent="0.2">
      <c r="A3226" s="5">
        <v>3165</v>
      </c>
      <c r="B3226" s="138">
        <f>'Acct Summary 7-8'!I8</f>
        <v>85065</v>
      </c>
      <c r="C3226" s="2" t="s">
        <v>573</v>
      </c>
      <c r="D3226" s="2" t="str">
        <f t="shared" si="49"/>
        <v>Error?</v>
      </c>
    </row>
    <row r="3227" spans="1:4" x14ac:dyDescent="0.2">
      <c r="A3227" s="5">
        <v>3166</v>
      </c>
      <c r="B3227" s="138">
        <f>'Acct Summary 7-8'!I20</f>
        <v>85065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2156762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-218429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-352089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91366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17324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2678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85065</v>
      </c>
      <c r="C3320" s="2" t="s">
        <v>573</v>
      </c>
      <c r="D3320" s="2" t="str">
        <f t="shared" si="50"/>
        <v>Error?</v>
      </c>
    </row>
    <row r="3321" spans="1:4" x14ac:dyDescent="0.2">
      <c r="A3321" s="5">
        <v>3260</v>
      </c>
      <c r="B3321" s="138">
        <f>'Acct Summary 7-8'!I79</f>
        <v>4181209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4266274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1804363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339161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16910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9872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2170306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110980</v>
      </c>
      <c r="D3387" s="2" t="str">
        <f t="shared" si="51"/>
        <v>Error?</v>
      </c>
    </row>
    <row r="3388" spans="1:4" x14ac:dyDescent="0.2">
      <c r="A3388" s="5">
        <v>3327</v>
      </c>
      <c r="B3388" s="138">
        <f>'Expenditures 15-22'!D217</f>
        <v>80871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110980</v>
      </c>
      <c r="C3390" s="2" t="s">
        <v>573</v>
      </c>
      <c r="D3390" s="2" t="str">
        <f t="shared" si="51"/>
        <v>Error?</v>
      </c>
    </row>
    <row r="3391" spans="1:4" x14ac:dyDescent="0.2">
      <c r="A3391" s="5">
        <v>3330</v>
      </c>
      <c r="B3391" s="138">
        <f>'Expenditures 15-22'!K217</f>
        <v>80871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13683146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136180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476802</v>
      </c>
      <c r="C3446" s="2" t="s">
        <v>573</v>
      </c>
      <c r="D3446" s="2" t="str">
        <f t="shared" si="52"/>
        <v>Error?</v>
      </c>
    </row>
    <row r="3447" spans="1:4" x14ac:dyDescent="0.2">
      <c r="A3447" s="5">
        <v>3386</v>
      </c>
      <c r="B3447" s="138">
        <f>'Tax Sched 23'!D16</f>
        <v>233501</v>
      </c>
      <c r="C3447" s="2" t="s">
        <v>573</v>
      </c>
      <c r="D3447" s="2" t="str">
        <f t="shared" si="52"/>
        <v>Error?</v>
      </c>
    </row>
    <row r="3448" spans="1:4" x14ac:dyDescent="0.2">
      <c r="A3448" s="5">
        <v>3387</v>
      </c>
      <c r="B3448" s="138">
        <f>'Tax Sched 23'!C16</f>
        <v>243301</v>
      </c>
      <c r="D3448" s="2" t="str">
        <f t="shared" si="52"/>
        <v>Error?</v>
      </c>
    </row>
    <row r="3449" spans="1:4" x14ac:dyDescent="0.2">
      <c r="A3449" s="5">
        <v>3388</v>
      </c>
      <c r="B3449" s="138">
        <f>'Tax Sched 23'!F16</f>
        <v>236991</v>
      </c>
      <c r="C3449" s="2" t="s">
        <v>573</v>
      </c>
      <c r="D3449" s="2" t="str">
        <f t="shared" si="52"/>
        <v>Error?</v>
      </c>
    </row>
    <row r="3450" spans="1:4" x14ac:dyDescent="0.2">
      <c r="A3450" s="5">
        <v>3389</v>
      </c>
      <c r="B3450" s="138">
        <f>'Tax Sched 23'!E16</f>
        <v>480292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138</v>
      </c>
      <c r="D3567" s="2" t="str">
        <f t="shared" si="54"/>
        <v>Error?</v>
      </c>
    </row>
    <row r="3568" spans="1:4" x14ac:dyDescent="0.2">
      <c r="A3568" s="5">
        <v>3507</v>
      </c>
      <c r="B3568" s="138">
        <f>'Assets-Liab 5-6'!K41</f>
        <v>138</v>
      </c>
      <c r="C3568" s="2" t="s">
        <v>573</v>
      </c>
      <c r="D3568" s="2" t="str">
        <f t="shared" si="54"/>
        <v>Error?</v>
      </c>
    </row>
    <row r="3569" spans="1:4" x14ac:dyDescent="0.2">
      <c r="A3569" s="5">
        <v>3508</v>
      </c>
      <c r="B3569" s="138">
        <f>'Acct Summary 7-8'!K4</f>
        <v>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v>
      </c>
      <c r="C3588" s="2" t="s">
        <v>573</v>
      </c>
      <c r="D3588" s="2" t="str">
        <f t="shared" si="55"/>
        <v>Error?</v>
      </c>
    </row>
    <row r="3589" spans="1:4" x14ac:dyDescent="0.2">
      <c r="A3589" s="5">
        <v>3528</v>
      </c>
      <c r="B3589" s="138">
        <f>'Acct Summary 7-8'!K79</f>
        <v>135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335163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10187482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36558554</v>
      </c>
      <c r="C4122" s="2" t="s">
        <v>573</v>
      </c>
      <c r="D4122" s="2" t="str">
        <f t="shared" si="63"/>
        <v>Error?</v>
      </c>
    </row>
    <row r="4123" spans="1:4" x14ac:dyDescent="0.2">
      <c r="A4123" s="5">
        <v>4062</v>
      </c>
      <c r="B4123" s="138">
        <f>'Acct Summary 7-8'!D10</f>
        <v>2379882</v>
      </c>
      <c r="C4123" s="2" t="s">
        <v>573</v>
      </c>
      <c r="D4123" s="2" t="str">
        <f t="shared" si="63"/>
        <v>Error?</v>
      </c>
    </row>
    <row r="4124" spans="1:4" x14ac:dyDescent="0.2">
      <c r="A4124" s="5">
        <v>4063</v>
      </c>
      <c r="B4124" s="138">
        <f>'Acct Summary 7-8'!E10</f>
        <v>723549</v>
      </c>
      <c r="C4124" s="2" t="s">
        <v>573</v>
      </c>
      <c r="D4124" s="2" t="str">
        <f t="shared" si="63"/>
        <v>Error?</v>
      </c>
    </row>
    <row r="4125" spans="1:4" x14ac:dyDescent="0.2">
      <c r="A4125" s="5">
        <v>4064</v>
      </c>
      <c r="B4125" s="138">
        <f>'Acct Summary 7-8'!F10</f>
        <v>1038689</v>
      </c>
      <c r="C4125" s="2" t="s">
        <v>573</v>
      </c>
      <c r="D4125" s="2" t="str">
        <f t="shared" si="63"/>
        <v>Error?</v>
      </c>
    </row>
    <row r="4126" spans="1:4" x14ac:dyDescent="0.2">
      <c r="A4126" s="5">
        <v>4065</v>
      </c>
      <c r="B4126" s="138">
        <f>'Acct Summary 7-8'!G10</f>
        <v>1030275</v>
      </c>
      <c r="C4126" s="2" t="s">
        <v>573</v>
      </c>
      <c r="D4126" s="2" t="str">
        <f t="shared" si="63"/>
        <v>Error?</v>
      </c>
    </row>
    <row r="4127" spans="1:4" x14ac:dyDescent="0.2">
      <c r="A4127" s="5">
        <v>4066</v>
      </c>
      <c r="B4127" s="138">
        <f>'Acct Summary 7-8'!H10</f>
        <v>2678</v>
      </c>
      <c r="C4127" s="2" t="s">
        <v>573</v>
      </c>
      <c r="D4127" s="2" t="str">
        <f t="shared" si="63"/>
        <v>Error?</v>
      </c>
    </row>
    <row r="4128" spans="1:4" x14ac:dyDescent="0.2">
      <c r="A4128" s="5">
        <v>4067</v>
      </c>
      <c r="B4128" s="138">
        <f>'Acct Summary 7-8'!I10</f>
        <v>85065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v>
      </c>
      <c r="C4130" s="2" t="s">
        <v>573</v>
      </c>
      <c r="D4130" s="2" t="str">
        <f t="shared" si="63"/>
        <v>Error?</v>
      </c>
    </row>
    <row r="4131" spans="1:4" x14ac:dyDescent="0.2">
      <c r="A4131" s="5">
        <v>4070</v>
      </c>
      <c r="B4131" s="138">
        <f>'Acct Summary 7-8'!C18</f>
        <v>10187482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34401792</v>
      </c>
      <c r="C4136" s="2" t="s">
        <v>573</v>
      </c>
      <c r="D4136" s="2" t="str">
        <f t="shared" si="63"/>
        <v>Error?</v>
      </c>
    </row>
    <row r="4137" spans="1:4" x14ac:dyDescent="0.2">
      <c r="A4137" s="5">
        <v>4076</v>
      </c>
      <c r="B4137" s="138">
        <f>'Acct Summary 7-8'!D19</f>
        <v>2598311</v>
      </c>
      <c r="C4137" s="2" t="s">
        <v>573</v>
      </c>
      <c r="D4137" s="2" t="str">
        <f t="shared" si="63"/>
        <v>Error?</v>
      </c>
    </row>
    <row r="4138" spans="1:4" x14ac:dyDescent="0.2">
      <c r="A4138" s="5">
        <v>4077</v>
      </c>
      <c r="B4138" s="138">
        <f>'Acct Summary 7-8'!E19</f>
        <v>706225</v>
      </c>
      <c r="C4138" s="2" t="s">
        <v>573</v>
      </c>
      <c r="D4138" s="2" t="str">
        <f t="shared" si="63"/>
        <v>Error?</v>
      </c>
    </row>
    <row r="4139" spans="1:4" x14ac:dyDescent="0.2">
      <c r="A4139" s="5">
        <v>4078</v>
      </c>
      <c r="B4139" s="138">
        <f>'Acct Summary 7-8'!F19</f>
        <v>1390778</v>
      </c>
      <c r="C4139" s="2" t="s">
        <v>573</v>
      </c>
      <c r="D4139" s="2" t="str">
        <f t="shared" si="63"/>
        <v>Error?</v>
      </c>
    </row>
    <row r="4140" spans="1:4" x14ac:dyDescent="0.2">
      <c r="A4140" s="5">
        <v>4079</v>
      </c>
      <c r="B4140" s="138">
        <f>'Acct Summary 7-8'!G19</f>
        <v>938909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9895000</v>
      </c>
      <c r="C4171" s="2" t="s">
        <v>573</v>
      </c>
      <c r="D4171" s="2" t="str">
        <f t="shared" si="64"/>
        <v>Error?</v>
      </c>
    </row>
    <row r="4172" spans="1:4" x14ac:dyDescent="0.2">
      <c r="A4172" s="5">
        <v>4111</v>
      </c>
      <c r="B4172" s="138">
        <f>'Short-Term Long-Term Debt 24'!J49</f>
        <v>9622285</v>
      </c>
      <c r="C4172" s="2" t="s">
        <v>573</v>
      </c>
      <c r="D4172" s="2" t="str">
        <f t="shared" si="64"/>
        <v>Error?</v>
      </c>
    </row>
    <row r="4173" spans="1:4" x14ac:dyDescent="0.2">
      <c r="A4173" s="5">
        <v>4112</v>
      </c>
      <c r="B4173" s="138">
        <f>'Short-Term Long-Term Debt 24'!H49</f>
        <v>405000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1666.0000000000002</v>
      </c>
      <c r="C4265" s="2" t="s">
        <v>573</v>
      </c>
      <c r="D4265" s="2" t="str">
        <f t="shared" si="65"/>
        <v>Error?</v>
      </c>
      <c r="E4265" s="128"/>
    </row>
    <row r="4266" spans="1:5" x14ac:dyDescent="0.2">
      <c r="A4266" s="12">
        <v>4205</v>
      </c>
      <c r="B4266" s="138">
        <f>('FP Info 3'!F10)*100000</f>
        <v>183.39999999999998</v>
      </c>
      <c r="C4266" s="2" t="s">
        <v>573</v>
      </c>
      <c r="D4266" s="2" t="str">
        <f t="shared" si="65"/>
        <v>Error?</v>
      </c>
      <c r="E4266" s="128"/>
    </row>
    <row r="4267" spans="1:5" x14ac:dyDescent="0.2">
      <c r="A4267" s="12">
        <v>4206</v>
      </c>
      <c r="B4267" s="138">
        <f>('FP Info 3'!H10)*100000</f>
        <v>51.599999999999994</v>
      </c>
      <c r="C4267" s="2" t="s">
        <v>573</v>
      </c>
      <c r="D4267" s="2" t="str">
        <f t="shared" si="65"/>
        <v>Error?</v>
      </c>
      <c r="E4267" s="128"/>
    </row>
    <row r="4268" spans="1:5" x14ac:dyDescent="0.2">
      <c r="A4268" s="12">
        <v>4207</v>
      </c>
      <c r="B4268" s="138">
        <f>('FP Info 3'!J10)*100000</f>
        <v>1901</v>
      </c>
      <c r="C4268" s="2" t="s">
        <v>573</v>
      </c>
      <c r="D4268" s="2" t="str">
        <f t="shared" si="65"/>
        <v>Error?</v>
      </c>
    </row>
    <row r="4269" spans="1:5" x14ac:dyDescent="0.2">
      <c r="A4269" s="12">
        <v>4208</v>
      </c>
      <c r="B4269" s="138">
        <f>'FP Info 3'!J16</f>
        <v>22197400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32270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21333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3822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50705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7367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9936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1247512706</v>
      </c>
      <c r="D4995" s="2" t="str">
        <f t="shared" si="77"/>
        <v>Error?</v>
      </c>
    </row>
    <row r="4996" spans="1:4" x14ac:dyDescent="0.2">
      <c r="A4996" s="12">
        <v>4935</v>
      </c>
      <c r="B4996" s="138">
        <f>'FP Info 3'!H31</f>
        <v>86078376.714000002</v>
      </c>
      <c r="D4996" s="2" t="str">
        <f t="shared" si="77"/>
        <v>Error?</v>
      </c>
    </row>
    <row r="4997" spans="1:4" x14ac:dyDescent="0.2">
      <c r="A4997" s="12">
        <v>4936</v>
      </c>
      <c r="B4997" s="138">
        <f>'FP Info 3'!H37</f>
        <v>9895000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20416533</v>
      </c>
      <c r="D5061" s="2" t="str">
        <f t="shared" si="78"/>
        <v>Error?</v>
      </c>
    </row>
    <row r="5062" spans="1:4" x14ac:dyDescent="0.2">
      <c r="A5062" s="10">
        <v>5001</v>
      </c>
      <c r="D5062" s="2" t="str">
        <f t="shared" si="78"/>
        <v>OK</v>
      </c>
    </row>
    <row r="5063" spans="1:4" x14ac:dyDescent="0.2">
      <c r="A5063" s="5">
        <v>5002</v>
      </c>
      <c r="B5063" s="138">
        <f>'Revenues 9-14'!C7</f>
        <v>317054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20733587</v>
      </c>
      <c r="C5066" s="2" t="s">
        <v>573</v>
      </c>
      <c r="D5066" s="2" t="str">
        <f t="shared" si="78"/>
        <v>Error?</v>
      </c>
    </row>
    <row r="5067" spans="1:4" x14ac:dyDescent="0.2">
      <c r="A5067" s="5">
        <v>5006</v>
      </c>
      <c r="B5067" s="138">
        <f>'Revenues 9-14'!C14</f>
        <v>1624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1128479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1130103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19150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19150</v>
      </c>
      <c r="C5087" s="2" t="s">
        <v>573</v>
      </c>
      <c r="D5087" s="2" t="str">
        <f t="shared" si="78"/>
        <v>Error?</v>
      </c>
    </row>
    <row r="5088" spans="1:4" x14ac:dyDescent="0.2">
      <c r="A5088" s="5">
        <v>5027</v>
      </c>
      <c r="B5088" s="138">
        <f>'Revenues 9-14'!C65</f>
        <v>284246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284246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15058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231879</v>
      </c>
      <c r="C5096" s="2" t="s">
        <v>573</v>
      </c>
      <c r="D5096" s="2" t="str">
        <f t="shared" si="78"/>
        <v>Error?</v>
      </c>
    </row>
    <row r="5097" spans="1:4" x14ac:dyDescent="0.2">
      <c r="A5097" s="5">
        <v>5036</v>
      </c>
      <c r="B5097" s="138">
        <f>'Revenues 9-14'!C77</f>
        <v>16315</v>
      </c>
      <c r="D5097" s="2" t="str">
        <f t="shared" si="78"/>
        <v>Error?</v>
      </c>
    </row>
    <row r="5098" spans="1:4" x14ac:dyDescent="0.2">
      <c r="A5098" s="5">
        <v>5037</v>
      </c>
      <c r="B5098" s="138">
        <f>'Revenues 9-14'!C78</f>
        <v>4431</v>
      </c>
      <c r="D5098" s="2" t="str">
        <f t="shared" si="78"/>
        <v>Error?</v>
      </c>
    </row>
    <row r="5099" spans="1:4" x14ac:dyDescent="0.2">
      <c r="A5099" s="5">
        <v>5038</v>
      </c>
      <c r="B5099" s="138">
        <f>'Revenues 9-14'!C79</f>
        <v>266915</v>
      </c>
      <c r="D5099" s="2" t="str">
        <f t="shared" si="78"/>
        <v>Error?</v>
      </c>
    </row>
    <row r="5100" spans="1:4" x14ac:dyDescent="0.2">
      <c r="A5100" s="5">
        <v>5039</v>
      </c>
      <c r="B5100" s="138">
        <f>'Revenues 9-14'!C80</f>
        <v>24827</v>
      </c>
      <c r="D5100" s="2" t="str">
        <f t="shared" si="78"/>
        <v>Error?</v>
      </c>
    </row>
    <row r="5101" spans="1:4" x14ac:dyDescent="0.2">
      <c r="A5101" s="5">
        <v>5040</v>
      </c>
      <c r="B5101" s="138">
        <f>'Revenues 9-14'!C81</f>
        <v>28504</v>
      </c>
      <c r="D5101" s="2" t="str">
        <f t="shared" si="78"/>
        <v>Error?</v>
      </c>
    </row>
    <row r="5102" spans="1:4" x14ac:dyDescent="0.2">
      <c r="A5102" s="5">
        <v>5041</v>
      </c>
      <c r="B5102" s="138">
        <f>'Revenues 9-14'!C82</f>
        <v>340992</v>
      </c>
      <c r="C5102" s="2" t="s">
        <v>573</v>
      </c>
      <c r="D5102" s="2" t="str">
        <f t="shared" si="78"/>
        <v>Error?</v>
      </c>
    </row>
    <row r="5103" spans="1:4" x14ac:dyDescent="0.2">
      <c r="A5103" s="5">
        <v>5042</v>
      </c>
      <c r="B5103" s="138">
        <f>'Revenues 9-14'!C84</f>
        <v>2624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2624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339281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189089</v>
      </c>
      <c r="D5119" s="2" t="str">
        <f t="shared" ref="D5119:D5182" si="79">IF(ISBLANK(B5119),"OK",IF(A5119-B5119=0,"OK","Error?"))</f>
        <v>Error?</v>
      </c>
    </row>
    <row r="5120" spans="1:4" x14ac:dyDescent="0.2">
      <c r="A5120" s="5">
        <v>5059</v>
      </c>
      <c r="B5120" s="138">
        <f>'Revenues 9-14'!C108</f>
        <v>572579</v>
      </c>
      <c r="C5120" s="2" t="s">
        <v>573</v>
      </c>
      <c r="D5120" s="2" t="str">
        <f t="shared" si="79"/>
        <v>Error?</v>
      </c>
    </row>
    <row r="5121" spans="1:4" x14ac:dyDescent="0.2">
      <c r="A5121" s="5">
        <v>5060</v>
      </c>
      <c r="B5121" s="138">
        <f>'Revenues 9-14'!C109</f>
        <v>23315160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1845393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1845393</v>
      </c>
      <c r="C5132" s="2" t="s">
        <v>573</v>
      </c>
      <c r="D5132" s="2" t="str">
        <f t="shared" si="79"/>
        <v>Error?</v>
      </c>
    </row>
    <row r="5133" spans="1:4" x14ac:dyDescent="0.2">
      <c r="A5133" s="5">
        <v>5072</v>
      </c>
      <c r="B5133" s="138">
        <f>'Revenues 9-14'!C125</f>
        <v>67435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67435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33832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33832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5715</v>
      </c>
      <c r="D5167" s="2" t="str">
        <f t="shared" si="79"/>
        <v>Error?</v>
      </c>
    </row>
    <row r="5168" spans="1:4" x14ac:dyDescent="0.2">
      <c r="A5168" s="5">
        <v>5107</v>
      </c>
      <c r="B5168" s="138">
        <f>'Revenues 9-14'!C148</f>
        <v>49561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163910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2009303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280762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53708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693</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335163</v>
      </c>
      <c r="C5246" s="2" t="s">
        <v>573</v>
      </c>
      <c r="D5246" s="2" t="str">
        <f t="shared" si="80"/>
        <v>Error?</v>
      </c>
    </row>
    <row r="5247" spans="1:4" x14ac:dyDescent="0.2">
      <c r="A5247" s="5">
        <v>5186</v>
      </c>
      <c r="B5247" s="138">
        <f>'Revenues 9-14'!C200</f>
        <v>271599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271599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300414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300414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21367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21367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1046609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1046609</v>
      </c>
      <c r="C5326" s="2" t="s">
        <v>573</v>
      </c>
      <c r="D5326" s="2" t="str">
        <f t="shared" si="82"/>
        <v>Error?</v>
      </c>
    </row>
    <row r="5327" spans="1:5" x14ac:dyDescent="0.2">
      <c r="A5327" s="5">
        <v>5266</v>
      </c>
      <c r="B5327" s="138">
        <f>'Revenues 9-14'!C268</f>
        <v>26371072</v>
      </c>
      <c r="C5327" s="2" t="s">
        <v>573</v>
      </c>
      <c r="D5327" s="2" t="str">
        <f t="shared" si="82"/>
        <v>Error?</v>
      </c>
    </row>
    <row r="5328" spans="1:5" x14ac:dyDescent="0.2">
      <c r="A5328" s="5">
        <v>5267</v>
      </c>
      <c r="B5328" s="138">
        <f>'Revenues 9-14'!D5</f>
        <v>2274742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2274742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42979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42979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15462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46699</v>
      </c>
      <c r="D5354" s="2" t="str">
        <f t="shared" si="82"/>
        <v>Error?</v>
      </c>
    </row>
    <row r="5355" spans="1:4" x14ac:dyDescent="0.2">
      <c r="A5355" s="5">
        <v>5294</v>
      </c>
      <c r="B5355" s="138">
        <f>'Revenues 9-14'!D108</f>
        <v>62161</v>
      </c>
      <c r="C5355" s="2" t="s">
        <v>573</v>
      </c>
      <c r="D5355" s="2" t="str">
        <f t="shared" si="82"/>
        <v>Error?</v>
      </c>
    </row>
    <row r="5356" spans="1:4" x14ac:dyDescent="0.2">
      <c r="A5356" s="5">
        <v>5295</v>
      </c>
      <c r="B5356" s="138">
        <f>'Revenues 9-14'!D109</f>
        <v>2379882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2379882</v>
      </c>
      <c r="C5508" s="2" t="s">
        <v>573</v>
      </c>
      <c r="D5508" s="2" t="str">
        <f t="shared" si="85"/>
        <v>Error?</v>
      </c>
    </row>
    <row r="5509" spans="1:4" x14ac:dyDescent="0.2">
      <c r="A5509" s="5">
        <v>5448</v>
      </c>
      <c r="B5509" s="138">
        <f>'Revenues 9-14'!E5</f>
        <v>718340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718340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5209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5209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723549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723549</v>
      </c>
      <c r="C5552" s="2" t="s">
        <v>573</v>
      </c>
      <c r="D5552" s="2" t="str">
        <f t="shared" si="85"/>
        <v>Error?</v>
      </c>
    </row>
    <row r="5553" spans="1:4" x14ac:dyDescent="0.2">
      <c r="A5553" s="5">
        <v>5492</v>
      </c>
      <c r="B5553" s="138">
        <f>'Revenues 9-14'!F5</f>
        <v>640166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640166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13952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13952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27575</v>
      </c>
      <c r="D5586" s="2" t="str">
        <f t="shared" si="86"/>
        <v>Error?</v>
      </c>
    </row>
    <row r="5587" spans="1:4" x14ac:dyDescent="0.2">
      <c r="A5587" s="5">
        <v>5526</v>
      </c>
      <c r="B5587" s="138">
        <f>'Revenues 9-14'!F108</f>
        <v>27575</v>
      </c>
      <c r="C5587" s="2" t="s">
        <v>573</v>
      </c>
      <c r="D5587" s="2" t="str">
        <f t="shared" si="86"/>
        <v>Error?</v>
      </c>
    </row>
    <row r="5588" spans="1:4" x14ac:dyDescent="0.2">
      <c r="A5588" s="5">
        <v>5527</v>
      </c>
      <c r="B5588" s="138">
        <f>'Revenues 9-14'!F109</f>
        <v>681693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75790</v>
      </c>
      <c r="D5615" s="2" t="str">
        <f t="shared" si="86"/>
        <v>Error?</v>
      </c>
    </row>
    <row r="5616" spans="1:4" x14ac:dyDescent="0.2">
      <c r="A5616" s="10">
        <v>5555</v>
      </c>
      <c r="D5616" s="2" t="str">
        <f t="shared" si="86"/>
        <v>OK</v>
      </c>
    </row>
    <row r="5617" spans="1:5" x14ac:dyDescent="0.2">
      <c r="A5617" s="5">
        <v>5556</v>
      </c>
      <c r="B5617" s="138">
        <f>'Revenues 9-14'!F153</f>
        <v>281206</v>
      </c>
      <c r="D5617" s="2" t="str">
        <f t="shared" si="86"/>
        <v>Error?</v>
      </c>
    </row>
    <row r="5618" spans="1:5" x14ac:dyDescent="0.2">
      <c r="A5618" s="5">
        <v>5557</v>
      </c>
      <c r="B5618" s="138">
        <f>'Revenues 9-14'!F155</f>
        <v>356996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356996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356996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1038689</v>
      </c>
      <c r="C5720" s="2" t="s">
        <v>573</v>
      </c>
      <c r="D5720" s="2" t="str">
        <f t="shared" si="88"/>
        <v>Error?</v>
      </c>
    </row>
    <row r="5721" spans="1:4" x14ac:dyDescent="0.2">
      <c r="A5721" s="5">
        <v>5660</v>
      </c>
      <c r="B5721" s="138">
        <f>'Revenues 9-14'!G5</f>
        <v>413987</v>
      </c>
      <c r="D5721" s="2" t="str">
        <f t="shared" si="88"/>
        <v>Error?</v>
      </c>
    </row>
    <row r="5722" spans="1:4" x14ac:dyDescent="0.2">
      <c r="A5722" s="5">
        <v>5661</v>
      </c>
      <c r="B5722" s="138">
        <f>'Revenues 9-14'!G7</f>
        <v>0</v>
      </c>
      <c r="D5722" s="2" t="str">
        <f t="shared" si="88"/>
        <v>Error?</v>
      </c>
    </row>
    <row r="5723" spans="1:4" x14ac:dyDescent="0.2">
      <c r="A5723" s="5">
        <v>5662</v>
      </c>
      <c r="B5723" s="138">
        <f>'Revenues 9-14'!G8</f>
        <v>476802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890789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125387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125387</v>
      </c>
      <c r="C5730" s="2" t="s">
        <v>573</v>
      </c>
      <c r="D5730" s="2" t="str">
        <f t="shared" si="88"/>
        <v>Error?</v>
      </c>
    </row>
    <row r="5731" spans="1:4" x14ac:dyDescent="0.2">
      <c r="A5731" s="5">
        <v>5670</v>
      </c>
      <c r="B5731" s="138">
        <f>'Revenues 9-14'!G65</f>
        <v>14099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14099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1030275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2678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2678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2678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85065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85065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85065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v>
      </c>
      <c r="C6023" s="2" t="s">
        <v>573</v>
      </c>
      <c r="D6023" s="2" t="str">
        <f t="shared" si="93"/>
        <v>Error?</v>
      </c>
    </row>
    <row r="6024" spans="1:5" x14ac:dyDescent="0.2">
      <c r="A6024" s="5">
        <v>5963</v>
      </c>
      <c r="B6024" s="138">
        <f>'Revenues 9-14'!G109</f>
        <v>1030275</v>
      </c>
      <c r="C6024" s="2" t="s">
        <v>573</v>
      </c>
      <c r="D6024" s="2" t="str">
        <f t="shared" si="93"/>
        <v>Error?</v>
      </c>
    </row>
    <row r="6025" spans="1:5" x14ac:dyDescent="0.2">
      <c r="A6025" s="5">
        <v>5964</v>
      </c>
      <c r="B6025" s="138">
        <f>'Revenues 9-14'!H109</f>
        <v>2678</v>
      </c>
      <c r="C6025" s="2" t="s">
        <v>573</v>
      </c>
      <c r="D6025" s="2" t="str">
        <f t="shared" si="93"/>
        <v>Error?</v>
      </c>
    </row>
    <row r="6026" spans="1:5" x14ac:dyDescent="0.2">
      <c r="A6026" s="5">
        <v>5965</v>
      </c>
      <c r="B6026" s="138">
        <f>'Revenues 9-14'!I109</f>
        <v>85065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216821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31080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1287.4000000000001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2156762</v>
      </c>
      <c r="D6267" s="2" t="str">
        <f t="shared" si="96"/>
        <v>Error?</v>
      </c>
      <c r="E6267" s="2" t="s">
        <v>190</v>
      </c>
    </row>
    <row r="6268" spans="1:5" x14ac:dyDescent="0.2">
      <c r="A6268">
        <v>6207</v>
      </c>
      <c r="B6268" s="138">
        <f>'Acct Summary 7-8'!D82</f>
        <v>-218429</v>
      </c>
      <c r="D6268" s="2" t="str">
        <f t="shared" si="96"/>
        <v>Error?</v>
      </c>
      <c r="E6268" s="2" t="s">
        <v>190</v>
      </c>
    </row>
    <row r="6269" spans="1:5" x14ac:dyDescent="0.2">
      <c r="A6269">
        <v>6208</v>
      </c>
      <c r="B6269" s="138">
        <f>'Acct Summary 7-8'!E82</f>
        <v>17324</v>
      </c>
      <c r="D6269" s="2" t="str">
        <f t="shared" si="96"/>
        <v>Error?</v>
      </c>
      <c r="E6269" s="2" t="s">
        <v>190</v>
      </c>
    </row>
    <row r="6270" spans="1:5" x14ac:dyDescent="0.2">
      <c r="A6270">
        <v>6209</v>
      </c>
      <c r="B6270" s="138">
        <f>'Acct Summary 7-8'!F82</f>
        <v>-352089</v>
      </c>
      <c r="D6270" s="2" t="str">
        <f t="shared" si="96"/>
        <v>Error?</v>
      </c>
      <c r="E6270" s="2" t="s">
        <v>190</v>
      </c>
    </row>
    <row r="6271" spans="1:5" x14ac:dyDescent="0.2">
      <c r="A6271">
        <v>6210</v>
      </c>
      <c r="B6271" s="138">
        <f>'Acct Summary 7-8'!G82</f>
        <v>91366</v>
      </c>
      <c r="D6271" s="2" t="str">
        <f t="shared" ref="D6271:D6334" si="97">IF(ISBLANK(B6271),"OK",IF(A6271-B6271=0,"OK","Error?"))</f>
        <v>Error?</v>
      </c>
      <c r="E6271" s="2" t="s">
        <v>190</v>
      </c>
    </row>
    <row r="6272" spans="1:5" x14ac:dyDescent="0.2">
      <c r="A6272">
        <v>6211</v>
      </c>
      <c r="B6272" s="138">
        <f>'Acct Summary 7-8'!H82</f>
        <v>2678</v>
      </c>
      <c r="D6272" s="2" t="str">
        <f t="shared" si="97"/>
        <v>Error?</v>
      </c>
      <c r="E6272" s="2" t="s">
        <v>190</v>
      </c>
    </row>
    <row r="6273" spans="1:5" x14ac:dyDescent="0.2">
      <c r="A6273">
        <v>6212</v>
      </c>
      <c r="B6273" s="138">
        <f>'Acct Summary 7-8'!I82</f>
        <v>85065</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3</v>
      </c>
      <c r="D6275" s="2" t="str">
        <f t="shared" si="97"/>
        <v>Error?</v>
      </c>
      <c r="E6275" s="2" t="s">
        <v>190</v>
      </c>
    </row>
    <row r="6276" spans="1:5" x14ac:dyDescent="0.2">
      <c r="A6276">
        <v>6215</v>
      </c>
      <c r="B6276" s="138">
        <f>'Acct Summary 7-8'!C83</f>
        <v>0.13719694227614299</v>
      </c>
      <c r="D6276" s="2" t="str">
        <f t="shared" si="97"/>
        <v>Error?</v>
      </c>
      <c r="E6276" s="2" t="s">
        <v>190</v>
      </c>
    </row>
    <row r="6277" spans="1:5" x14ac:dyDescent="0.2">
      <c r="A6277">
        <v>6216</v>
      </c>
      <c r="B6277" s="138">
        <f>'Acct Summary 7-8'!D83</f>
        <v>-0.11619540365626473</v>
      </c>
      <c r="D6277" s="2" t="str">
        <f t="shared" si="97"/>
        <v>Error?</v>
      </c>
      <c r="E6277" s="2" t="s">
        <v>190</v>
      </c>
    </row>
    <row r="6278" spans="1:5" x14ac:dyDescent="0.2">
      <c r="A6278">
        <v>6217</v>
      </c>
      <c r="B6278" s="138">
        <f>'Acct Summary 7-8'!E83</f>
        <v>6.3524191921969828E-2</v>
      </c>
      <c r="D6278" s="2" t="str">
        <f t="shared" si="97"/>
        <v>Error?</v>
      </c>
      <c r="E6278" s="2" t="s">
        <v>190</v>
      </c>
    </row>
    <row r="6279" spans="1:5" x14ac:dyDescent="0.2">
      <c r="A6279">
        <v>6218</v>
      </c>
      <c r="B6279" s="138">
        <f>'Acct Summary 7-8'!F83</f>
        <v>-1.0634109950648456</v>
      </c>
      <c r="D6279" s="2" t="str">
        <f t="shared" si="97"/>
        <v>Error?</v>
      </c>
      <c r="E6279" s="2" t="s">
        <v>190</v>
      </c>
    </row>
    <row r="6280" spans="1:5" x14ac:dyDescent="0.2">
      <c r="A6280">
        <v>6219</v>
      </c>
      <c r="B6280" s="138">
        <f>'Acct Summary 7-8'!G83</f>
        <v>0.11720877725252241</v>
      </c>
      <c r="D6280" s="2" t="str">
        <f t="shared" si="97"/>
        <v>Error?</v>
      </c>
      <c r="E6280" s="2" t="s">
        <v>190</v>
      </c>
    </row>
    <row r="6281" spans="1:5" x14ac:dyDescent="0.2">
      <c r="A6281">
        <v>6220</v>
      </c>
      <c r="B6281" s="138">
        <f>'Acct Summary 7-8'!H83</f>
        <v>1.9815460202594212E-2</v>
      </c>
      <c r="D6281" s="2" t="str">
        <f t="shared" si="97"/>
        <v>Error?</v>
      </c>
      <c r="E6281" s="2" t="s">
        <v>190</v>
      </c>
    </row>
    <row r="6282" spans="1:5" x14ac:dyDescent="0.2">
      <c r="A6282">
        <v>6221</v>
      </c>
      <c r="B6282" s="138">
        <f>'Acct Summary 7-8'!I83</f>
        <v>1.9938944380975061E-2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2.1739130434782608E-2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44209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7748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158517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427009</v>
      </c>
      <c r="D6880" s="2" t="str">
        <f t="shared" si="106"/>
        <v>Error?</v>
      </c>
    </row>
    <row r="6881" spans="1:4" x14ac:dyDescent="0.2">
      <c r="A6881">
        <v>6820</v>
      </c>
      <c r="B6881" s="138">
        <f>'Expenditures 15-22'!K22</f>
        <v>427009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7748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896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896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3100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3100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91883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91883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95879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134430</v>
      </c>
      <c r="D6981" s="2" t="str">
        <f t="shared" si="108"/>
        <v>Error?</v>
      </c>
    </row>
    <row r="6982" spans="1:4" x14ac:dyDescent="0.2">
      <c r="A6982">
        <v>6921</v>
      </c>
      <c r="B6982" s="138">
        <f>'Expenditures 15-22'!K85</f>
        <v>134430</v>
      </c>
      <c r="D6982" s="2" t="str">
        <f t="shared" si="108"/>
        <v>Error?</v>
      </c>
    </row>
    <row r="6983" spans="1:4" x14ac:dyDescent="0.2">
      <c r="A6983">
        <v>6922</v>
      </c>
      <c r="B6983" s="138">
        <f>'Expenditures 15-22'!H86</f>
        <v>1166350</v>
      </c>
      <c r="D6983" s="2" t="str">
        <f t="shared" si="108"/>
        <v>Error?</v>
      </c>
    </row>
    <row r="6984" spans="1:4" x14ac:dyDescent="0.2">
      <c r="A6984">
        <v>6923</v>
      </c>
      <c r="B6984" s="138">
        <f>'Expenditures 15-22'!K86</f>
        <v>1166350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166766</v>
      </c>
      <c r="D6987" s="2" t="str">
        <f t="shared" si="108"/>
        <v>Error?</v>
      </c>
    </row>
    <row r="6988" spans="1:4" x14ac:dyDescent="0.2">
      <c r="A6988">
        <v>6927</v>
      </c>
      <c r="B6988" s="138">
        <f>'Expenditures 15-22'!K88</f>
        <v>166766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1467546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103627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2097</v>
      </c>
      <c r="D7079" s="2" t="str">
        <f t="shared" si="109"/>
        <v>Error?</v>
      </c>
    </row>
    <row r="7080" spans="1:4" x14ac:dyDescent="0.2">
      <c r="A7080">
        <v>7019</v>
      </c>
      <c r="B7080" s="138">
        <f>'Expenditures 15-22'!K226</f>
        <v>2097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146968</v>
      </c>
      <c r="D7263" s="2" t="str">
        <f t="shared" si="112"/>
        <v>Error?</v>
      </c>
    </row>
    <row r="7264" spans="1:4" x14ac:dyDescent="0.2">
      <c r="A7264">
        <f t="shared" si="113"/>
        <v>7203</v>
      </c>
      <c r="B7264" s="138">
        <f>'Expenditures 15-22'!D17</f>
        <v>6355</v>
      </c>
      <c r="D7264" s="2" t="str">
        <f t="shared" si="112"/>
        <v>Error?</v>
      </c>
    </row>
    <row r="7265" spans="1:5" x14ac:dyDescent="0.2">
      <c r="A7265">
        <f t="shared" si="113"/>
        <v>7204</v>
      </c>
      <c r="B7265" s="138">
        <f>'Expenditures 15-22'!E17</f>
        <v>2479</v>
      </c>
      <c r="D7265" s="2" t="str">
        <f t="shared" si="112"/>
        <v>Error?</v>
      </c>
    </row>
    <row r="7266" spans="1:5" x14ac:dyDescent="0.2">
      <c r="A7266">
        <f t="shared" si="113"/>
        <v>7205</v>
      </c>
      <c r="B7266" s="138">
        <f>'Expenditures 15-22'!F17</f>
        <v>2715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103627</v>
      </c>
      <c r="D7624" s="2" t="str">
        <f t="shared" si="124"/>
        <v>Error?</v>
      </c>
      <c r="E7624" s="2" t="s">
        <v>19</v>
      </c>
    </row>
    <row r="7625" spans="1:5" x14ac:dyDescent="0.2">
      <c r="A7625">
        <f t="shared" si="123"/>
        <v>7564</v>
      </c>
      <c r="B7625" s="138">
        <f>'Cap Outlay Deprec 26'!I17</f>
        <v>10362.700000000001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1221475.7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44209</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44209</v>
      </c>
      <c r="D7719" s="2" t="str">
        <f t="shared" si="126"/>
        <v>Error?</v>
      </c>
      <c r="E7719" s="2" t="s">
        <v>827</v>
      </c>
    </row>
    <row r="7720" spans="1:6" x14ac:dyDescent="0.2">
      <c r="A7720">
        <v>7659</v>
      </c>
      <c r="B7720" s="138">
        <f>'Rest Tax Levies-Tort Im 25'!H14</f>
        <v>317054</v>
      </c>
      <c r="D7720" s="2" t="str">
        <f t="shared" si="126"/>
        <v>Error?</v>
      </c>
      <c r="E7720" s="2" t="s">
        <v>827</v>
      </c>
    </row>
    <row r="7721" spans="1:6" x14ac:dyDescent="0.2">
      <c r="A7721">
        <v>7660</v>
      </c>
      <c r="B7721" s="138">
        <f>'Rest Tax Levies-Tort Im 25'!K14</f>
        <v>44209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768773</v>
      </c>
      <c r="D7797" s="2" t="str">
        <f t="shared" si="127"/>
        <v>Error?</v>
      </c>
      <c r="E7797" s="4" t="s">
        <v>1901</v>
      </c>
    </row>
    <row r="7798" spans="1:5" x14ac:dyDescent="0.2">
      <c r="A7798">
        <v>7737</v>
      </c>
      <c r="B7798" s="138">
        <f>'Contracts Paid in CY 29'!F141</f>
        <v>100000</v>
      </c>
      <c r="D7798" s="2" t="str">
        <f t="shared" si="127"/>
        <v>Error?</v>
      </c>
      <c r="E7798" s="4" t="s">
        <v>1901</v>
      </c>
    </row>
    <row r="7799" spans="1:5" x14ac:dyDescent="0.2">
      <c r="A7799">
        <v>7738</v>
      </c>
      <c r="B7799" s="138">
        <f>'Contracts Paid in CY 29'!G141</f>
        <v>668773</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I13" sqref="I13:L13"/>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531" t="s">
        <v>1191</v>
      </c>
      <c r="B2" s="2531"/>
      <c r="C2" s="2531"/>
      <c r="D2" s="2531"/>
      <c r="E2" s="2531"/>
      <c r="F2" s="2531"/>
      <c r="G2" s="2531"/>
      <c r="H2" s="2531"/>
      <c r="I2" s="2531"/>
      <c r="J2" s="2531"/>
      <c r="K2" s="2531"/>
      <c r="L2" s="2531"/>
    </row>
    <row r="3" spans="1:29" ht="13.5" customHeight="1" x14ac:dyDescent="0.2">
      <c r="A3" s="2562" t="s">
        <v>1190</v>
      </c>
      <c r="B3" s="2562"/>
      <c r="C3" s="2562"/>
      <c r="D3" s="2562"/>
      <c r="E3" s="2562"/>
      <c r="F3" s="2562"/>
      <c r="G3" s="2562"/>
      <c r="H3" s="2562"/>
      <c r="I3" s="2562"/>
      <c r="J3" s="2562"/>
      <c r="K3" s="2562"/>
      <c r="L3" s="2562"/>
    </row>
    <row r="4" spans="1:29" ht="13.5" customHeight="1" x14ac:dyDescent="0.2">
      <c r="A4" s="2531" t="s">
        <v>1986</v>
      </c>
      <c r="B4" s="2552"/>
      <c r="C4" s="2552"/>
      <c r="D4" s="2552"/>
      <c r="E4" s="2552"/>
      <c r="F4" s="2552"/>
      <c r="G4" s="2552"/>
      <c r="H4" s="2552"/>
      <c r="I4" s="2552"/>
      <c r="J4" s="2552"/>
      <c r="K4" s="2552"/>
      <c r="L4" s="2552"/>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1189</v>
      </c>
      <c r="B6" s="1172"/>
      <c r="C6" s="1173"/>
      <c r="D6" s="1173"/>
      <c r="E6" s="1174" t="s">
        <v>1188</v>
      </c>
      <c r="F6" s="1175"/>
      <c r="G6" s="1176" t="s">
        <v>1187</v>
      </c>
      <c r="H6" s="1173"/>
      <c r="I6" s="1173"/>
      <c r="J6" s="1173"/>
      <c r="K6" s="1173"/>
      <c r="L6" s="1177"/>
      <c r="V6" s="1170"/>
      <c r="W6" s="1170"/>
      <c r="X6" s="1170"/>
      <c r="Y6" s="1170"/>
      <c r="Z6" s="1170"/>
      <c r="AA6" s="1170"/>
      <c r="AB6" s="1170"/>
      <c r="AC6" s="1170"/>
    </row>
    <row r="7" spans="1:29" ht="16.5" customHeight="1" x14ac:dyDescent="0.2">
      <c r="A7" s="2553" t="str">
        <f>COVER!A17</f>
        <v>Fenton CHSD 100</v>
      </c>
      <c r="B7" s="2554"/>
      <c r="C7" s="2554"/>
      <c r="D7" s="2555"/>
      <c r="E7" s="2556">
        <f>COVER!A13</f>
        <v>19022100016</v>
      </c>
      <c r="F7" s="2557"/>
      <c r="G7" s="2563">
        <f>COVER!T23</f>
        <v>66003412</v>
      </c>
      <c r="H7" s="2564"/>
      <c r="I7" s="2564"/>
      <c r="J7" s="2564"/>
      <c r="K7" s="2564"/>
      <c r="L7" s="2565"/>
    </row>
    <row r="8" spans="1:29" ht="13.5" customHeight="1" x14ac:dyDescent="0.2">
      <c r="A8" s="1171" t="s">
        <v>1517</v>
      </c>
      <c r="B8" s="1172"/>
      <c r="C8" s="1173"/>
      <c r="D8" s="1173"/>
      <c r="E8" s="1178"/>
      <c r="F8" s="1177"/>
      <c r="G8" s="1179" t="s">
        <v>1186</v>
      </c>
      <c r="H8" s="1180"/>
      <c r="I8" s="1180"/>
      <c r="J8" s="1180"/>
      <c r="K8" s="1180"/>
      <c r="L8" s="1181"/>
    </row>
    <row r="9" spans="1:29" ht="13.5" customHeight="1" x14ac:dyDescent="0.2">
      <c r="A9" s="2566"/>
      <c r="B9" s="2567"/>
      <c r="C9" s="2567"/>
      <c r="D9" s="2567"/>
      <c r="E9" s="2567"/>
      <c r="F9" s="2568"/>
      <c r="G9" s="2537" t="str">
        <f>COVER!T13</f>
        <v>Mathieson, Moyski, Austin &amp; Co., LLP</v>
      </c>
      <c r="H9" s="2569"/>
      <c r="I9" s="2569"/>
      <c r="J9" s="2569"/>
      <c r="K9" s="2569"/>
      <c r="L9" s="2570"/>
    </row>
    <row r="10" spans="1:29" ht="13.5" customHeight="1" x14ac:dyDescent="0.2">
      <c r="A10" s="2543">
        <f>COVER!A38</f>
        <v>0</v>
      </c>
      <c r="B10" s="2544"/>
      <c r="C10" s="2544"/>
      <c r="D10" s="2544"/>
      <c r="E10" s="2544"/>
      <c r="F10" s="2545"/>
      <c r="G10" s="2537" t="str">
        <f>COVER!T17</f>
        <v>211 South Wheaton Ave., Suite 400</v>
      </c>
      <c r="H10" s="2538"/>
      <c r="I10" s="2538"/>
      <c r="J10" s="2538"/>
      <c r="K10" s="2538"/>
      <c r="L10" s="2539"/>
    </row>
    <row r="11" spans="1:29" ht="13.5" customHeight="1" x14ac:dyDescent="0.2">
      <c r="A11" s="1171" t="s">
        <v>1519</v>
      </c>
      <c r="B11" s="1172"/>
      <c r="C11" s="1173"/>
      <c r="D11" s="1178"/>
      <c r="E11" s="1173"/>
      <c r="F11" s="1177"/>
      <c r="G11" s="2537" t="str">
        <f>COVER!T19</f>
        <v>Wheaton</v>
      </c>
      <c r="H11" s="2538"/>
      <c r="I11" s="2538"/>
      <c r="J11" s="2538"/>
      <c r="K11" s="2538"/>
      <c r="L11" s="2539"/>
    </row>
    <row r="12" spans="1:29" ht="13.5" customHeight="1" x14ac:dyDescent="0.2">
      <c r="A12" s="2546" t="s">
        <v>1518</v>
      </c>
      <c r="B12" s="2547"/>
      <c r="C12" s="2547"/>
      <c r="D12" s="2547"/>
      <c r="E12" s="2547"/>
      <c r="F12" s="2548"/>
      <c r="G12" s="2540"/>
      <c r="H12" s="2541"/>
      <c r="I12" s="2541"/>
      <c r="J12" s="2541"/>
      <c r="K12" s="2541"/>
      <c r="L12" s="2542"/>
    </row>
    <row r="13" spans="1:29" ht="13.5" customHeight="1" x14ac:dyDescent="0.2">
      <c r="A13" s="2537"/>
      <c r="B13" s="2538"/>
      <c r="C13" s="2538"/>
      <c r="D13" s="2538"/>
      <c r="E13" s="2538"/>
      <c r="F13" s="2539"/>
      <c r="G13" s="2532" t="s">
        <v>1520</v>
      </c>
      <c r="H13" s="2533"/>
      <c r="I13" s="2549" t="str">
        <f>COVER!T25</f>
        <v>bmathieson@mmaadvisors.com</v>
      </c>
      <c r="J13" s="2550"/>
      <c r="K13" s="2550"/>
      <c r="L13" s="2551"/>
    </row>
    <row r="14" spans="1:29" ht="13.5" customHeight="1" x14ac:dyDescent="0.2">
      <c r="A14" s="2537" t="str">
        <f>COVER!A19</f>
        <v>1000 W. Green Street</v>
      </c>
      <c r="B14" s="2538"/>
      <c r="C14" s="2538"/>
      <c r="D14" s="2538"/>
      <c r="E14" s="2538"/>
      <c r="F14" s="2539"/>
      <c r="G14" s="1182" t="s">
        <v>1185</v>
      </c>
      <c r="H14" s="1180"/>
      <c r="I14" s="1180"/>
      <c r="J14" s="1180"/>
      <c r="K14" s="1180"/>
      <c r="L14" s="1181"/>
    </row>
    <row r="15" spans="1:29" ht="13.5" customHeight="1" x14ac:dyDescent="0.2">
      <c r="A15" s="2537" t="str">
        <f>COVER!A21</f>
        <v>Bensenville</v>
      </c>
      <c r="B15" s="2538"/>
      <c r="C15" s="2538"/>
      <c r="D15" s="2538"/>
      <c r="E15" s="2538"/>
      <c r="F15" s="2539"/>
      <c r="G15" s="2534" t="str">
        <f>COVER!T15</f>
        <v>Brett J. Mathieson</v>
      </c>
      <c r="H15" s="2535"/>
      <c r="I15" s="2535"/>
      <c r="J15" s="2535"/>
      <c r="K15" s="2535"/>
      <c r="L15" s="2536"/>
    </row>
    <row r="16" spans="1:29" ht="12.2" customHeight="1" x14ac:dyDescent="0.2">
      <c r="A16" s="2559">
        <f>COVER!A25</f>
        <v>60106</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1182" t="s">
        <v>1184</v>
      </c>
      <c r="H17" s="1180"/>
      <c r="I17" s="1180"/>
      <c r="J17" s="1180"/>
      <c r="K17" s="1184" t="s">
        <v>1183</v>
      </c>
      <c r="L17" s="1177"/>
      <c r="M17" s="1170"/>
    </row>
    <row r="18" spans="1:13" ht="12.2" customHeight="1" x14ac:dyDescent="0.2">
      <c r="A18" s="2543"/>
      <c r="B18" s="2544"/>
      <c r="C18" s="2544"/>
      <c r="D18" s="2544"/>
      <c r="E18" s="2544"/>
      <c r="F18" s="2545"/>
      <c r="G18" s="2553" t="str">
        <f>COVER!T21</f>
        <v>630-653-1616</v>
      </c>
      <c r="H18" s="2554"/>
      <c r="I18" s="2554"/>
      <c r="J18" s="2554"/>
      <c r="K18" s="2553" t="str">
        <f>COVER!X21</f>
        <v>630-653-1735</v>
      </c>
      <c r="L18" s="2558"/>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1169</v>
      </c>
      <c r="K20" s="1163" t="s">
        <v>1169</v>
      </c>
    </row>
    <row r="21" spans="1:13" ht="12.2" customHeight="1" x14ac:dyDescent="0.2">
      <c r="A21" s="1186" t="s">
        <v>1698</v>
      </c>
    </row>
    <row r="22" spans="1:13" ht="12.2" customHeight="1" x14ac:dyDescent="0.2">
      <c r="A22" s="1187"/>
    </row>
    <row r="23" spans="1:13" ht="12.2" customHeight="1" x14ac:dyDescent="0.2">
      <c r="A23" s="1187"/>
      <c r="B23" s="1188"/>
      <c r="C23" s="1189" t="s">
        <v>1182</v>
      </c>
    </row>
    <row r="24" spans="1:13" ht="10.15" customHeight="1" x14ac:dyDescent="0.2">
      <c r="A24" s="1187"/>
      <c r="C24" s="1189" t="s">
        <v>1181</v>
      </c>
    </row>
    <row r="25" spans="1:13" ht="9" customHeight="1" x14ac:dyDescent="0.2">
      <c r="B25" s="1190" t="s">
        <v>1169</v>
      </c>
      <c r="C25" s="1191"/>
    </row>
    <row r="26" spans="1:13" s="1185" customFormat="1" ht="12.2" customHeight="1" x14ac:dyDescent="0.2">
      <c r="B26" s="1188"/>
      <c r="C26" s="1189" t="s">
        <v>1699</v>
      </c>
    </row>
    <row r="27" spans="1:13" s="1185" customFormat="1" ht="9" customHeight="1" x14ac:dyDescent="0.2">
      <c r="B27" s="1190"/>
      <c r="C27" s="1189"/>
    </row>
    <row r="28" spans="1:13" s="1185" customFormat="1" ht="12.2" customHeight="1" x14ac:dyDescent="0.2">
      <c r="A28" s="1192"/>
      <c r="B28" s="1188"/>
      <c r="C28" s="1189" t="s">
        <v>1700</v>
      </c>
    </row>
    <row r="29" spans="1:13" s="1185" customFormat="1" ht="9" customHeight="1" x14ac:dyDescent="0.2">
      <c r="A29" s="1192"/>
      <c r="B29" s="1190"/>
      <c r="C29" s="1189"/>
    </row>
    <row r="30" spans="1:13" s="1185" customFormat="1" ht="12.2" customHeight="1" x14ac:dyDescent="0.2">
      <c r="B30" s="1188"/>
      <c r="C30" s="1189" t="s">
        <v>1562</v>
      </c>
      <c r="D30" s="1183"/>
      <c r="E30" s="1183"/>
    </row>
    <row r="31" spans="1:13" s="1185" customFormat="1" ht="9" customHeight="1" x14ac:dyDescent="0.2">
      <c r="B31" s="1190"/>
      <c r="C31" s="1189"/>
      <c r="D31" s="1183"/>
      <c r="E31" s="1183"/>
    </row>
    <row r="32" spans="1:13" s="1185" customFormat="1" ht="12.2" customHeight="1" x14ac:dyDescent="0.2">
      <c r="B32" s="1188"/>
      <c r="C32" s="1189" t="s">
        <v>1563</v>
      </c>
      <c r="D32" s="1183"/>
      <c r="E32" s="1183"/>
    </row>
    <row r="33" spans="1:8" s="1185" customFormat="1" ht="10.9" customHeight="1" x14ac:dyDescent="0.2">
      <c r="B33" s="1190"/>
      <c r="C33" s="1193" t="s">
        <v>1701</v>
      </c>
      <c r="D33" s="1183"/>
      <c r="E33" s="1183"/>
    </row>
    <row r="34" spans="1:8" ht="9" customHeight="1" x14ac:dyDescent="0.2">
      <c r="B34" s="1190"/>
      <c r="C34" s="1193"/>
    </row>
    <row r="35" spans="1:8" s="1185" customFormat="1" ht="13.5" customHeight="1" x14ac:dyDescent="0.2">
      <c r="B35" s="1188"/>
      <c r="C35" s="1189" t="s">
        <v>1564</v>
      </c>
    </row>
    <row r="36" spans="1:8" s="1185" customFormat="1" ht="10.9" customHeight="1" x14ac:dyDescent="0.2">
      <c r="B36" s="1190"/>
      <c r="C36" s="1193" t="s">
        <v>1565</v>
      </c>
    </row>
    <row r="37" spans="1:8" ht="9" customHeight="1" x14ac:dyDescent="0.2">
      <c r="B37" s="1190"/>
      <c r="C37" s="1193"/>
    </row>
    <row r="38" spans="1:8" s="1185" customFormat="1" ht="12.2" customHeight="1" x14ac:dyDescent="0.2">
      <c r="B38" s="1188"/>
      <c r="C38" s="1189" t="s">
        <v>1566</v>
      </c>
    </row>
    <row r="39" spans="1:8" ht="9" customHeight="1" x14ac:dyDescent="0.2">
      <c r="B39" s="1190"/>
      <c r="C39" s="1193"/>
    </row>
    <row r="40" spans="1:8" s="1185" customFormat="1" ht="13.5" customHeight="1" x14ac:dyDescent="0.2">
      <c r="B40" s="1188"/>
      <c r="C40" s="1189" t="s">
        <v>1567</v>
      </c>
    </row>
    <row r="41" spans="1:8" ht="9" customHeight="1" x14ac:dyDescent="0.2">
      <c r="A41" s="1194"/>
      <c r="B41" s="1190"/>
      <c r="C41" s="1193"/>
    </row>
    <row r="42" spans="1:8" s="1185" customFormat="1" ht="13.5" customHeight="1" x14ac:dyDescent="0.2">
      <c r="B42" s="1188"/>
      <c r="C42" s="1189" t="s">
        <v>1833</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1180</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1568</v>
      </c>
      <c r="D46" s="1183"/>
      <c r="E46" s="1183"/>
      <c r="F46" s="1183"/>
      <c r="G46" s="1183"/>
      <c r="H46" s="1183"/>
    </row>
    <row r="47" spans="1:8" ht="9" customHeight="1" x14ac:dyDescent="0.2"/>
    <row r="48" spans="1:8" ht="12.2" customHeight="1" x14ac:dyDescent="0.2">
      <c r="B48" s="1923"/>
      <c r="C48" s="1197" t="s">
        <v>1569</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I13" sqref="I13:L13"/>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575" t="str">
        <f>'Single Audit Cover'!A7</f>
        <v>Fenton CHSD 100</v>
      </c>
      <c r="B1" s="2552"/>
      <c r="C1" s="2552"/>
      <c r="D1" s="2552"/>
    </row>
    <row r="2" spans="1:11" s="1199" customFormat="1" ht="12.75" x14ac:dyDescent="0.2">
      <c r="A2" s="2576">
        <f>'Single Audit Cover'!E7</f>
        <v>19022100016</v>
      </c>
      <c r="B2" s="2577"/>
      <c r="C2" s="2577"/>
      <c r="D2" s="2577"/>
    </row>
    <row r="3" spans="1:11" s="1199" customFormat="1" ht="12.75" x14ac:dyDescent="0.2">
      <c r="A3" s="2575" t="s">
        <v>1513</v>
      </c>
      <c r="B3" s="2552"/>
      <c r="C3" s="2552"/>
      <c r="D3" s="2552"/>
    </row>
    <row r="4" spans="1:11" s="1199" customFormat="1" ht="4.5" customHeight="1" x14ac:dyDescent="0.2">
      <c r="A4" s="1200"/>
      <c r="B4" s="1201"/>
      <c r="C4" s="1201"/>
      <c r="D4" s="1201"/>
    </row>
    <row r="5" spans="1:11" x14ac:dyDescent="0.2">
      <c r="B5" s="1203" t="s">
        <v>1514</v>
      </c>
      <c r="C5" s="1204"/>
      <c r="D5" s="1205"/>
    </row>
    <row r="6" spans="1:11" x14ac:dyDescent="0.2">
      <c r="B6" s="1203" t="s">
        <v>1225</v>
      </c>
      <c r="C6" s="1204"/>
      <c r="D6" s="1205"/>
    </row>
    <row r="7" spans="1:11" x14ac:dyDescent="0.2">
      <c r="B7" s="1203" t="s">
        <v>1515</v>
      </c>
      <c r="C7" s="1204"/>
      <c r="D7" s="1205"/>
    </row>
    <row r="8" spans="1:11" ht="4.5" customHeight="1" x14ac:dyDescent="0.2">
      <c r="B8" s="1203"/>
      <c r="C8" s="1204"/>
      <c r="D8" s="1205"/>
    </row>
    <row r="9" spans="1:11" x14ac:dyDescent="0.2">
      <c r="B9" s="1207" t="s">
        <v>1224</v>
      </c>
      <c r="C9" s="1208"/>
      <c r="D9" s="1205"/>
    </row>
    <row r="10" spans="1:11" ht="4.5" customHeight="1" x14ac:dyDescent="0.2">
      <c r="B10" s="1207"/>
      <c r="C10" s="1208"/>
      <c r="D10" s="1205"/>
    </row>
    <row r="11" spans="1:11" x14ac:dyDescent="0.2">
      <c r="B11" s="1209"/>
      <c r="C11" s="1210">
        <v>1</v>
      </c>
      <c r="D11" s="1211" t="s">
        <v>1702</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1703</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1704</v>
      </c>
      <c r="E15" s="1212"/>
      <c r="F15" s="1212"/>
      <c r="G15" s="1212"/>
      <c r="H15" s="1212"/>
      <c r="I15" s="1212"/>
      <c r="J15" s="1212"/>
      <c r="K15" s="1212"/>
    </row>
    <row r="16" spans="1:11" ht="10.5" customHeight="1" x14ac:dyDescent="0.2">
      <c r="B16" s="1215"/>
      <c r="D16" s="1214" t="s">
        <v>1223</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1705</v>
      </c>
      <c r="E18" s="1212"/>
      <c r="F18" s="1212"/>
      <c r="G18" s="1212"/>
      <c r="H18" s="1212"/>
      <c r="I18" s="1212"/>
      <c r="J18" s="1212"/>
      <c r="K18" s="1212"/>
    </row>
    <row r="19" spans="1:11" ht="9.75" customHeight="1" x14ac:dyDescent="0.2">
      <c r="A19" s="1206"/>
      <c r="B19" s="1215"/>
      <c r="D19" s="1214" t="s">
        <v>1222</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1221</v>
      </c>
      <c r="E21" s="1212"/>
      <c r="F21" s="1212"/>
      <c r="G21" s="1212"/>
      <c r="H21" s="1212"/>
      <c r="I21" s="1212"/>
      <c r="J21" s="1212"/>
      <c r="K21" s="1212"/>
    </row>
    <row r="22" spans="1:11" ht="10.5" customHeight="1" x14ac:dyDescent="0.2">
      <c r="A22" s="1206"/>
      <c r="B22" s="1215"/>
      <c r="D22" s="1214" t="s">
        <v>1220</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1726</v>
      </c>
      <c r="E24" s="1212"/>
      <c r="F24" s="1212"/>
      <c r="G24" s="1212"/>
      <c r="H24" s="1212"/>
      <c r="I24" s="1212"/>
      <c r="J24" s="1212"/>
      <c r="K24" s="1212"/>
    </row>
    <row r="25" spans="1:11" x14ac:dyDescent="0.2">
      <c r="A25" s="1206"/>
      <c r="B25" s="1215"/>
      <c r="D25" s="1214" t="s">
        <v>1706</v>
      </c>
      <c r="E25" s="1212"/>
      <c r="F25" s="1212"/>
      <c r="G25" s="1212"/>
      <c r="H25" s="1212"/>
      <c r="I25" s="1212"/>
      <c r="J25" s="1212"/>
      <c r="K25" s="1212"/>
    </row>
    <row r="26" spans="1:11" x14ac:dyDescent="0.2">
      <c r="A26" s="1206"/>
      <c r="B26" s="1215"/>
      <c r="D26" s="1219" t="s">
        <v>1707</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1570</v>
      </c>
      <c r="E28" s="1212"/>
      <c r="F28" s="1212"/>
      <c r="G28" s="1212"/>
      <c r="H28" s="1212"/>
      <c r="I28" s="1212"/>
      <c r="J28" s="1212"/>
      <c r="K28" s="1212"/>
    </row>
    <row r="29" spans="1:11" ht="10.5" customHeight="1" x14ac:dyDescent="0.2">
      <c r="A29" s="1206"/>
      <c r="D29" s="1220" t="s">
        <v>1571</v>
      </c>
    </row>
    <row r="30" spans="1:11" ht="6" customHeight="1" x14ac:dyDescent="0.2">
      <c r="A30" s="1206"/>
      <c r="D30" s="1205"/>
    </row>
    <row r="31" spans="1:11" x14ac:dyDescent="0.2">
      <c r="A31" s="1206"/>
      <c r="B31" s="1207" t="s">
        <v>1219</v>
      </c>
      <c r="C31" s="1208"/>
      <c r="D31" s="1205"/>
    </row>
    <row r="32" spans="1:11" ht="4.5" customHeight="1" x14ac:dyDescent="0.2">
      <c r="A32" s="1206"/>
      <c r="B32" s="1207"/>
      <c r="C32" s="1208"/>
      <c r="D32" s="1205"/>
    </row>
    <row r="33" spans="1:5" x14ac:dyDescent="0.2">
      <c r="A33" s="1206"/>
      <c r="B33" s="1209"/>
      <c r="C33" s="1210">
        <v>8</v>
      </c>
      <c r="D33" s="1221" t="s">
        <v>1218</v>
      </c>
    </row>
    <row r="34" spans="1:5" ht="10.5" customHeight="1" x14ac:dyDescent="0.2">
      <c r="A34" s="1206"/>
      <c r="B34" s="1222"/>
      <c r="C34" s="1210"/>
      <c r="D34" s="1221" t="s">
        <v>1572</v>
      </c>
    </row>
    <row r="35" spans="1:5" ht="3" customHeight="1" x14ac:dyDescent="0.2">
      <c r="A35" s="1206"/>
      <c r="B35" s="1215"/>
      <c r="D35" s="1205"/>
    </row>
    <row r="36" spans="1:5" x14ac:dyDescent="0.2">
      <c r="A36" s="1206"/>
      <c r="B36" s="1209"/>
      <c r="C36" s="1210">
        <f>C33+1</f>
        <v>9</v>
      </c>
      <c r="D36" s="1221" t="s">
        <v>1217</v>
      </c>
    </row>
    <row r="37" spans="1:5" ht="10.5" customHeight="1" x14ac:dyDescent="0.2">
      <c r="A37" s="1206"/>
      <c r="B37" s="1215"/>
      <c r="D37" s="1221" t="s">
        <v>1572</v>
      </c>
    </row>
    <row r="38" spans="1:5" ht="3" customHeight="1" x14ac:dyDescent="0.2">
      <c r="A38" s="1206"/>
      <c r="B38" s="1223"/>
      <c r="C38" s="1224"/>
      <c r="D38" s="1205"/>
    </row>
    <row r="39" spans="1:5" x14ac:dyDescent="0.2">
      <c r="A39" s="1206"/>
      <c r="B39" s="1225"/>
      <c r="C39" s="1216">
        <f>C36+1</f>
        <v>10</v>
      </c>
      <c r="D39" s="1205" t="s">
        <v>1216</v>
      </c>
    </row>
    <row r="40" spans="1:5" ht="10.5" customHeight="1" x14ac:dyDescent="0.2">
      <c r="A40" s="1206"/>
      <c r="B40" s="1226"/>
      <c r="C40" s="1224"/>
      <c r="D40" s="1205" t="s">
        <v>1573</v>
      </c>
    </row>
    <row r="41" spans="1:5" ht="3" customHeight="1" x14ac:dyDescent="0.2">
      <c r="A41" s="1206"/>
      <c r="B41" s="1223"/>
      <c r="C41" s="1224"/>
      <c r="D41" s="1205"/>
    </row>
    <row r="42" spans="1:5" ht="10.5" customHeight="1" x14ac:dyDescent="0.2">
      <c r="A42" s="1206"/>
      <c r="B42" s="1225"/>
      <c r="C42" s="1216">
        <v>11</v>
      </c>
      <c r="D42" s="1227" t="s">
        <v>1574</v>
      </c>
      <c r="E42" s="312"/>
    </row>
    <row r="43" spans="1:5" ht="3" customHeight="1" x14ac:dyDescent="0.2">
      <c r="A43" s="1206"/>
      <c r="B43" s="1223"/>
      <c r="C43" s="1224"/>
      <c r="D43" s="1205"/>
    </row>
    <row r="44" spans="1:5" x14ac:dyDescent="0.2">
      <c r="A44" s="1206"/>
      <c r="B44" s="1209"/>
      <c r="C44" s="1210">
        <f>C42+1</f>
        <v>12</v>
      </c>
      <c r="D44" s="1221" t="s">
        <v>1215</v>
      </c>
    </row>
    <row r="45" spans="1:5" ht="10.5" customHeight="1" x14ac:dyDescent="0.2">
      <c r="A45" s="1206"/>
      <c r="B45" s="1222"/>
      <c r="C45" s="1210"/>
      <c r="D45" s="1221" t="s">
        <v>1214</v>
      </c>
    </row>
    <row r="46" spans="1:5" ht="10.5" customHeight="1" x14ac:dyDescent="0.2">
      <c r="A46" s="1206"/>
      <c r="B46" s="1223"/>
      <c r="C46" s="1224"/>
      <c r="D46" s="1221" t="s">
        <v>1213</v>
      </c>
    </row>
    <row r="47" spans="1:5" ht="3" customHeight="1" x14ac:dyDescent="0.2">
      <c r="A47" s="1206"/>
      <c r="B47" s="1223"/>
      <c r="C47" s="1224"/>
      <c r="D47" s="1221"/>
    </row>
    <row r="48" spans="1:5" x14ac:dyDescent="0.2">
      <c r="A48" s="1206"/>
      <c r="B48" s="1209"/>
      <c r="C48" s="1210">
        <f>C44+1</f>
        <v>13</v>
      </c>
      <c r="D48" s="1221" t="s">
        <v>1575</v>
      </c>
    </row>
    <row r="49" spans="1:4" ht="3" customHeight="1" x14ac:dyDescent="0.2">
      <c r="A49" s="1206"/>
      <c r="B49" s="1213"/>
      <c r="C49" s="1210"/>
      <c r="D49" s="1221"/>
    </row>
    <row r="50" spans="1:4" x14ac:dyDescent="0.2">
      <c r="A50" s="1206"/>
      <c r="B50" s="1209"/>
      <c r="C50" s="1210">
        <f>C48+1</f>
        <v>14</v>
      </c>
      <c r="D50" s="1221" t="s">
        <v>1212</v>
      </c>
    </row>
    <row r="51" spans="1:4" ht="3" customHeight="1" x14ac:dyDescent="0.2">
      <c r="A51" s="1206"/>
      <c r="B51" s="1213"/>
      <c r="C51" s="1210"/>
      <c r="D51" s="1221"/>
    </row>
    <row r="52" spans="1:4" x14ac:dyDescent="0.2">
      <c r="A52" s="1206"/>
      <c r="B52" s="1209"/>
      <c r="C52" s="1210">
        <f>C50+1</f>
        <v>15</v>
      </c>
      <c r="D52" s="1221" t="s">
        <v>1211</v>
      </c>
    </row>
    <row r="53" spans="1:4" ht="3" customHeight="1" x14ac:dyDescent="0.2">
      <c r="A53" s="1206"/>
      <c r="B53" s="1213"/>
      <c r="C53" s="1210"/>
      <c r="D53" s="1221"/>
    </row>
    <row r="54" spans="1:4" x14ac:dyDescent="0.2">
      <c r="A54" s="1206"/>
      <c r="B54" s="1209"/>
      <c r="C54" s="1210">
        <f>C52+1</f>
        <v>16</v>
      </c>
      <c r="D54" s="1221" t="s">
        <v>1210</v>
      </c>
    </row>
    <row r="55" spans="1:4" ht="3" customHeight="1" x14ac:dyDescent="0.2">
      <c r="A55" s="1206"/>
      <c r="B55" s="1213"/>
      <c r="C55" s="1210"/>
      <c r="D55" s="1221"/>
    </row>
    <row r="56" spans="1:4" x14ac:dyDescent="0.2">
      <c r="A56" s="1206"/>
      <c r="B56" s="1209"/>
      <c r="C56" s="1210">
        <f>C54+1</f>
        <v>17</v>
      </c>
      <c r="D56" s="1205" t="s">
        <v>1708</v>
      </c>
    </row>
    <row r="57" spans="1:4" ht="10.5" customHeight="1" x14ac:dyDescent="0.2">
      <c r="A57" s="1206"/>
      <c r="D57" s="1221" t="s">
        <v>1709</v>
      </c>
    </row>
    <row r="58" spans="1:4" x14ac:dyDescent="0.2">
      <c r="A58" s="1206"/>
      <c r="C58" s="1228"/>
      <c r="D58" s="1221" t="s">
        <v>1710</v>
      </c>
    </row>
    <row r="59" spans="1:4" ht="10.5" customHeight="1" x14ac:dyDescent="0.2">
      <c r="A59" s="1206"/>
      <c r="D59" s="1205" t="s">
        <v>1209</v>
      </c>
    </row>
    <row r="60" spans="1:4" ht="10.5" customHeight="1" x14ac:dyDescent="0.2">
      <c r="A60" s="1206"/>
      <c r="D60" s="1229" t="s">
        <v>1599</v>
      </c>
    </row>
    <row r="61" spans="1:4" ht="10.5" customHeight="1" x14ac:dyDescent="0.2">
      <c r="A61" s="1206"/>
      <c r="C61" s="1228"/>
      <c r="D61" s="1221" t="s">
        <v>1711</v>
      </c>
    </row>
    <row r="62" spans="1:4" ht="10.5" customHeight="1" x14ac:dyDescent="0.2">
      <c r="A62" s="1206"/>
      <c r="D62" s="1230" t="s">
        <v>1208</v>
      </c>
    </row>
    <row r="63" spans="1:4" ht="10.5" customHeight="1" x14ac:dyDescent="0.2">
      <c r="A63" s="1206"/>
      <c r="D63" s="1205" t="s">
        <v>1576</v>
      </c>
    </row>
    <row r="64" spans="1:4" ht="10.5" customHeight="1" x14ac:dyDescent="0.2">
      <c r="A64" s="1206"/>
      <c r="D64" s="1229" t="s">
        <v>1598</v>
      </c>
    </row>
    <row r="65" spans="1:4" x14ac:dyDescent="0.2">
      <c r="A65" s="1206"/>
      <c r="C65" s="1228"/>
      <c r="D65" s="1221" t="s">
        <v>1712</v>
      </c>
    </row>
    <row r="66" spans="1:4" ht="10.5" customHeight="1" x14ac:dyDescent="0.2">
      <c r="A66" s="1206"/>
      <c r="D66" s="1231" t="s">
        <v>1207</v>
      </c>
    </row>
    <row r="67" spans="1:4" ht="10.5" customHeight="1" x14ac:dyDescent="0.2">
      <c r="A67" s="1206"/>
      <c r="D67" s="1205" t="s">
        <v>1577</v>
      </c>
    </row>
    <row r="68" spans="1:4" ht="10.5" customHeight="1" x14ac:dyDescent="0.2">
      <c r="A68" s="1206"/>
      <c r="D68" s="1229" t="s">
        <v>1598</v>
      </c>
    </row>
    <row r="69" spans="1:4" ht="10.5" customHeight="1" x14ac:dyDescent="0.2">
      <c r="A69" s="1206"/>
      <c r="C69" s="1228"/>
      <c r="D69" s="1221" t="s">
        <v>1713</v>
      </c>
    </row>
    <row r="70" spans="1:4" x14ac:dyDescent="0.2">
      <c r="A70" s="1206"/>
      <c r="D70" s="1230" t="s">
        <v>1206</v>
      </c>
    </row>
    <row r="71" spans="1:4" ht="3" customHeight="1" x14ac:dyDescent="0.2">
      <c r="A71" s="1206"/>
      <c r="D71" s="1205"/>
    </row>
    <row r="72" spans="1:4" x14ac:dyDescent="0.2">
      <c r="A72" s="1206"/>
      <c r="B72" s="1209"/>
      <c r="C72" s="1210">
        <f>C56+1</f>
        <v>18</v>
      </c>
      <c r="D72" s="1231" t="s">
        <v>1714</v>
      </c>
    </row>
    <row r="73" spans="1:4" ht="3" customHeight="1" x14ac:dyDescent="0.2">
      <c r="A73" s="1206"/>
      <c r="B73" s="1213"/>
      <c r="C73" s="1210"/>
      <c r="D73" s="1231"/>
    </row>
    <row r="74" spans="1:4" x14ac:dyDescent="0.2">
      <c r="A74" s="1206"/>
      <c r="B74" s="1209"/>
      <c r="C74" s="1210">
        <f>C72+1</f>
        <v>19</v>
      </c>
      <c r="D74" s="1221" t="s">
        <v>1205</v>
      </c>
    </row>
    <row r="75" spans="1:4" ht="3" customHeight="1" x14ac:dyDescent="0.2">
      <c r="A75" s="1206"/>
      <c r="B75" s="1213"/>
      <c r="C75" s="1210"/>
      <c r="D75" s="1221"/>
    </row>
    <row r="76" spans="1:4" x14ac:dyDescent="0.2">
      <c r="A76" s="1206"/>
      <c r="B76" s="1209"/>
      <c r="C76" s="1210">
        <f>C74+1</f>
        <v>20</v>
      </c>
      <c r="D76" s="1232" t="s">
        <v>1715</v>
      </c>
    </row>
    <row r="77" spans="1:4" ht="3" customHeight="1" x14ac:dyDescent="0.2">
      <c r="A77" s="1206"/>
      <c r="B77" s="1213"/>
      <c r="C77" s="1210"/>
      <c r="D77" s="1232"/>
    </row>
    <row r="78" spans="1:4" x14ac:dyDescent="0.2">
      <c r="A78" s="1206"/>
      <c r="B78" s="1209"/>
      <c r="C78" s="1210">
        <f>C76+1</f>
        <v>21</v>
      </c>
      <c r="D78" s="1205" t="s">
        <v>1716</v>
      </c>
    </row>
    <row r="79" spans="1:4" ht="3" customHeight="1" x14ac:dyDescent="0.2">
      <c r="A79" s="1206"/>
      <c r="B79" s="1213"/>
      <c r="C79" s="1210"/>
      <c r="D79" s="1205"/>
    </row>
    <row r="80" spans="1:4" x14ac:dyDescent="0.2">
      <c r="A80" s="1206"/>
      <c r="B80" s="1209"/>
      <c r="C80" s="1210">
        <f>C78+1</f>
        <v>22</v>
      </c>
      <c r="D80" s="1233" t="s">
        <v>1717</v>
      </c>
    </row>
    <row r="81" spans="1:4" ht="3" customHeight="1" x14ac:dyDescent="0.2">
      <c r="A81" s="1206"/>
      <c r="B81" s="1213"/>
      <c r="C81" s="1210"/>
      <c r="D81" s="1233"/>
    </row>
    <row r="82" spans="1:4" x14ac:dyDescent="0.2">
      <c r="A82" s="1206"/>
      <c r="B82" s="1209"/>
      <c r="C82" s="1210">
        <f>C80+1</f>
        <v>23</v>
      </c>
      <c r="D82" s="1232" t="s">
        <v>1718</v>
      </c>
    </row>
    <row r="83" spans="1:4" ht="10.5" customHeight="1" x14ac:dyDescent="0.2">
      <c r="A83" s="1206"/>
      <c r="B83" s="1215"/>
      <c r="D83" s="1221" t="s">
        <v>1204</v>
      </c>
    </row>
    <row r="84" spans="1:4" ht="3" customHeight="1" x14ac:dyDescent="0.2">
      <c r="A84" s="1206"/>
      <c r="B84" s="1215"/>
      <c r="D84" s="1221"/>
    </row>
    <row r="85" spans="1:4" x14ac:dyDescent="0.2">
      <c r="A85" s="1206"/>
      <c r="B85" s="1209"/>
      <c r="C85" s="1210">
        <f>C82+1</f>
        <v>24</v>
      </c>
      <c r="D85" s="1221" t="s">
        <v>1203</v>
      </c>
    </row>
    <row r="86" spans="1:4" ht="3" customHeight="1" x14ac:dyDescent="0.2">
      <c r="A86" s="1206"/>
      <c r="B86" s="1213"/>
      <c r="C86" s="1210"/>
      <c r="D86" s="1221"/>
    </row>
    <row r="87" spans="1:4" x14ac:dyDescent="0.2">
      <c r="A87" s="1206"/>
      <c r="B87" s="1209"/>
      <c r="C87" s="1210">
        <f>C85+1</f>
        <v>25</v>
      </c>
      <c r="D87" s="1221" t="s">
        <v>1202</v>
      </c>
    </row>
    <row r="88" spans="1:4" ht="3" customHeight="1" x14ac:dyDescent="0.2">
      <c r="A88" s="1206"/>
      <c r="B88" s="1213"/>
      <c r="C88" s="1210"/>
      <c r="D88" s="1221"/>
    </row>
    <row r="89" spans="1:4" x14ac:dyDescent="0.2">
      <c r="A89" s="1206"/>
      <c r="B89" s="1209"/>
      <c r="C89" s="1210">
        <f>C87+1</f>
        <v>26</v>
      </c>
      <c r="D89" s="1221" t="s">
        <v>1201</v>
      </c>
    </row>
    <row r="90" spans="1:4" ht="3" customHeight="1" x14ac:dyDescent="0.2">
      <c r="A90" s="1206"/>
      <c r="B90" s="1213"/>
      <c r="C90" s="1210"/>
      <c r="D90" s="1221"/>
    </row>
    <row r="91" spans="1:4" x14ac:dyDescent="0.2">
      <c r="A91" s="1206"/>
      <c r="B91" s="1209"/>
      <c r="C91" s="1210">
        <f>C89+1</f>
        <v>27</v>
      </c>
      <c r="D91" s="1221" t="s">
        <v>1719</v>
      </c>
    </row>
    <row r="92" spans="1:4" x14ac:dyDescent="0.2">
      <c r="A92" s="1206"/>
      <c r="B92" s="1234"/>
      <c r="C92" s="1228"/>
      <c r="D92" s="1221" t="s">
        <v>1200</v>
      </c>
    </row>
    <row r="93" spans="1:4" ht="4.5" customHeight="1" x14ac:dyDescent="0.2">
      <c r="A93" s="1206"/>
      <c r="D93" s="1205"/>
    </row>
    <row r="94" spans="1:4" x14ac:dyDescent="0.2">
      <c r="A94" s="1206"/>
      <c r="B94" s="1207" t="s">
        <v>1578</v>
      </c>
      <c r="C94" s="1208"/>
      <c r="D94" s="1205"/>
    </row>
    <row r="95" spans="1:4" ht="4.5" customHeight="1" x14ac:dyDescent="0.2">
      <c r="A95" s="1206"/>
      <c r="B95" s="1207"/>
      <c r="C95" s="1208"/>
      <c r="D95" s="1205"/>
    </row>
    <row r="96" spans="1:4" x14ac:dyDescent="0.2">
      <c r="A96" s="1206"/>
      <c r="B96" s="1209"/>
      <c r="C96" s="1210">
        <f>C91+1</f>
        <v>28</v>
      </c>
      <c r="D96" s="1221" t="s">
        <v>1720</v>
      </c>
    </row>
    <row r="97" spans="1:4" ht="3" customHeight="1" x14ac:dyDescent="0.2">
      <c r="A97" s="1206"/>
      <c r="B97" s="1213"/>
      <c r="C97" s="1210"/>
      <c r="D97" s="1221"/>
    </row>
    <row r="98" spans="1:4" x14ac:dyDescent="0.2">
      <c r="A98" s="1206"/>
      <c r="B98" s="1209"/>
      <c r="C98" s="1210">
        <f>C96+1</f>
        <v>29</v>
      </c>
      <c r="D98" s="1235" t="s">
        <v>1721</v>
      </c>
    </row>
    <row r="99" spans="1:4" ht="3" customHeight="1" x14ac:dyDescent="0.2">
      <c r="A99" s="1206"/>
      <c r="B99" s="1213"/>
      <c r="C99" s="1210"/>
      <c r="D99" s="1235"/>
    </row>
    <row r="100" spans="1:4" x14ac:dyDescent="0.2">
      <c r="A100" s="1206"/>
      <c r="B100" s="1209"/>
      <c r="C100" s="1210">
        <f>C98+1</f>
        <v>30</v>
      </c>
      <c r="D100" s="1221" t="s">
        <v>1722</v>
      </c>
    </row>
    <row r="101" spans="1:4" ht="3" customHeight="1" x14ac:dyDescent="0.2">
      <c r="A101" s="1206"/>
      <c r="B101" s="1213"/>
      <c r="C101" s="1210"/>
      <c r="D101" s="1236"/>
    </row>
    <row r="102" spans="1:4" x14ac:dyDescent="0.2">
      <c r="A102" s="1206"/>
      <c r="B102" s="1209"/>
      <c r="C102" s="1210">
        <f>C100+1</f>
        <v>31</v>
      </c>
      <c r="D102" s="1221" t="s">
        <v>1579</v>
      </c>
    </row>
    <row r="103" spans="1:4" ht="4.5" customHeight="1" x14ac:dyDescent="0.2">
      <c r="A103" s="1206"/>
      <c r="B103" s="312"/>
      <c r="C103" s="1210"/>
      <c r="D103" s="1221"/>
    </row>
    <row r="104" spans="1:4" ht="14.1" customHeight="1" x14ac:dyDescent="0.2">
      <c r="A104" s="1206"/>
      <c r="B104" s="1237" t="s">
        <v>1199</v>
      </c>
    </row>
    <row r="105" spans="1:4" ht="4.5" customHeight="1" x14ac:dyDescent="0.2">
      <c r="A105" s="1206"/>
      <c r="B105" s="1237"/>
    </row>
    <row r="106" spans="1:4" x14ac:dyDescent="0.2">
      <c r="A106" s="1206"/>
      <c r="B106" s="1209"/>
      <c r="C106" s="1210">
        <f>C102+1</f>
        <v>32</v>
      </c>
      <c r="D106" s="1205" t="s">
        <v>1580</v>
      </c>
    </row>
    <row r="107" spans="1:4" ht="3" customHeight="1" x14ac:dyDescent="0.2">
      <c r="A107" s="1206"/>
      <c r="B107" s="1213"/>
      <c r="C107" s="1210"/>
      <c r="D107" s="1205"/>
    </row>
    <row r="108" spans="1:4" x14ac:dyDescent="0.2">
      <c r="A108" s="1206"/>
      <c r="B108" s="1209"/>
      <c r="C108" s="1210">
        <v>33</v>
      </c>
      <c r="D108" s="1205" t="s">
        <v>1723</v>
      </c>
    </row>
    <row r="109" spans="1:4" ht="3" customHeight="1" x14ac:dyDescent="0.2">
      <c r="A109" s="1206"/>
      <c r="B109" s="1213"/>
      <c r="C109" s="1210"/>
      <c r="D109" s="1205"/>
    </row>
    <row r="110" spans="1:4" x14ac:dyDescent="0.2">
      <c r="A110" s="1206"/>
      <c r="B110" s="1209"/>
      <c r="C110" s="1210">
        <f>C108+1</f>
        <v>34</v>
      </c>
      <c r="D110" s="1205" t="s">
        <v>1198</v>
      </c>
    </row>
    <row r="111" spans="1:4" ht="3" customHeight="1" x14ac:dyDescent="0.2">
      <c r="A111" s="1206"/>
      <c r="B111" s="1213"/>
      <c r="C111" s="1210"/>
      <c r="D111" s="1205"/>
    </row>
    <row r="112" spans="1:4" x14ac:dyDescent="0.2">
      <c r="A112" s="1206"/>
      <c r="B112" s="1209"/>
      <c r="C112" s="1210">
        <f>C110+1</f>
        <v>35</v>
      </c>
      <c r="D112" s="1205" t="s">
        <v>1197</v>
      </c>
    </row>
    <row r="113" spans="1:4" ht="11.25" customHeight="1" x14ac:dyDescent="0.2">
      <c r="A113" s="1206"/>
      <c r="B113" s="1238"/>
      <c r="C113" s="1210"/>
      <c r="D113" s="1239" t="s">
        <v>1196</v>
      </c>
    </row>
    <row r="114" spans="1:4" ht="3" customHeight="1" x14ac:dyDescent="0.2">
      <c r="A114" s="1206"/>
      <c r="B114" s="1240"/>
      <c r="C114" s="1210"/>
      <c r="D114" s="1239"/>
    </row>
    <row r="115" spans="1:4" x14ac:dyDescent="0.2">
      <c r="A115" s="1206"/>
      <c r="B115" s="1209"/>
      <c r="C115" s="1210">
        <f>C112+1</f>
        <v>36</v>
      </c>
      <c r="D115" s="1221" t="s">
        <v>1195</v>
      </c>
    </row>
    <row r="116" spans="1:4" ht="3" customHeight="1" x14ac:dyDescent="0.2">
      <c r="A116" s="1206"/>
      <c r="B116" s="1213"/>
      <c r="C116" s="1210"/>
      <c r="D116" s="1221"/>
    </row>
    <row r="117" spans="1:4" x14ac:dyDescent="0.2">
      <c r="A117" s="1206"/>
      <c r="B117" s="1209"/>
      <c r="C117" s="1210">
        <f>C115+1</f>
        <v>37</v>
      </c>
      <c r="D117" s="1221" t="s">
        <v>1724</v>
      </c>
    </row>
    <row r="118" spans="1:4" ht="3" customHeight="1" x14ac:dyDescent="0.2">
      <c r="A118" s="1206"/>
      <c r="B118" s="1213"/>
      <c r="C118" s="1210"/>
      <c r="D118" s="1221"/>
    </row>
    <row r="119" spans="1:4" x14ac:dyDescent="0.2">
      <c r="A119" s="1206"/>
      <c r="B119" s="1209"/>
      <c r="C119" s="1210">
        <f>C117+1</f>
        <v>38</v>
      </c>
      <c r="D119" s="1221" t="s">
        <v>1725</v>
      </c>
    </row>
    <row r="120" spans="1:4" ht="10.5" customHeight="1" x14ac:dyDescent="0.2">
      <c r="A120" s="1206"/>
      <c r="B120" s="1234"/>
      <c r="C120" s="1210"/>
      <c r="D120" s="1221" t="s">
        <v>1194</v>
      </c>
    </row>
    <row r="121" spans="1:4" ht="10.5" customHeight="1" x14ac:dyDescent="0.2">
      <c r="A121" s="1206"/>
      <c r="B121" s="1234"/>
      <c r="C121" s="1210"/>
      <c r="D121" s="1221" t="s">
        <v>1193</v>
      </c>
    </row>
    <row r="122" spans="1:4" ht="3" customHeight="1" x14ac:dyDescent="0.2">
      <c r="A122" s="1206"/>
      <c r="B122" s="1234"/>
      <c r="C122" s="1210"/>
      <c r="D122" s="1221"/>
    </row>
    <row r="123" spans="1:4" x14ac:dyDescent="0.2">
      <c r="A123" s="1206"/>
      <c r="B123" s="1209"/>
      <c r="C123" s="1210">
        <f>C119+1</f>
        <v>39</v>
      </c>
      <c r="D123" s="1231" t="s">
        <v>1834</v>
      </c>
    </row>
    <row r="124" spans="1:4" x14ac:dyDescent="0.2">
      <c r="A124" s="1206"/>
      <c r="B124" s="312"/>
      <c r="C124" s="1210"/>
      <c r="D124" s="1221" t="s">
        <v>1192</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I13" sqref="I13:L13"/>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579" t="str">
        <f>'Single Audit Cover'!A7</f>
        <v>Fenton CHSD 100</v>
      </c>
      <c r="B1" s="2579"/>
      <c r="C1" s="2579"/>
      <c r="D1" s="2579"/>
      <c r="E1" s="2579"/>
    </row>
    <row r="2" spans="1:5" x14ac:dyDescent="0.2">
      <c r="A2" s="2580">
        <f>'Single Audit Cover'!E7</f>
        <v>19022100016</v>
      </c>
      <c r="B2" s="2580"/>
      <c r="C2" s="2580"/>
      <c r="D2" s="2580"/>
      <c r="E2" s="2580"/>
    </row>
    <row r="3" spans="1:5" ht="4.5" customHeight="1" x14ac:dyDescent="0.2"/>
    <row r="4" spans="1:5" x14ac:dyDescent="0.2">
      <c r="A4" s="2579" t="s">
        <v>1245</v>
      </c>
      <c r="B4" s="2579"/>
      <c r="C4" s="2579"/>
      <c r="D4" s="2579"/>
      <c r="E4" s="2579"/>
    </row>
    <row r="5" spans="1:5" x14ac:dyDescent="0.2">
      <c r="A5" s="2582" t="str">
        <f>'Single Audit Cover'!A4</f>
        <v>Year Ending June 30, 2019</v>
      </c>
      <c r="B5" s="2582"/>
      <c r="C5" s="2582"/>
      <c r="D5" s="2582"/>
      <c r="E5" s="2582"/>
    </row>
    <row r="6" spans="1:5" x14ac:dyDescent="0.2">
      <c r="A6" s="2579" t="s">
        <v>1244</v>
      </c>
      <c r="B6" s="2579"/>
      <c r="C6" s="2579"/>
      <c r="D6" s="2579"/>
      <c r="E6" s="2579"/>
    </row>
    <row r="8" spans="1:5" x14ac:dyDescent="0.2">
      <c r="A8" s="1244" t="s">
        <v>1243</v>
      </c>
    </row>
    <row r="10" spans="1:5" x14ac:dyDescent="0.2">
      <c r="A10" s="1245" t="s">
        <v>1242</v>
      </c>
      <c r="B10" s="1246" t="s">
        <v>1241</v>
      </c>
      <c r="C10" s="1246"/>
      <c r="D10" s="1247">
        <f>SUM('Acct Summary 7-8'!C7:K7)</f>
        <v>1046609</v>
      </c>
    </row>
    <row r="11" spans="1:5" ht="18" customHeight="1" x14ac:dyDescent="0.2">
      <c r="A11" s="1245" t="s">
        <v>1240</v>
      </c>
      <c r="B11" s="1246"/>
      <c r="C11" s="1246"/>
    </row>
    <row r="12" spans="1:5" x14ac:dyDescent="0.2">
      <c r="A12" s="1245" t="s">
        <v>1239</v>
      </c>
      <c r="B12" s="1246" t="s">
        <v>1238</v>
      </c>
      <c r="C12" s="1246"/>
      <c r="D12" s="1248">
        <f>SUM('Revenues 9-14'!C112:D112,'Revenues 9-14'!F112:G112)</f>
        <v>0</v>
      </c>
    </row>
    <row r="13" spans="1:5" x14ac:dyDescent="0.2">
      <c r="A13" s="1245" t="s">
        <v>1237</v>
      </c>
      <c r="B13" s="1246"/>
      <c r="C13" s="1246"/>
    </row>
    <row r="14" spans="1:5" x14ac:dyDescent="0.2">
      <c r="A14" s="1245" t="s">
        <v>1727</v>
      </c>
      <c r="B14" s="1246"/>
      <c r="C14" s="1246"/>
      <c r="D14" s="1248">
        <f>'ICR Computation 30'!E11</f>
        <v>31080</v>
      </c>
    </row>
    <row r="15" spans="1:5" x14ac:dyDescent="0.2">
      <c r="A15" s="1245"/>
      <c r="B15" s="1246"/>
      <c r="C15" s="1246"/>
    </row>
    <row r="16" spans="1:5" x14ac:dyDescent="0.2">
      <c r="A16" s="1245" t="s">
        <v>1841</v>
      </c>
      <c r="B16" s="1246"/>
      <c r="C16" s="1246"/>
    </row>
    <row r="17" spans="1:4" x14ac:dyDescent="0.2">
      <c r="A17" s="1245" t="s">
        <v>2058</v>
      </c>
      <c r="B17" s="1246" t="s">
        <v>1236</v>
      </c>
      <c r="C17" s="1246"/>
      <c r="D17" s="1248">
        <f>-SUM('Revenues 9-14'!C264:D264,'Revenues 9-14'!F264:G264)</f>
        <v>-21333</v>
      </c>
    </row>
    <row r="19" spans="1:4" ht="13.5" thickBot="1" x14ac:dyDescent="0.25">
      <c r="A19" s="1249" t="s">
        <v>1235</v>
      </c>
      <c r="D19" s="1250">
        <f>SUM(D10:D17)</f>
        <v>1056356</v>
      </c>
    </row>
    <row r="20" spans="1:4" ht="21.75" customHeight="1" thickTop="1" x14ac:dyDescent="0.2"/>
    <row r="21" spans="1:4" x14ac:dyDescent="0.2">
      <c r="A21" s="1244" t="s">
        <v>1234</v>
      </c>
    </row>
    <row r="22" spans="1:4" ht="8.25" customHeight="1" x14ac:dyDescent="0.2"/>
    <row r="23" spans="1:4" x14ac:dyDescent="0.2">
      <c r="A23" s="1251" t="s">
        <v>1228</v>
      </c>
    </row>
    <row r="24" spans="1:4" x14ac:dyDescent="0.2">
      <c r="A24" s="2581"/>
      <c r="B24" s="2581"/>
      <c r="D24" s="1252"/>
    </row>
    <row r="25" spans="1:4" x14ac:dyDescent="0.2">
      <c r="A25" s="2578"/>
      <c r="B25" s="2578"/>
      <c r="D25" s="1252"/>
    </row>
    <row r="26" spans="1:4" x14ac:dyDescent="0.2">
      <c r="A26" s="2578"/>
      <c r="B26" s="2578"/>
      <c r="D26" s="1252"/>
    </row>
    <row r="27" spans="1:4" x14ac:dyDescent="0.2">
      <c r="A27" s="2578"/>
      <c r="B27" s="2578"/>
      <c r="D27" s="1252"/>
    </row>
    <row r="28" spans="1:4" x14ac:dyDescent="0.2">
      <c r="A28" s="2578"/>
      <c r="B28" s="2578"/>
      <c r="D28" s="1252"/>
    </row>
    <row r="29" spans="1:4" x14ac:dyDescent="0.2">
      <c r="A29" s="2578"/>
      <c r="B29" s="2578"/>
      <c r="D29" s="1252"/>
    </row>
    <row r="30" spans="1:4" x14ac:dyDescent="0.2">
      <c r="A30" s="2578"/>
      <c r="B30" s="2578"/>
      <c r="D30" s="1252"/>
    </row>
    <row r="32" spans="1:4" x14ac:dyDescent="0.2">
      <c r="A32" s="1244" t="s">
        <v>1233</v>
      </c>
      <c r="D32" s="1247">
        <f>SUM(D19:D30)</f>
        <v>1056356</v>
      </c>
    </row>
    <row r="33" spans="1:4" x14ac:dyDescent="0.2">
      <c r="D33" s="1253"/>
    </row>
    <row r="34" spans="1:4" x14ac:dyDescent="0.2">
      <c r="A34" s="317" t="s">
        <v>1232</v>
      </c>
    </row>
    <row r="35" spans="1:4" x14ac:dyDescent="0.2">
      <c r="A35" s="317" t="s">
        <v>1231</v>
      </c>
      <c r="B35" s="1242" t="s">
        <v>1230</v>
      </c>
      <c r="D35" s="1254">
        <v>1056356</v>
      </c>
    </row>
    <row r="37" spans="1:4" x14ac:dyDescent="0.2">
      <c r="A37" s="1244" t="s">
        <v>1229</v>
      </c>
    </row>
    <row r="39" spans="1:4" ht="13.35" customHeight="1" x14ac:dyDescent="0.2">
      <c r="A39" s="1251" t="s">
        <v>1228</v>
      </c>
    </row>
    <row r="40" spans="1:4" x14ac:dyDescent="0.2">
      <c r="A40" s="2578"/>
      <c r="B40" s="2578"/>
      <c r="D40" s="1252"/>
    </row>
    <row r="41" spans="1:4" x14ac:dyDescent="0.2">
      <c r="A41" s="2578"/>
      <c r="B41" s="2578"/>
      <c r="D41" s="1255"/>
    </row>
    <row r="42" spans="1:4" x14ac:dyDescent="0.2">
      <c r="A42" s="2578"/>
      <c r="B42" s="2578"/>
      <c r="D42" s="1255"/>
    </row>
    <row r="43" spans="1:4" x14ac:dyDescent="0.2">
      <c r="A43" s="2578"/>
      <c r="B43" s="2578"/>
      <c r="D43" s="1255"/>
    </row>
    <row r="44" spans="1:4" x14ac:dyDescent="0.2">
      <c r="A44" s="2578"/>
      <c r="B44" s="2578"/>
      <c r="D44" s="1255"/>
    </row>
    <row r="45" spans="1:4" x14ac:dyDescent="0.2">
      <c r="A45" s="2578"/>
      <c r="B45" s="2578"/>
      <c r="D45" s="1255"/>
    </row>
    <row r="47" spans="1:4" x14ac:dyDescent="0.2">
      <c r="B47" s="1256" t="s">
        <v>1227</v>
      </c>
      <c r="C47" s="1256"/>
      <c r="D47" s="1257">
        <f>SUM(D35:D45)</f>
        <v>1056356</v>
      </c>
    </row>
    <row r="49" spans="2:4" x14ac:dyDescent="0.2">
      <c r="B49" s="1256" t="s">
        <v>1226</v>
      </c>
      <c r="C49" s="1256"/>
      <c r="D49" s="125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948F-266C-4E18-8D85-A4D864BF3F2B}">
  <dimension ref="A1:Q104"/>
  <sheetViews>
    <sheetView view="pageBreakPreview" topLeftCell="A49" zoomScale="60" zoomScaleNormal="110" workbookViewId="0">
      <selection activeCell="I13" sqref="I13:L13"/>
    </sheetView>
  </sheetViews>
  <sheetFormatPr defaultColWidth="8.42578125" defaultRowHeight="10.5" x14ac:dyDescent="0.15"/>
  <cols>
    <col min="1" max="1" width="17.28515625" style="1959" customWidth="1"/>
    <col min="2" max="2" width="4.140625" style="1959" customWidth="1"/>
    <col min="3" max="3" width="9.28515625" style="1959" customWidth="1"/>
    <col min="4" max="4" width="7.5703125" style="1959" customWidth="1"/>
    <col min="5" max="5" width="11.5703125" style="1959" bestFit="1" customWidth="1"/>
    <col min="6" max="6" width="10" style="1959" bestFit="1" customWidth="1"/>
    <col min="7" max="7" width="11" style="1959" customWidth="1"/>
    <col min="8" max="8" width="11.140625" style="1959" bestFit="1" customWidth="1"/>
    <col min="9" max="9" width="11.5703125" style="1959" hidden="1" customWidth="1"/>
    <col min="10" max="10" width="11.42578125" style="1959" customWidth="1"/>
    <col min="11" max="11" width="11.7109375" style="1959" hidden="1" customWidth="1"/>
    <col min="12" max="12" width="10.140625" style="1959" customWidth="1"/>
    <col min="13" max="13" width="11.28515625" style="1959" bestFit="1" customWidth="1"/>
    <col min="14" max="14" width="8.85546875" style="2090" bestFit="1" customWidth="1"/>
    <col min="15" max="15" width="8.42578125" style="1958"/>
    <col min="16" max="256" width="8.42578125" style="1959"/>
    <col min="257" max="257" width="17.28515625" style="1959" customWidth="1"/>
    <col min="258" max="258" width="4.140625" style="1959" customWidth="1"/>
    <col min="259" max="259" width="9.28515625" style="1959" customWidth="1"/>
    <col min="260" max="260" width="7.5703125" style="1959" customWidth="1"/>
    <col min="261" max="261" width="11.5703125" style="1959" bestFit="1" customWidth="1"/>
    <col min="262" max="262" width="10" style="1959" bestFit="1" customWidth="1"/>
    <col min="263" max="263" width="11" style="1959" customWidth="1"/>
    <col min="264" max="264" width="11.140625" style="1959" bestFit="1" customWidth="1"/>
    <col min="265" max="265" width="0" style="1959" hidden="1" customWidth="1"/>
    <col min="266" max="266" width="11.42578125" style="1959" customWidth="1"/>
    <col min="267" max="267" width="0" style="1959" hidden="1" customWidth="1"/>
    <col min="268" max="268" width="10.140625" style="1959" customWidth="1"/>
    <col min="269" max="269" width="11.28515625" style="1959" bestFit="1" customWidth="1"/>
    <col min="270" max="270" width="8.85546875" style="1959" bestFit="1" customWidth="1"/>
    <col min="271" max="512" width="8.42578125" style="1959"/>
    <col min="513" max="513" width="17.28515625" style="1959" customWidth="1"/>
    <col min="514" max="514" width="4.140625" style="1959" customWidth="1"/>
    <col min="515" max="515" width="9.28515625" style="1959" customWidth="1"/>
    <col min="516" max="516" width="7.5703125" style="1959" customWidth="1"/>
    <col min="517" max="517" width="11.5703125" style="1959" bestFit="1" customWidth="1"/>
    <col min="518" max="518" width="10" style="1959" bestFit="1" customWidth="1"/>
    <col min="519" max="519" width="11" style="1959" customWidth="1"/>
    <col min="520" max="520" width="11.140625" style="1959" bestFit="1" customWidth="1"/>
    <col min="521" max="521" width="0" style="1959" hidden="1" customWidth="1"/>
    <col min="522" max="522" width="11.42578125" style="1959" customWidth="1"/>
    <col min="523" max="523" width="0" style="1959" hidden="1" customWidth="1"/>
    <col min="524" max="524" width="10.140625" style="1959" customWidth="1"/>
    <col min="525" max="525" width="11.28515625" style="1959" bestFit="1" customWidth="1"/>
    <col min="526" max="526" width="8.85546875" style="1959" bestFit="1" customWidth="1"/>
    <col min="527" max="768" width="8.42578125" style="1959"/>
    <col min="769" max="769" width="17.28515625" style="1959" customWidth="1"/>
    <col min="770" max="770" width="4.140625" style="1959" customWidth="1"/>
    <col min="771" max="771" width="9.28515625" style="1959" customWidth="1"/>
    <col min="772" max="772" width="7.5703125" style="1959" customWidth="1"/>
    <col min="773" max="773" width="11.5703125" style="1959" bestFit="1" customWidth="1"/>
    <col min="774" max="774" width="10" style="1959" bestFit="1" customWidth="1"/>
    <col min="775" max="775" width="11" style="1959" customWidth="1"/>
    <col min="776" max="776" width="11.140625" style="1959" bestFit="1" customWidth="1"/>
    <col min="777" max="777" width="0" style="1959" hidden="1" customWidth="1"/>
    <col min="778" max="778" width="11.42578125" style="1959" customWidth="1"/>
    <col min="779" max="779" width="0" style="1959" hidden="1" customWidth="1"/>
    <col min="780" max="780" width="10.140625" style="1959" customWidth="1"/>
    <col min="781" max="781" width="11.28515625" style="1959" bestFit="1" customWidth="1"/>
    <col min="782" max="782" width="8.85546875" style="1959" bestFit="1" customWidth="1"/>
    <col min="783" max="1024" width="8.42578125" style="1959"/>
    <col min="1025" max="1025" width="17.28515625" style="1959" customWidth="1"/>
    <col min="1026" max="1026" width="4.140625" style="1959" customWidth="1"/>
    <col min="1027" max="1027" width="9.28515625" style="1959" customWidth="1"/>
    <col min="1028" max="1028" width="7.5703125" style="1959" customWidth="1"/>
    <col min="1029" max="1029" width="11.5703125" style="1959" bestFit="1" customWidth="1"/>
    <col min="1030" max="1030" width="10" style="1959" bestFit="1" customWidth="1"/>
    <col min="1031" max="1031" width="11" style="1959" customWidth="1"/>
    <col min="1032" max="1032" width="11.140625" style="1959" bestFit="1" customWidth="1"/>
    <col min="1033" max="1033" width="0" style="1959" hidden="1" customWidth="1"/>
    <col min="1034" max="1034" width="11.42578125" style="1959" customWidth="1"/>
    <col min="1035" max="1035" width="0" style="1959" hidden="1" customWidth="1"/>
    <col min="1036" max="1036" width="10.140625" style="1959" customWidth="1"/>
    <col min="1037" max="1037" width="11.28515625" style="1959" bestFit="1" customWidth="1"/>
    <col min="1038" max="1038" width="8.85546875" style="1959" bestFit="1" customWidth="1"/>
    <col min="1039" max="1280" width="8.42578125" style="1959"/>
    <col min="1281" max="1281" width="17.28515625" style="1959" customWidth="1"/>
    <col min="1282" max="1282" width="4.140625" style="1959" customWidth="1"/>
    <col min="1283" max="1283" width="9.28515625" style="1959" customWidth="1"/>
    <col min="1284" max="1284" width="7.5703125" style="1959" customWidth="1"/>
    <col min="1285" max="1285" width="11.5703125" style="1959" bestFit="1" customWidth="1"/>
    <col min="1286" max="1286" width="10" style="1959" bestFit="1" customWidth="1"/>
    <col min="1287" max="1287" width="11" style="1959" customWidth="1"/>
    <col min="1288" max="1288" width="11.140625" style="1959" bestFit="1" customWidth="1"/>
    <col min="1289" max="1289" width="0" style="1959" hidden="1" customWidth="1"/>
    <col min="1290" max="1290" width="11.42578125" style="1959" customWidth="1"/>
    <col min="1291" max="1291" width="0" style="1959" hidden="1" customWidth="1"/>
    <col min="1292" max="1292" width="10.140625" style="1959" customWidth="1"/>
    <col min="1293" max="1293" width="11.28515625" style="1959" bestFit="1" customWidth="1"/>
    <col min="1294" max="1294" width="8.85546875" style="1959" bestFit="1" customWidth="1"/>
    <col min="1295" max="1536" width="8.42578125" style="1959"/>
    <col min="1537" max="1537" width="17.28515625" style="1959" customWidth="1"/>
    <col min="1538" max="1538" width="4.140625" style="1959" customWidth="1"/>
    <col min="1539" max="1539" width="9.28515625" style="1959" customWidth="1"/>
    <col min="1540" max="1540" width="7.5703125" style="1959" customWidth="1"/>
    <col min="1541" max="1541" width="11.5703125" style="1959" bestFit="1" customWidth="1"/>
    <col min="1542" max="1542" width="10" style="1959" bestFit="1" customWidth="1"/>
    <col min="1543" max="1543" width="11" style="1959" customWidth="1"/>
    <col min="1544" max="1544" width="11.140625" style="1959" bestFit="1" customWidth="1"/>
    <col min="1545" max="1545" width="0" style="1959" hidden="1" customWidth="1"/>
    <col min="1546" max="1546" width="11.42578125" style="1959" customWidth="1"/>
    <col min="1547" max="1547" width="0" style="1959" hidden="1" customWidth="1"/>
    <col min="1548" max="1548" width="10.140625" style="1959" customWidth="1"/>
    <col min="1549" max="1549" width="11.28515625" style="1959" bestFit="1" customWidth="1"/>
    <col min="1550" max="1550" width="8.85546875" style="1959" bestFit="1" customWidth="1"/>
    <col min="1551" max="1792" width="8.42578125" style="1959"/>
    <col min="1793" max="1793" width="17.28515625" style="1959" customWidth="1"/>
    <col min="1794" max="1794" width="4.140625" style="1959" customWidth="1"/>
    <col min="1795" max="1795" width="9.28515625" style="1959" customWidth="1"/>
    <col min="1796" max="1796" width="7.5703125" style="1959" customWidth="1"/>
    <col min="1797" max="1797" width="11.5703125" style="1959" bestFit="1" customWidth="1"/>
    <col min="1798" max="1798" width="10" style="1959" bestFit="1" customWidth="1"/>
    <col min="1799" max="1799" width="11" style="1959" customWidth="1"/>
    <col min="1800" max="1800" width="11.140625" style="1959" bestFit="1" customWidth="1"/>
    <col min="1801" max="1801" width="0" style="1959" hidden="1" customWidth="1"/>
    <col min="1802" max="1802" width="11.42578125" style="1959" customWidth="1"/>
    <col min="1803" max="1803" width="0" style="1959" hidden="1" customWidth="1"/>
    <col min="1804" max="1804" width="10.140625" style="1959" customWidth="1"/>
    <col min="1805" max="1805" width="11.28515625" style="1959" bestFit="1" customWidth="1"/>
    <col min="1806" max="1806" width="8.85546875" style="1959" bestFit="1" customWidth="1"/>
    <col min="1807" max="2048" width="8.42578125" style="1959"/>
    <col min="2049" max="2049" width="17.28515625" style="1959" customWidth="1"/>
    <col min="2050" max="2050" width="4.140625" style="1959" customWidth="1"/>
    <col min="2051" max="2051" width="9.28515625" style="1959" customWidth="1"/>
    <col min="2052" max="2052" width="7.5703125" style="1959" customWidth="1"/>
    <col min="2053" max="2053" width="11.5703125" style="1959" bestFit="1" customWidth="1"/>
    <col min="2054" max="2054" width="10" style="1959" bestFit="1" customWidth="1"/>
    <col min="2055" max="2055" width="11" style="1959" customWidth="1"/>
    <col min="2056" max="2056" width="11.140625" style="1959" bestFit="1" customWidth="1"/>
    <col min="2057" max="2057" width="0" style="1959" hidden="1" customWidth="1"/>
    <col min="2058" max="2058" width="11.42578125" style="1959" customWidth="1"/>
    <col min="2059" max="2059" width="0" style="1959" hidden="1" customWidth="1"/>
    <col min="2060" max="2060" width="10.140625" style="1959" customWidth="1"/>
    <col min="2061" max="2061" width="11.28515625" style="1959" bestFit="1" customWidth="1"/>
    <col min="2062" max="2062" width="8.85546875" style="1959" bestFit="1" customWidth="1"/>
    <col min="2063" max="2304" width="8.42578125" style="1959"/>
    <col min="2305" max="2305" width="17.28515625" style="1959" customWidth="1"/>
    <col min="2306" max="2306" width="4.140625" style="1959" customWidth="1"/>
    <col min="2307" max="2307" width="9.28515625" style="1959" customWidth="1"/>
    <col min="2308" max="2308" width="7.5703125" style="1959" customWidth="1"/>
    <col min="2309" max="2309" width="11.5703125" style="1959" bestFit="1" customWidth="1"/>
    <col min="2310" max="2310" width="10" style="1959" bestFit="1" customWidth="1"/>
    <col min="2311" max="2311" width="11" style="1959" customWidth="1"/>
    <col min="2312" max="2312" width="11.140625" style="1959" bestFit="1" customWidth="1"/>
    <col min="2313" max="2313" width="0" style="1959" hidden="1" customWidth="1"/>
    <col min="2314" max="2314" width="11.42578125" style="1959" customWidth="1"/>
    <col min="2315" max="2315" width="0" style="1959" hidden="1" customWidth="1"/>
    <col min="2316" max="2316" width="10.140625" style="1959" customWidth="1"/>
    <col min="2317" max="2317" width="11.28515625" style="1959" bestFit="1" customWidth="1"/>
    <col min="2318" max="2318" width="8.85546875" style="1959" bestFit="1" customWidth="1"/>
    <col min="2319" max="2560" width="8.42578125" style="1959"/>
    <col min="2561" max="2561" width="17.28515625" style="1959" customWidth="1"/>
    <col min="2562" max="2562" width="4.140625" style="1959" customWidth="1"/>
    <col min="2563" max="2563" width="9.28515625" style="1959" customWidth="1"/>
    <col min="2564" max="2564" width="7.5703125" style="1959" customWidth="1"/>
    <col min="2565" max="2565" width="11.5703125" style="1959" bestFit="1" customWidth="1"/>
    <col min="2566" max="2566" width="10" style="1959" bestFit="1" customWidth="1"/>
    <col min="2567" max="2567" width="11" style="1959" customWidth="1"/>
    <col min="2568" max="2568" width="11.140625" style="1959" bestFit="1" customWidth="1"/>
    <col min="2569" max="2569" width="0" style="1959" hidden="1" customWidth="1"/>
    <col min="2570" max="2570" width="11.42578125" style="1959" customWidth="1"/>
    <col min="2571" max="2571" width="0" style="1959" hidden="1" customWidth="1"/>
    <col min="2572" max="2572" width="10.140625" style="1959" customWidth="1"/>
    <col min="2573" max="2573" width="11.28515625" style="1959" bestFit="1" customWidth="1"/>
    <col min="2574" max="2574" width="8.85546875" style="1959" bestFit="1" customWidth="1"/>
    <col min="2575" max="2816" width="8.42578125" style="1959"/>
    <col min="2817" max="2817" width="17.28515625" style="1959" customWidth="1"/>
    <col min="2818" max="2818" width="4.140625" style="1959" customWidth="1"/>
    <col min="2819" max="2819" width="9.28515625" style="1959" customWidth="1"/>
    <col min="2820" max="2820" width="7.5703125" style="1959" customWidth="1"/>
    <col min="2821" max="2821" width="11.5703125" style="1959" bestFit="1" customWidth="1"/>
    <col min="2822" max="2822" width="10" style="1959" bestFit="1" customWidth="1"/>
    <col min="2823" max="2823" width="11" style="1959" customWidth="1"/>
    <col min="2824" max="2824" width="11.140625" style="1959" bestFit="1" customWidth="1"/>
    <col min="2825" max="2825" width="0" style="1959" hidden="1" customWidth="1"/>
    <col min="2826" max="2826" width="11.42578125" style="1959" customWidth="1"/>
    <col min="2827" max="2827" width="0" style="1959" hidden="1" customWidth="1"/>
    <col min="2828" max="2828" width="10.140625" style="1959" customWidth="1"/>
    <col min="2829" max="2829" width="11.28515625" style="1959" bestFit="1" customWidth="1"/>
    <col min="2830" max="2830" width="8.85546875" style="1959" bestFit="1" customWidth="1"/>
    <col min="2831" max="3072" width="8.42578125" style="1959"/>
    <col min="3073" max="3073" width="17.28515625" style="1959" customWidth="1"/>
    <col min="3074" max="3074" width="4.140625" style="1959" customWidth="1"/>
    <col min="3075" max="3075" width="9.28515625" style="1959" customWidth="1"/>
    <col min="3076" max="3076" width="7.5703125" style="1959" customWidth="1"/>
    <col min="3077" max="3077" width="11.5703125" style="1959" bestFit="1" customWidth="1"/>
    <col min="3078" max="3078" width="10" style="1959" bestFit="1" customWidth="1"/>
    <col min="3079" max="3079" width="11" style="1959" customWidth="1"/>
    <col min="3080" max="3080" width="11.140625" style="1959" bestFit="1" customWidth="1"/>
    <col min="3081" max="3081" width="0" style="1959" hidden="1" customWidth="1"/>
    <col min="3082" max="3082" width="11.42578125" style="1959" customWidth="1"/>
    <col min="3083" max="3083" width="0" style="1959" hidden="1" customWidth="1"/>
    <col min="3084" max="3084" width="10.140625" style="1959" customWidth="1"/>
    <col min="3085" max="3085" width="11.28515625" style="1959" bestFit="1" customWidth="1"/>
    <col min="3086" max="3086" width="8.85546875" style="1959" bestFit="1" customWidth="1"/>
    <col min="3087" max="3328" width="8.42578125" style="1959"/>
    <col min="3329" max="3329" width="17.28515625" style="1959" customWidth="1"/>
    <col min="3330" max="3330" width="4.140625" style="1959" customWidth="1"/>
    <col min="3331" max="3331" width="9.28515625" style="1959" customWidth="1"/>
    <col min="3332" max="3332" width="7.5703125" style="1959" customWidth="1"/>
    <col min="3333" max="3333" width="11.5703125" style="1959" bestFit="1" customWidth="1"/>
    <col min="3334" max="3334" width="10" style="1959" bestFit="1" customWidth="1"/>
    <col min="3335" max="3335" width="11" style="1959" customWidth="1"/>
    <col min="3336" max="3336" width="11.140625" style="1959" bestFit="1" customWidth="1"/>
    <col min="3337" max="3337" width="0" style="1959" hidden="1" customWidth="1"/>
    <col min="3338" max="3338" width="11.42578125" style="1959" customWidth="1"/>
    <col min="3339" max="3339" width="0" style="1959" hidden="1" customWidth="1"/>
    <col min="3340" max="3340" width="10.140625" style="1959" customWidth="1"/>
    <col min="3341" max="3341" width="11.28515625" style="1959" bestFit="1" customWidth="1"/>
    <col min="3342" max="3342" width="8.85546875" style="1959" bestFit="1" customWidth="1"/>
    <col min="3343" max="3584" width="8.42578125" style="1959"/>
    <col min="3585" max="3585" width="17.28515625" style="1959" customWidth="1"/>
    <col min="3586" max="3586" width="4.140625" style="1959" customWidth="1"/>
    <col min="3587" max="3587" width="9.28515625" style="1959" customWidth="1"/>
    <col min="3588" max="3588" width="7.5703125" style="1959" customWidth="1"/>
    <col min="3589" max="3589" width="11.5703125" style="1959" bestFit="1" customWidth="1"/>
    <col min="3590" max="3590" width="10" style="1959" bestFit="1" customWidth="1"/>
    <col min="3591" max="3591" width="11" style="1959" customWidth="1"/>
    <col min="3592" max="3592" width="11.140625" style="1959" bestFit="1" customWidth="1"/>
    <col min="3593" max="3593" width="0" style="1959" hidden="1" customWidth="1"/>
    <col min="3594" max="3594" width="11.42578125" style="1959" customWidth="1"/>
    <col min="3595" max="3595" width="0" style="1959" hidden="1" customWidth="1"/>
    <col min="3596" max="3596" width="10.140625" style="1959" customWidth="1"/>
    <col min="3597" max="3597" width="11.28515625" style="1959" bestFit="1" customWidth="1"/>
    <col min="3598" max="3598" width="8.85546875" style="1959" bestFit="1" customWidth="1"/>
    <col min="3599" max="3840" width="8.42578125" style="1959"/>
    <col min="3841" max="3841" width="17.28515625" style="1959" customWidth="1"/>
    <col min="3842" max="3842" width="4.140625" style="1959" customWidth="1"/>
    <col min="3843" max="3843" width="9.28515625" style="1959" customWidth="1"/>
    <col min="3844" max="3844" width="7.5703125" style="1959" customWidth="1"/>
    <col min="3845" max="3845" width="11.5703125" style="1959" bestFit="1" customWidth="1"/>
    <col min="3846" max="3846" width="10" style="1959" bestFit="1" customWidth="1"/>
    <col min="3847" max="3847" width="11" style="1959" customWidth="1"/>
    <col min="3848" max="3848" width="11.140625" style="1959" bestFit="1" customWidth="1"/>
    <col min="3849" max="3849" width="0" style="1959" hidden="1" customWidth="1"/>
    <col min="3850" max="3850" width="11.42578125" style="1959" customWidth="1"/>
    <col min="3851" max="3851" width="0" style="1959" hidden="1" customWidth="1"/>
    <col min="3852" max="3852" width="10.140625" style="1959" customWidth="1"/>
    <col min="3853" max="3853" width="11.28515625" style="1959" bestFit="1" customWidth="1"/>
    <col min="3854" max="3854" width="8.85546875" style="1959" bestFit="1" customWidth="1"/>
    <col min="3855" max="4096" width="8.42578125" style="1959"/>
    <col min="4097" max="4097" width="17.28515625" style="1959" customWidth="1"/>
    <col min="4098" max="4098" width="4.140625" style="1959" customWidth="1"/>
    <col min="4099" max="4099" width="9.28515625" style="1959" customWidth="1"/>
    <col min="4100" max="4100" width="7.5703125" style="1959" customWidth="1"/>
    <col min="4101" max="4101" width="11.5703125" style="1959" bestFit="1" customWidth="1"/>
    <col min="4102" max="4102" width="10" style="1959" bestFit="1" customWidth="1"/>
    <col min="4103" max="4103" width="11" style="1959" customWidth="1"/>
    <col min="4104" max="4104" width="11.140625" style="1959" bestFit="1" customWidth="1"/>
    <col min="4105" max="4105" width="0" style="1959" hidden="1" customWidth="1"/>
    <col min="4106" max="4106" width="11.42578125" style="1959" customWidth="1"/>
    <col min="4107" max="4107" width="0" style="1959" hidden="1" customWidth="1"/>
    <col min="4108" max="4108" width="10.140625" style="1959" customWidth="1"/>
    <col min="4109" max="4109" width="11.28515625" style="1959" bestFit="1" customWidth="1"/>
    <col min="4110" max="4110" width="8.85546875" style="1959" bestFit="1" customWidth="1"/>
    <col min="4111" max="4352" width="8.42578125" style="1959"/>
    <col min="4353" max="4353" width="17.28515625" style="1959" customWidth="1"/>
    <col min="4354" max="4354" width="4.140625" style="1959" customWidth="1"/>
    <col min="4355" max="4355" width="9.28515625" style="1959" customWidth="1"/>
    <col min="4356" max="4356" width="7.5703125" style="1959" customWidth="1"/>
    <col min="4357" max="4357" width="11.5703125" style="1959" bestFit="1" customWidth="1"/>
    <col min="4358" max="4358" width="10" style="1959" bestFit="1" customWidth="1"/>
    <col min="4359" max="4359" width="11" style="1959" customWidth="1"/>
    <col min="4360" max="4360" width="11.140625" style="1959" bestFit="1" customWidth="1"/>
    <col min="4361" max="4361" width="0" style="1959" hidden="1" customWidth="1"/>
    <col min="4362" max="4362" width="11.42578125" style="1959" customWidth="1"/>
    <col min="4363" max="4363" width="0" style="1959" hidden="1" customWidth="1"/>
    <col min="4364" max="4364" width="10.140625" style="1959" customWidth="1"/>
    <col min="4365" max="4365" width="11.28515625" style="1959" bestFit="1" customWidth="1"/>
    <col min="4366" max="4366" width="8.85546875" style="1959" bestFit="1" customWidth="1"/>
    <col min="4367" max="4608" width="8.42578125" style="1959"/>
    <col min="4609" max="4609" width="17.28515625" style="1959" customWidth="1"/>
    <col min="4610" max="4610" width="4.140625" style="1959" customWidth="1"/>
    <col min="4611" max="4611" width="9.28515625" style="1959" customWidth="1"/>
    <col min="4612" max="4612" width="7.5703125" style="1959" customWidth="1"/>
    <col min="4613" max="4613" width="11.5703125" style="1959" bestFit="1" customWidth="1"/>
    <col min="4614" max="4614" width="10" style="1959" bestFit="1" customWidth="1"/>
    <col min="4615" max="4615" width="11" style="1959" customWidth="1"/>
    <col min="4616" max="4616" width="11.140625" style="1959" bestFit="1" customWidth="1"/>
    <col min="4617" max="4617" width="0" style="1959" hidden="1" customWidth="1"/>
    <col min="4618" max="4618" width="11.42578125" style="1959" customWidth="1"/>
    <col min="4619" max="4619" width="0" style="1959" hidden="1" customWidth="1"/>
    <col min="4620" max="4620" width="10.140625" style="1959" customWidth="1"/>
    <col min="4621" max="4621" width="11.28515625" style="1959" bestFit="1" customWidth="1"/>
    <col min="4622" max="4622" width="8.85546875" style="1959" bestFit="1" customWidth="1"/>
    <col min="4623" max="4864" width="8.42578125" style="1959"/>
    <col min="4865" max="4865" width="17.28515625" style="1959" customWidth="1"/>
    <col min="4866" max="4866" width="4.140625" style="1959" customWidth="1"/>
    <col min="4867" max="4867" width="9.28515625" style="1959" customWidth="1"/>
    <col min="4868" max="4868" width="7.5703125" style="1959" customWidth="1"/>
    <col min="4869" max="4869" width="11.5703125" style="1959" bestFit="1" customWidth="1"/>
    <col min="4870" max="4870" width="10" style="1959" bestFit="1" customWidth="1"/>
    <col min="4871" max="4871" width="11" style="1959" customWidth="1"/>
    <col min="4872" max="4872" width="11.140625" style="1959" bestFit="1" customWidth="1"/>
    <col min="4873" max="4873" width="0" style="1959" hidden="1" customWidth="1"/>
    <col min="4874" max="4874" width="11.42578125" style="1959" customWidth="1"/>
    <col min="4875" max="4875" width="0" style="1959" hidden="1" customWidth="1"/>
    <col min="4876" max="4876" width="10.140625" style="1959" customWidth="1"/>
    <col min="4877" max="4877" width="11.28515625" style="1959" bestFit="1" customWidth="1"/>
    <col min="4878" max="4878" width="8.85546875" style="1959" bestFit="1" customWidth="1"/>
    <col min="4879" max="5120" width="8.42578125" style="1959"/>
    <col min="5121" max="5121" width="17.28515625" style="1959" customWidth="1"/>
    <col min="5122" max="5122" width="4.140625" style="1959" customWidth="1"/>
    <col min="5123" max="5123" width="9.28515625" style="1959" customWidth="1"/>
    <col min="5124" max="5124" width="7.5703125" style="1959" customWidth="1"/>
    <col min="5125" max="5125" width="11.5703125" style="1959" bestFit="1" customWidth="1"/>
    <col min="5126" max="5126" width="10" style="1959" bestFit="1" customWidth="1"/>
    <col min="5127" max="5127" width="11" style="1959" customWidth="1"/>
    <col min="5128" max="5128" width="11.140625" style="1959" bestFit="1" customWidth="1"/>
    <col min="5129" max="5129" width="0" style="1959" hidden="1" customWidth="1"/>
    <col min="5130" max="5130" width="11.42578125" style="1959" customWidth="1"/>
    <col min="5131" max="5131" width="0" style="1959" hidden="1" customWidth="1"/>
    <col min="5132" max="5132" width="10.140625" style="1959" customWidth="1"/>
    <col min="5133" max="5133" width="11.28515625" style="1959" bestFit="1" customWidth="1"/>
    <col min="5134" max="5134" width="8.85546875" style="1959" bestFit="1" customWidth="1"/>
    <col min="5135" max="5376" width="8.42578125" style="1959"/>
    <col min="5377" max="5377" width="17.28515625" style="1959" customWidth="1"/>
    <col min="5378" max="5378" width="4.140625" style="1959" customWidth="1"/>
    <col min="5379" max="5379" width="9.28515625" style="1959" customWidth="1"/>
    <col min="5380" max="5380" width="7.5703125" style="1959" customWidth="1"/>
    <col min="5381" max="5381" width="11.5703125" style="1959" bestFit="1" customWidth="1"/>
    <col min="5382" max="5382" width="10" style="1959" bestFit="1" customWidth="1"/>
    <col min="5383" max="5383" width="11" style="1959" customWidth="1"/>
    <col min="5384" max="5384" width="11.140625" style="1959" bestFit="1" customWidth="1"/>
    <col min="5385" max="5385" width="0" style="1959" hidden="1" customWidth="1"/>
    <col min="5386" max="5386" width="11.42578125" style="1959" customWidth="1"/>
    <col min="5387" max="5387" width="0" style="1959" hidden="1" customWidth="1"/>
    <col min="5388" max="5388" width="10.140625" style="1959" customWidth="1"/>
    <col min="5389" max="5389" width="11.28515625" style="1959" bestFit="1" customWidth="1"/>
    <col min="5390" max="5390" width="8.85546875" style="1959" bestFit="1" customWidth="1"/>
    <col min="5391" max="5632" width="8.42578125" style="1959"/>
    <col min="5633" max="5633" width="17.28515625" style="1959" customWidth="1"/>
    <col min="5634" max="5634" width="4.140625" style="1959" customWidth="1"/>
    <col min="5635" max="5635" width="9.28515625" style="1959" customWidth="1"/>
    <col min="5636" max="5636" width="7.5703125" style="1959" customWidth="1"/>
    <col min="5637" max="5637" width="11.5703125" style="1959" bestFit="1" customWidth="1"/>
    <col min="5638" max="5638" width="10" style="1959" bestFit="1" customWidth="1"/>
    <col min="5639" max="5639" width="11" style="1959" customWidth="1"/>
    <col min="5640" max="5640" width="11.140625" style="1959" bestFit="1" customWidth="1"/>
    <col min="5641" max="5641" width="0" style="1959" hidden="1" customWidth="1"/>
    <col min="5642" max="5642" width="11.42578125" style="1959" customWidth="1"/>
    <col min="5643" max="5643" width="0" style="1959" hidden="1" customWidth="1"/>
    <col min="5644" max="5644" width="10.140625" style="1959" customWidth="1"/>
    <col min="5645" max="5645" width="11.28515625" style="1959" bestFit="1" customWidth="1"/>
    <col min="5646" max="5646" width="8.85546875" style="1959" bestFit="1" customWidth="1"/>
    <col min="5647" max="5888" width="8.42578125" style="1959"/>
    <col min="5889" max="5889" width="17.28515625" style="1959" customWidth="1"/>
    <col min="5890" max="5890" width="4.140625" style="1959" customWidth="1"/>
    <col min="5891" max="5891" width="9.28515625" style="1959" customWidth="1"/>
    <col min="5892" max="5892" width="7.5703125" style="1959" customWidth="1"/>
    <col min="5893" max="5893" width="11.5703125" style="1959" bestFit="1" customWidth="1"/>
    <col min="5894" max="5894" width="10" style="1959" bestFit="1" customWidth="1"/>
    <col min="5895" max="5895" width="11" style="1959" customWidth="1"/>
    <col min="5896" max="5896" width="11.140625" style="1959" bestFit="1" customWidth="1"/>
    <col min="5897" max="5897" width="0" style="1959" hidden="1" customWidth="1"/>
    <col min="5898" max="5898" width="11.42578125" style="1959" customWidth="1"/>
    <col min="5899" max="5899" width="0" style="1959" hidden="1" customWidth="1"/>
    <col min="5900" max="5900" width="10.140625" style="1959" customWidth="1"/>
    <col min="5901" max="5901" width="11.28515625" style="1959" bestFit="1" customWidth="1"/>
    <col min="5902" max="5902" width="8.85546875" style="1959" bestFit="1" customWidth="1"/>
    <col min="5903" max="6144" width="8.42578125" style="1959"/>
    <col min="6145" max="6145" width="17.28515625" style="1959" customWidth="1"/>
    <col min="6146" max="6146" width="4.140625" style="1959" customWidth="1"/>
    <col min="6147" max="6147" width="9.28515625" style="1959" customWidth="1"/>
    <col min="6148" max="6148" width="7.5703125" style="1959" customWidth="1"/>
    <col min="6149" max="6149" width="11.5703125" style="1959" bestFit="1" customWidth="1"/>
    <col min="6150" max="6150" width="10" style="1959" bestFit="1" customWidth="1"/>
    <col min="6151" max="6151" width="11" style="1959" customWidth="1"/>
    <col min="6152" max="6152" width="11.140625" style="1959" bestFit="1" customWidth="1"/>
    <col min="6153" max="6153" width="0" style="1959" hidden="1" customWidth="1"/>
    <col min="6154" max="6154" width="11.42578125" style="1959" customWidth="1"/>
    <col min="6155" max="6155" width="0" style="1959" hidden="1" customWidth="1"/>
    <col min="6156" max="6156" width="10.140625" style="1959" customWidth="1"/>
    <col min="6157" max="6157" width="11.28515625" style="1959" bestFit="1" customWidth="1"/>
    <col min="6158" max="6158" width="8.85546875" style="1959" bestFit="1" customWidth="1"/>
    <col min="6159" max="6400" width="8.42578125" style="1959"/>
    <col min="6401" max="6401" width="17.28515625" style="1959" customWidth="1"/>
    <col min="6402" max="6402" width="4.140625" style="1959" customWidth="1"/>
    <col min="6403" max="6403" width="9.28515625" style="1959" customWidth="1"/>
    <col min="6404" max="6404" width="7.5703125" style="1959" customWidth="1"/>
    <col min="6405" max="6405" width="11.5703125" style="1959" bestFit="1" customWidth="1"/>
    <col min="6406" max="6406" width="10" style="1959" bestFit="1" customWidth="1"/>
    <col min="6407" max="6407" width="11" style="1959" customWidth="1"/>
    <col min="6408" max="6408" width="11.140625" style="1959" bestFit="1" customWidth="1"/>
    <col min="6409" max="6409" width="0" style="1959" hidden="1" customWidth="1"/>
    <col min="6410" max="6410" width="11.42578125" style="1959" customWidth="1"/>
    <col min="6411" max="6411" width="0" style="1959" hidden="1" customWidth="1"/>
    <col min="6412" max="6412" width="10.140625" style="1959" customWidth="1"/>
    <col min="6413" max="6413" width="11.28515625" style="1959" bestFit="1" customWidth="1"/>
    <col min="6414" max="6414" width="8.85546875" style="1959" bestFit="1" customWidth="1"/>
    <col min="6415" max="6656" width="8.42578125" style="1959"/>
    <col min="6657" max="6657" width="17.28515625" style="1959" customWidth="1"/>
    <col min="6658" max="6658" width="4.140625" style="1959" customWidth="1"/>
    <col min="6659" max="6659" width="9.28515625" style="1959" customWidth="1"/>
    <col min="6660" max="6660" width="7.5703125" style="1959" customWidth="1"/>
    <col min="6661" max="6661" width="11.5703125" style="1959" bestFit="1" customWidth="1"/>
    <col min="6662" max="6662" width="10" style="1959" bestFit="1" customWidth="1"/>
    <col min="6663" max="6663" width="11" style="1959" customWidth="1"/>
    <col min="6664" max="6664" width="11.140625" style="1959" bestFit="1" customWidth="1"/>
    <col min="6665" max="6665" width="0" style="1959" hidden="1" customWidth="1"/>
    <col min="6666" max="6666" width="11.42578125" style="1959" customWidth="1"/>
    <col min="6667" max="6667" width="0" style="1959" hidden="1" customWidth="1"/>
    <col min="6668" max="6668" width="10.140625" style="1959" customWidth="1"/>
    <col min="6669" max="6669" width="11.28515625" style="1959" bestFit="1" customWidth="1"/>
    <col min="6670" max="6670" width="8.85546875" style="1959" bestFit="1" customWidth="1"/>
    <col min="6671" max="6912" width="8.42578125" style="1959"/>
    <col min="6913" max="6913" width="17.28515625" style="1959" customWidth="1"/>
    <col min="6914" max="6914" width="4.140625" style="1959" customWidth="1"/>
    <col min="6915" max="6915" width="9.28515625" style="1959" customWidth="1"/>
    <col min="6916" max="6916" width="7.5703125" style="1959" customWidth="1"/>
    <col min="6917" max="6917" width="11.5703125" style="1959" bestFit="1" customWidth="1"/>
    <col min="6918" max="6918" width="10" style="1959" bestFit="1" customWidth="1"/>
    <col min="6919" max="6919" width="11" style="1959" customWidth="1"/>
    <col min="6920" max="6920" width="11.140625" style="1959" bestFit="1" customWidth="1"/>
    <col min="6921" max="6921" width="0" style="1959" hidden="1" customWidth="1"/>
    <col min="6922" max="6922" width="11.42578125" style="1959" customWidth="1"/>
    <col min="6923" max="6923" width="0" style="1959" hidden="1" customWidth="1"/>
    <col min="6924" max="6924" width="10.140625" style="1959" customWidth="1"/>
    <col min="6925" max="6925" width="11.28515625" style="1959" bestFit="1" customWidth="1"/>
    <col min="6926" max="6926" width="8.85546875" style="1959" bestFit="1" customWidth="1"/>
    <col min="6927" max="7168" width="8.42578125" style="1959"/>
    <col min="7169" max="7169" width="17.28515625" style="1959" customWidth="1"/>
    <col min="7170" max="7170" width="4.140625" style="1959" customWidth="1"/>
    <col min="7171" max="7171" width="9.28515625" style="1959" customWidth="1"/>
    <col min="7172" max="7172" width="7.5703125" style="1959" customWidth="1"/>
    <col min="7173" max="7173" width="11.5703125" style="1959" bestFit="1" customWidth="1"/>
    <col min="7174" max="7174" width="10" style="1959" bestFit="1" customWidth="1"/>
    <col min="7175" max="7175" width="11" style="1959" customWidth="1"/>
    <col min="7176" max="7176" width="11.140625" style="1959" bestFit="1" customWidth="1"/>
    <col min="7177" max="7177" width="0" style="1959" hidden="1" customWidth="1"/>
    <col min="7178" max="7178" width="11.42578125" style="1959" customWidth="1"/>
    <col min="7179" max="7179" width="0" style="1959" hidden="1" customWidth="1"/>
    <col min="7180" max="7180" width="10.140625" style="1959" customWidth="1"/>
    <col min="7181" max="7181" width="11.28515625" style="1959" bestFit="1" customWidth="1"/>
    <col min="7182" max="7182" width="8.85546875" style="1959" bestFit="1" customWidth="1"/>
    <col min="7183" max="7424" width="8.42578125" style="1959"/>
    <col min="7425" max="7425" width="17.28515625" style="1959" customWidth="1"/>
    <col min="7426" max="7426" width="4.140625" style="1959" customWidth="1"/>
    <col min="7427" max="7427" width="9.28515625" style="1959" customWidth="1"/>
    <col min="7428" max="7428" width="7.5703125" style="1959" customWidth="1"/>
    <col min="7429" max="7429" width="11.5703125" style="1959" bestFit="1" customWidth="1"/>
    <col min="7430" max="7430" width="10" style="1959" bestFit="1" customWidth="1"/>
    <col min="7431" max="7431" width="11" style="1959" customWidth="1"/>
    <col min="7432" max="7432" width="11.140625" style="1959" bestFit="1" customWidth="1"/>
    <col min="7433" max="7433" width="0" style="1959" hidden="1" customWidth="1"/>
    <col min="7434" max="7434" width="11.42578125" style="1959" customWidth="1"/>
    <col min="7435" max="7435" width="0" style="1959" hidden="1" customWidth="1"/>
    <col min="7436" max="7436" width="10.140625" style="1959" customWidth="1"/>
    <col min="7437" max="7437" width="11.28515625" style="1959" bestFit="1" customWidth="1"/>
    <col min="7438" max="7438" width="8.85546875" style="1959" bestFit="1" customWidth="1"/>
    <col min="7439" max="7680" width="8.42578125" style="1959"/>
    <col min="7681" max="7681" width="17.28515625" style="1959" customWidth="1"/>
    <col min="7682" max="7682" width="4.140625" style="1959" customWidth="1"/>
    <col min="7683" max="7683" width="9.28515625" style="1959" customWidth="1"/>
    <col min="7684" max="7684" width="7.5703125" style="1959" customWidth="1"/>
    <col min="7685" max="7685" width="11.5703125" style="1959" bestFit="1" customWidth="1"/>
    <col min="7686" max="7686" width="10" style="1959" bestFit="1" customWidth="1"/>
    <col min="7687" max="7687" width="11" style="1959" customWidth="1"/>
    <col min="7688" max="7688" width="11.140625" style="1959" bestFit="1" customWidth="1"/>
    <col min="7689" max="7689" width="0" style="1959" hidden="1" customWidth="1"/>
    <col min="7690" max="7690" width="11.42578125" style="1959" customWidth="1"/>
    <col min="7691" max="7691" width="0" style="1959" hidden="1" customWidth="1"/>
    <col min="7692" max="7692" width="10.140625" style="1959" customWidth="1"/>
    <col min="7693" max="7693" width="11.28515625" style="1959" bestFit="1" customWidth="1"/>
    <col min="7694" max="7694" width="8.85546875" style="1959" bestFit="1" customWidth="1"/>
    <col min="7695" max="7936" width="8.42578125" style="1959"/>
    <col min="7937" max="7937" width="17.28515625" style="1959" customWidth="1"/>
    <col min="7938" max="7938" width="4.140625" style="1959" customWidth="1"/>
    <col min="7939" max="7939" width="9.28515625" style="1959" customWidth="1"/>
    <col min="7940" max="7940" width="7.5703125" style="1959" customWidth="1"/>
    <col min="7941" max="7941" width="11.5703125" style="1959" bestFit="1" customWidth="1"/>
    <col min="7942" max="7942" width="10" style="1959" bestFit="1" customWidth="1"/>
    <col min="7943" max="7943" width="11" style="1959" customWidth="1"/>
    <col min="7944" max="7944" width="11.140625" style="1959" bestFit="1" customWidth="1"/>
    <col min="7945" max="7945" width="0" style="1959" hidden="1" customWidth="1"/>
    <col min="7946" max="7946" width="11.42578125" style="1959" customWidth="1"/>
    <col min="7947" max="7947" width="0" style="1959" hidden="1" customWidth="1"/>
    <col min="7948" max="7948" width="10.140625" style="1959" customWidth="1"/>
    <col min="7949" max="7949" width="11.28515625" style="1959" bestFit="1" customWidth="1"/>
    <col min="7950" max="7950" width="8.85546875" style="1959" bestFit="1" customWidth="1"/>
    <col min="7951" max="8192" width="8.42578125" style="1959"/>
    <col min="8193" max="8193" width="17.28515625" style="1959" customWidth="1"/>
    <col min="8194" max="8194" width="4.140625" style="1959" customWidth="1"/>
    <col min="8195" max="8195" width="9.28515625" style="1959" customWidth="1"/>
    <col min="8196" max="8196" width="7.5703125" style="1959" customWidth="1"/>
    <col min="8197" max="8197" width="11.5703125" style="1959" bestFit="1" customWidth="1"/>
    <col min="8198" max="8198" width="10" style="1959" bestFit="1" customWidth="1"/>
    <col min="8199" max="8199" width="11" style="1959" customWidth="1"/>
    <col min="8200" max="8200" width="11.140625" style="1959" bestFit="1" customWidth="1"/>
    <col min="8201" max="8201" width="0" style="1959" hidden="1" customWidth="1"/>
    <col min="8202" max="8202" width="11.42578125" style="1959" customWidth="1"/>
    <col min="8203" max="8203" width="0" style="1959" hidden="1" customWidth="1"/>
    <col min="8204" max="8204" width="10.140625" style="1959" customWidth="1"/>
    <col min="8205" max="8205" width="11.28515625" style="1959" bestFit="1" customWidth="1"/>
    <col min="8206" max="8206" width="8.85546875" style="1959" bestFit="1" customWidth="1"/>
    <col min="8207" max="8448" width="8.42578125" style="1959"/>
    <col min="8449" max="8449" width="17.28515625" style="1959" customWidth="1"/>
    <col min="8450" max="8450" width="4.140625" style="1959" customWidth="1"/>
    <col min="8451" max="8451" width="9.28515625" style="1959" customWidth="1"/>
    <col min="8452" max="8452" width="7.5703125" style="1959" customWidth="1"/>
    <col min="8453" max="8453" width="11.5703125" style="1959" bestFit="1" customWidth="1"/>
    <col min="8454" max="8454" width="10" style="1959" bestFit="1" customWidth="1"/>
    <col min="8455" max="8455" width="11" style="1959" customWidth="1"/>
    <col min="8456" max="8456" width="11.140625" style="1959" bestFit="1" customWidth="1"/>
    <col min="8457" max="8457" width="0" style="1959" hidden="1" customWidth="1"/>
    <col min="8458" max="8458" width="11.42578125" style="1959" customWidth="1"/>
    <col min="8459" max="8459" width="0" style="1959" hidden="1" customWidth="1"/>
    <col min="8460" max="8460" width="10.140625" style="1959" customWidth="1"/>
    <col min="8461" max="8461" width="11.28515625" style="1959" bestFit="1" customWidth="1"/>
    <col min="8462" max="8462" width="8.85546875" style="1959" bestFit="1" customWidth="1"/>
    <col min="8463" max="8704" width="8.42578125" style="1959"/>
    <col min="8705" max="8705" width="17.28515625" style="1959" customWidth="1"/>
    <col min="8706" max="8706" width="4.140625" style="1959" customWidth="1"/>
    <col min="8707" max="8707" width="9.28515625" style="1959" customWidth="1"/>
    <col min="8708" max="8708" width="7.5703125" style="1959" customWidth="1"/>
    <col min="8709" max="8709" width="11.5703125" style="1959" bestFit="1" customWidth="1"/>
    <col min="8710" max="8710" width="10" style="1959" bestFit="1" customWidth="1"/>
    <col min="8711" max="8711" width="11" style="1959" customWidth="1"/>
    <col min="8712" max="8712" width="11.140625" style="1959" bestFit="1" customWidth="1"/>
    <col min="8713" max="8713" width="0" style="1959" hidden="1" customWidth="1"/>
    <col min="8714" max="8714" width="11.42578125" style="1959" customWidth="1"/>
    <col min="8715" max="8715" width="0" style="1959" hidden="1" customWidth="1"/>
    <col min="8716" max="8716" width="10.140625" style="1959" customWidth="1"/>
    <col min="8717" max="8717" width="11.28515625" style="1959" bestFit="1" customWidth="1"/>
    <col min="8718" max="8718" width="8.85546875" style="1959" bestFit="1" customWidth="1"/>
    <col min="8719" max="8960" width="8.42578125" style="1959"/>
    <col min="8961" max="8961" width="17.28515625" style="1959" customWidth="1"/>
    <col min="8962" max="8962" width="4.140625" style="1959" customWidth="1"/>
    <col min="8963" max="8963" width="9.28515625" style="1959" customWidth="1"/>
    <col min="8964" max="8964" width="7.5703125" style="1959" customWidth="1"/>
    <col min="8965" max="8965" width="11.5703125" style="1959" bestFit="1" customWidth="1"/>
    <col min="8966" max="8966" width="10" style="1959" bestFit="1" customWidth="1"/>
    <col min="8967" max="8967" width="11" style="1959" customWidth="1"/>
    <col min="8968" max="8968" width="11.140625" style="1959" bestFit="1" customWidth="1"/>
    <col min="8969" max="8969" width="0" style="1959" hidden="1" customWidth="1"/>
    <col min="8970" max="8970" width="11.42578125" style="1959" customWidth="1"/>
    <col min="8971" max="8971" width="0" style="1959" hidden="1" customWidth="1"/>
    <col min="8972" max="8972" width="10.140625" style="1959" customWidth="1"/>
    <col min="8973" max="8973" width="11.28515625" style="1959" bestFit="1" customWidth="1"/>
    <col min="8974" max="8974" width="8.85546875" style="1959" bestFit="1" customWidth="1"/>
    <col min="8975" max="9216" width="8.42578125" style="1959"/>
    <col min="9217" max="9217" width="17.28515625" style="1959" customWidth="1"/>
    <col min="9218" max="9218" width="4.140625" style="1959" customWidth="1"/>
    <col min="9219" max="9219" width="9.28515625" style="1959" customWidth="1"/>
    <col min="9220" max="9220" width="7.5703125" style="1959" customWidth="1"/>
    <col min="9221" max="9221" width="11.5703125" style="1959" bestFit="1" customWidth="1"/>
    <col min="9222" max="9222" width="10" style="1959" bestFit="1" customWidth="1"/>
    <col min="9223" max="9223" width="11" style="1959" customWidth="1"/>
    <col min="9224" max="9224" width="11.140625" style="1959" bestFit="1" customWidth="1"/>
    <col min="9225" max="9225" width="0" style="1959" hidden="1" customWidth="1"/>
    <col min="9226" max="9226" width="11.42578125" style="1959" customWidth="1"/>
    <col min="9227" max="9227" width="0" style="1959" hidden="1" customWidth="1"/>
    <col min="9228" max="9228" width="10.140625" style="1959" customWidth="1"/>
    <col min="9229" max="9229" width="11.28515625" style="1959" bestFit="1" customWidth="1"/>
    <col min="9230" max="9230" width="8.85546875" style="1959" bestFit="1" customWidth="1"/>
    <col min="9231" max="9472" width="8.42578125" style="1959"/>
    <col min="9473" max="9473" width="17.28515625" style="1959" customWidth="1"/>
    <col min="9474" max="9474" width="4.140625" style="1959" customWidth="1"/>
    <col min="9475" max="9475" width="9.28515625" style="1959" customWidth="1"/>
    <col min="9476" max="9476" width="7.5703125" style="1959" customWidth="1"/>
    <col min="9477" max="9477" width="11.5703125" style="1959" bestFit="1" customWidth="1"/>
    <col min="9478" max="9478" width="10" style="1959" bestFit="1" customWidth="1"/>
    <col min="9479" max="9479" width="11" style="1959" customWidth="1"/>
    <col min="9480" max="9480" width="11.140625" style="1959" bestFit="1" customWidth="1"/>
    <col min="9481" max="9481" width="0" style="1959" hidden="1" customWidth="1"/>
    <col min="9482" max="9482" width="11.42578125" style="1959" customWidth="1"/>
    <col min="9483" max="9483" width="0" style="1959" hidden="1" customWidth="1"/>
    <col min="9484" max="9484" width="10.140625" style="1959" customWidth="1"/>
    <col min="9485" max="9485" width="11.28515625" style="1959" bestFit="1" customWidth="1"/>
    <col min="9486" max="9486" width="8.85546875" style="1959" bestFit="1" customWidth="1"/>
    <col min="9487" max="9728" width="8.42578125" style="1959"/>
    <col min="9729" max="9729" width="17.28515625" style="1959" customWidth="1"/>
    <col min="9730" max="9730" width="4.140625" style="1959" customWidth="1"/>
    <col min="9731" max="9731" width="9.28515625" style="1959" customWidth="1"/>
    <col min="9732" max="9732" width="7.5703125" style="1959" customWidth="1"/>
    <col min="9733" max="9733" width="11.5703125" style="1959" bestFit="1" customWidth="1"/>
    <col min="9734" max="9734" width="10" style="1959" bestFit="1" customWidth="1"/>
    <col min="9735" max="9735" width="11" style="1959" customWidth="1"/>
    <col min="9736" max="9736" width="11.140625" style="1959" bestFit="1" customWidth="1"/>
    <col min="9737" max="9737" width="0" style="1959" hidden="1" customWidth="1"/>
    <col min="9738" max="9738" width="11.42578125" style="1959" customWidth="1"/>
    <col min="9739" max="9739" width="0" style="1959" hidden="1" customWidth="1"/>
    <col min="9740" max="9740" width="10.140625" style="1959" customWidth="1"/>
    <col min="9741" max="9741" width="11.28515625" style="1959" bestFit="1" customWidth="1"/>
    <col min="9742" max="9742" width="8.85546875" style="1959" bestFit="1" customWidth="1"/>
    <col min="9743" max="9984" width="8.42578125" style="1959"/>
    <col min="9985" max="9985" width="17.28515625" style="1959" customWidth="1"/>
    <col min="9986" max="9986" width="4.140625" style="1959" customWidth="1"/>
    <col min="9987" max="9987" width="9.28515625" style="1959" customWidth="1"/>
    <col min="9988" max="9988" width="7.5703125" style="1959" customWidth="1"/>
    <col min="9989" max="9989" width="11.5703125" style="1959" bestFit="1" customWidth="1"/>
    <col min="9990" max="9990" width="10" style="1959" bestFit="1" customWidth="1"/>
    <col min="9991" max="9991" width="11" style="1959" customWidth="1"/>
    <col min="9992" max="9992" width="11.140625" style="1959" bestFit="1" customWidth="1"/>
    <col min="9993" max="9993" width="0" style="1959" hidden="1" customWidth="1"/>
    <col min="9994" max="9994" width="11.42578125" style="1959" customWidth="1"/>
    <col min="9995" max="9995" width="0" style="1959" hidden="1" customWidth="1"/>
    <col min="9996" max="9996" width="10.140625" style="1959" customWidth="1"/>
    <col min="9997" max="9997" width="11.28515625" style="1959" bestFit="1" customWidth="1"/>
    <col min="9998" max="9998" width="8.85546875" style="1959" bestFit="1" customWidth="1"/>
    <col min="9999" max="10240" width="8.42578125" style="1959"/>
    <col min="10241" max="10241" width="17.28515625" style="1959" customWidth="1"/>
    <col min="10242" max="10242" width="4.140625" style="1959" customWidth="1"/>
    <col min="10243" max="10243" width="9.28515625" style="1959" customWidth="1"/>
    <col min="10244" max="10244" width="7.5703125" style="1959" customWidth="1"/>
    <col min="10245" max="10245" width="11.5703125" style="1959" bestFit="1" customWidth="1"/>
    <col min="10246" max="10246" width="10" style="1959" bestFit="1" customWidth="1"/>
    <col min="10247" max="10247" width="11" style="1959" customWidth="1"/>
    <col min="10248" max="10248" width="11.140625" style="1959" bestFit="1" customWidth="1"/>
    <col min="10249" max="10249" width="0" style="1959" hidden="1" customWidth="1"/>
    <col min="10250" max="10250" width="11.42578125" style="1959" customWidth="1"/>
    <col min="10251" max="10251" width="0" style="1959" hidden="1" customWidth="1"/>
    <col min="10252" max="10252" width="10.140625" style="1959" customWidth="1"/>
    <col min="10253" max="10253" width="11.28515625" style="1959" bestFit="1" customWidth="1"/>
    <col min="10254" max="10254" width="8.85546875" style="1959" bestFit="1" customWidth="1"/>
    <col min="10255" max="10496" width="8.42578125" style="1959"/>
    <col min="10497" max="10497" width="17.28515625" style="1959" customWidth="1"/>
    <col min="10498" max="10498" width="4.140625" style="1959" customWidth="1"/>
    <col min="10499" max="10499" width="9.28515625" style="1959" customWidth="1"/>
    <col min="10500" max="10500" width="7.5703125" style="1959" customWidth="1"/>
    <col min="10501" max="10501" width="11.5703125" style="1959" bestFit="1" customWidth="1"/>
    <col min="10502" max="10502" width="10" style="1959" bestFit="1" customWidth="1"/>
    <col min="10503" max="10503" width="11" style="1959" customWidth="1"/>
    <col min="10504" max="10504" width="11.140625" style="1959" bestFit="1" customWidth="1"/>
    <col min="10505" max="10505" width="0" style="1959" hidden="1" customWidth="1"/>
    <col min="10506" max="10506" width="11.42578125" style="1959" customWidth="1"/>
    <col min="10507" max="10507" width="0" style="1959" hidden="1" customWidth="1"/>
    <col min="10508" max="10508" width="10.140625" style="1959" customWidth="1"/>
    <col min="10509" max="10509" width="11.28515625" style="1959" bestFit="1" customWidth="1"/>
    <col min="10510" max="10510" width="8.85546875" style="1959" bestFit="1" customWidth="1"/>
    <col min="10511" max="10752" width="8.42578125" style="1959"/>
    <col min="10753" max="10753" width="17.28515625" style="1959" customWidth="1"/>
    <col min="10754" max="10754" width="4.140625" style="1959" customWidth="1"/>
    <col min="10755" max="10755" width="9.28515625" style="1959" customWidth="1"/>
    <col min="10756" max="10756" width="7.5703125" style="1959" customWidth="1"/>
    <col min="10757" max="10757" width="11.5703125" style="1959" bestFit="1" customWidth="1"/>
    <col min="10758" max="10758" width="10" style="1959" bestFit="1" customWidth="1"/>
    <col min="10759" max="10759" width="11" style="1959" customWidth="1"/>
    <col min="10760" max="10760" width="11.140625" style="1959" bestFit="1" customWidth="1"/>
    <col min="10761" max="10761" width="0" style="1959" hidden="1" customWidth="1"/>
    <col min="10762" max="10762" width="11.42578125" style="1959" customWidth="1"/>
    <col min="10763" max="10763" width="0" style="1959" hidden="1" customWidth="1"/>
    <col min="10764" max="10764" width="10.140625" style="1959" customWidth="1"/>
    <col min="10765" max="10765" width="11.28515625" style="1959" bestFit="1" customWidth="1"/>
    <col min="10766" max="10766" width="8.85546875" style="1959" bestFit="1" customWidth="1"/>
    <col min="10767" max="11008" width="8.42578125" style="1959"/>
    <col min="11009" max="11009" width="17.28515625" style="1959" customWidth="1"/>
    <col min="11010" max="11010" width="4.140625" style="1959" customWidth="1"/>
    <col min="11011" max="11011" width="9.28515625" style="1959" customWidth="1"/>
    <col min="11012" max="11012" width="7.5703125" style="1959" customWidth="1"/>
    <col min="11013" max="11013" width="11.5703125" style="1959" bestFit="1" customWidth="1"/>
    <col min="11014" max="11014" width="10" style="1959" bestFit="1" customWidth="1"/>
    <col min="11015" max="11015" width="11" style="1959" customWidth="1"/>
    <col min="11016" max="11016" width="11.140625" style="1959" bestFit="1" customWidth="1"/>
    <col min="11017" max="11017" width="0" style="1959" hidden="1" customWidth="1"/>
    <col min="11018" max="11018" width="11.42578125" style="1959" customWidth="1"/>
    <col min="11019" max="11019" width="0" style="1959" hidden="1" customWidth="1"/>
    <col min="11020" max="11020" width="10.140625" style="1959" customWidth="1"/>
    <col min="11021" max="11021" width="11.28515625" style="1959" bestFit="1" customWidth="1"/>
    <col min="11022" max="11022" width="8.85546875" style="1959" bestFit="1" customWidth="1"/>
    <col min="11023" max="11264" width="8.42578125" style="1959"/>
    <col min="11265" max="11265" width="17.28515625" style="1959" customWidth="1"/>
    <col min="11266" max="11266" width="4.140625" style="1959" customWidth="1"/>
    <col min="11267" max="11267" width="9.28515625" style="1959" customWidth="1"/>
    <col min="11268" max="11268" width="7.5703125" style="1959" customWidth="1"/>
    <col min="11269" max="11269" width="11.5703125" style="1959" bestFit="1" customWidth="1"/>
    <col min="11270" max="11270" width="10" style="1959" bestFit="1" customWidth="1"/>
    <col min="11271" max="11271" width="11" style="1959" customWidth="1"/>
    <col min="11272" max="11272" width="11.140625" style="1959" bestFit="1" customWidth="1"/>
    <col min="11273" max="11273" width="0" style="1959" hidden="1" customWidth="1"/>
    <col min="11274" max="11274" width="11.42578125" style="1959" customWidth="1"/>
    <col min="11275" max="11275" width="0" style="1959" hidden="1" customWidth="1"/>
    <col min="11276" max="11276" width="10.140625" style="1959" customWidth="1"/>
    <col min="11277" max="11277" width="11.28515625" style="1959" bestFit="1" customWidth="1"/>
    <col min="11278" max="11278" width="8.85546875" style="1959" bestFit="1" customWidth="1"/>
    <col min="11279" max="11520" width="8.42578125" style="1959"/>
    <col min="11521" max="11521" width="17.28515625" style="1959" customWidth="1"/>
    <col min="11522" max="11522" width="4.140625" style="1959" customWidth="1"/>
    <col min="11523" max="11523" width="9.28515625" style="1959" customWidth="1"/>
    <col min="11524" max="11524" width="7.5703125" style="1959" customWidth="1"/>
    <col min="11525" max="11525" width="11.5703125" style="1959" bestFit="1" customWidth="1"/>
    <col min="11526" max="11526" width="10" style="1959" bestFit="1" customWidth="1"/>
    <col min="11527" max="11527" width="11" style="1959" customWidth="1"/>
    <col min="11528" max="11528" width="11.140625" style="1959" bestFit="1" customWidth="1"/>
    <col min="11529" max="11529" width="0" style="1959" hidden="1" customWidth="1"/>
    <col min="11530" max="11530" width="11.42578125" style="1959" customWidth="1"/>
    <col min="11531" max="11531" width="0" style="1959" hidden="1" customWidth="1"/>
    <col min="11532" max="11532" width="10.140625" style="1959" customWidth="1"/>
    <col min="11533" max="11533" width="11.28515625" style="1959" bestFit="1" customWidth="1"/>
    <col min="11534" max="11534" width="8.85546875" style="1959" bestFit="1" customWidth="1"/>
    <col min="11535" max="11776" width="8.42578125" style="1959"/>
    <col min="11777" max="11777" width="17.28515625" style="1959" customWidth="1"/>
    <col min="11778" max="11778" width="4.140625" style="1959" customWidth="1"/>
    <col min="11779" max="11779" width="9.28515625" style="1959" customWidth="1"/>
    <col min="11780" max="11780" width="7.5703125" style="1959" customWidth="1"/>
    <col min="11781" max="11781" width="11.5703125" style="1959" bestFit="1" customWidth="1"/>
    <col min="11782" max="11782" width="10" style="1959" bestFit="1" customWidth="1"/>
    <col min="11783" max="11783" width="11" style="1959" customWidth="1"/>
    <col min="11784" max="11784" width="11.140625" style="1959" bestFit="1" customWidth="1"/>
    <col min="11785" max="11785" width="0" style="1959" hidden="1" customWidth="1"/>
    <col min="11786" max="11786" width="11.42578125" style="1959" customWidth="1"/>
    <col min="11787" max="11787" width="0" style="1959" hidden="1" customWidth="1"/>
    <col min="11788" max="11788" width="10.140625" style="1959" customWidth="1"/>
    <col min="11789" max="11789" width="11.28515625" style="1959" bestFit="1" customWidth="1"/>
    <col min="11790" max="11790" width="8.85546875" style="1959" bestFit="1" customWidth="1"/>
    <col min="11791" max="12032" width="8.42578125" style="1959"/>
    <col min="12033" max="12033" width="17.28515625" style="1959" customWidth="1"/>
    <col min="12034" max="12034" width="4.140625" style="1959" customWidth="1"/>
    <col min="12035" max="12035" width="9.28515625" style="1959" customWidth="1"/>
    <col min="12036" max="12036" width="7.5703125" style="1959" customWidth="1"/>
    <col min="12037" max="12037" width="11.5703125" style="1959" bestFit="1" customWidth="1"/>
    <col min="12038" max="12038" width="10" style="1959" bestFit="1" customWidth="1"/>
    <col min="12039" max="12039" width="11" style="1959" customWidth="1"/>
    <col min="12040" max="12040" width="11.140625" style="1959" bestFit="1" customWidth="1"/>
    <col min="12041" max="12041" width="0" style="1959" hidden="1" customWidth="1"/>
    <col min="12042" max="12042" width="11.42578125" style="1959" customWidth="1"/>
    <col min="12043" max="12043" width="0" style="1959" hidden="1" customWidth="1"/>
    <col min="12044" max="12044" width="10.140625" style="1959" customWidth="1"/>
    <col min="12045" max="12045" width="11.28515625" style="1959" bestFit="1" customWidth="1"/>
    <col min="12046" max="12046" width="8.85546875" style="1959" bestFit="1" customWidth="1"/>
    <col min="12047" max="12288" width="8.42578125" style="1959"/>
    <col min="12289" max="12289" width="17.28515625" style="1959" customWidth="1"/>
    <col min="12290" max="12290" width="4.140625" style="1959" customWidth="1"/>
    <col min="12291" max="12291" width="9.28515625" style="1959" customWidth="1"/>
    <col min="12292" max="12292" width="7.5703125" style="1959" customWidth="1"/>
    <col min="12293" max="12293" width="11.5703125" style="1959" bestFit="1" customWidth="1"/>
    <col min="12294" max="12294" width="10" style="1959" bestFit="1" customWidth="1"/>
    <col min="12295" max="12295" width="11" style="1959" customWidth="1"/>
    <col min="12296" max="12296" width="11.140625" style="1959" bestFit="1" customWidth="1"/>
    <col min="12297" max="12297" width="0" style="1959" hidden="1" customWidth="1"/>
    <col min="12298" max="12298" width="11.42578125" style="1959" customWidth="1"/>
    <col min="12299" max="12299" width="0" style="1959" hidden="1" customWidth="1"/>
    <col min="12300" max="12300" width="10.140625" style="1959" customWidth="1"/>
    <col min="12301" max="12301" width="11.28515625" style="1959" bestFit="1" customWidth="1"/>
    <col min="12302" max="12302" width="8.85546875" style="1959" bestFit="1" customWidth="1"/>
    <col min="12303" max="12544" width="8.42578125" style="1959"/>
    <col min="12545" max="12545" width="17.28515625" style="1959" customWidth="1"/>
    <col min="12546" max="12546" width="4.140625" style="1959" customWidth="1"/>
    <col min="12547" max="12547" width="9.28515625" style="1959" customWidth="1"/>
    <col min="12548" max="12548" width="7.5703125" style="1959" customWidth="1"/>
    <col min="12549" max="12549" width="11.5703125" style="1959" bestFit="1" customWidth="1"/>
    <col min="12550" max="12550" width="10" style="1959" bestFit="1" customWidth="1"/>
    <col min="12551" max="12551" width="11" style="1959" customWidth="1"/>
    <col min="12552" max="12552" width="11.140625" style="1959" bestFit="1" customWidth="1"/>
    <col min="12553" max="12553" width="0" style="1959" hidden="1" customWidth="1"/>
    <col min="12554" max="12554" width="11.42578125" style="1959" customWidth="1"/>
    <col min="12555" max="12555" width="0" style="1959" hidden="1" customWidth="1"/>
    <col min="12556" max="12556" width="10.140625" style="1959" customWidth="1"/>
    <col min="12557" max="12557" width="11.28515625" style="1959" bestFit="1" customWidth="1"/>
    <col min="12558" max="12558" width="8.85546875" style="1959" bestFit="1" customWidth="1"/>
    <col min="12559" max="12800" width="8.42578125" style="1959"/>
    <col min="12801" max="12801" width="17.28515625" style="1959" customWidth="1"/>
    <col min="12802" max="12802" width="4.140625" style="1959" customWidth="1"/>
    <col min="12803" max="12803" width="9.28515625" style="1959" customWidth="1"/>
    <col min="12804" max="12804" width="7.5703125" style="1959" customWidth="1"/>
    <col min="12805" max="12805" width="11.5703125" style="1959" bestFit="1" customWidth="1"/>
    <col min="12806" max="12806" width="10" style="1959" bestFit="1" customWidth="1"/>
    <col min="12807" max="12807" width="11" style="1959" customWidth="1"/>
    <col min="12808" max="12808" width="11.140625" style="1959" bestFit="1" customWidth="1"/>
    <col min="12809" max="12809" width="0" style="1959" hidden="1" customWidth="1"/>
    <col min="12810" max="12810" width="11.42578125" style="1959" customWidth="1"/>
    <col min="12811" max="12811" width="0" style="1959" hidden="1" customWidth="1"/>
    <col min="12812" max="12812" width="10.140625" style="1959" customWidth="1"/>
    <col min="12813" max="12813" width="11.28515625" style="1959" bestFit="1" customWidth="1"/>
    <col min="12814" max="12814" width="8.85546875" style="1959" bestFit="1" customWidth="1"/>
    <col min="12815" max="13056" width="8.42578125" style="1959"/>
    <col min="13057" max="13057" width="17.28515625" style="1959" customWidth="1"/>
    <col min="13058" max="13058" width="4.140625" style="1959" customWidth="1"/>
    <col min="13059" max="13059" width="9.28515625" style="1959" customWidth="1"/>
    <col min="13060" max="13060" width="7.5703125" style="1959" customWidth="1"/>
    <col min="13061" max="13061" width="11.5703125" style="1959" bestFit="1" customWidth="1"/>
    <col min="13062" max="13062" width="10" style="1959" bestFit="1" customWidth="1"/>
    <col min="13063" max="13063" width="11" style="1959" customWidth="1"/>
    <col min="13064" max="13064" width="11.140625" style="1959" bestFit="1" customWidth="1"/>
    <col min="13065" max="13065" width="0" style="1959" hidden="1" customWidth="1"/>
    <col min="13066" max="13066" width="11.42578125" style="1959" customWidth="1"/>
    <col min="13067" max="13067" width="0" style="1959" hidden="1" customWidth="1"/>
    <col min="13068" max="13068" width="10.140625" style="1959" customWidth="1"/>
    <col min="13069" max="13069" width="11.28515625" style="1959" bestFit="1" customWidth="1"/>
    <col min="13070" max="13070" width="8.85546875" style="1959" bestFit="1" customWidth="1"/>
    <col min="13071" max="13312" width="8.42578125" style="1959"/>
    <col min="13313" max="13313" width="17.28515625" style="1959" customWidth="1"/>
    <col min="13314" max="13314" width="4.140625" style="1959" customWidth="1"/>
    <col min="13315" max="13315" width="9.28515625" style="1959" customWidth="1"/>
    <col min="13316" max="13316" width="7.5703125" style="1959" customWidth="1"/>
    <col min="13317" max="13317" width="11.5703125" style="1959" bestFit="1" customWidth="1"/>
    <col min="13318" max="13318" width="10" style="1959" bestFit="1" customWidth="1"/>
    <col min="13319" max="13319" width="11" style="1959" customWidth="1"/>
    <col min="13320" max="13320" width="11.140625" style="1959" bestFit="1" customWidth="1"/>
    <col min="13321" max="13321" width="0" style="1959" hidden="1" customWidth="1"/>
    <col min="13322" max="13322" width="11.42578125" style="1959" customWidth="1"/>
    <col min="13323" max="13323" width="0" style="1959" hidden="1" customWidth="1"/>
    <col min="13324" max="13324" width="10.140625" style="1959" customWidth="1"/>
    <col min="13325" max="13325" width="11.28515625" style="1959" bestFit="1" customWidth="1"/>
    <col min="13326" max="13326" width="8.85546875" style="1959" bestFit="1" customWidth="1"/>
    <col min="13327" max="13568" width="8.42578125" style="1959"/>
    <col min="13569" max="13569" width="17.28515625" style="1959" customWidth="1"/>
    <col min="13570" max="13570" width="4.140625" style="1959" customWidth="1"/>
    <col min="13571" max="13571" width="9.28515625" style="1959" customWidth="1"/>
    <col min="13572" max="13572" width="7.5703125" style="1959" customWidth="1"/>
    <col min="13573" max="13573" width="11.5703125" style="1959" bestFit="1" customWidth="1"/>
    <col min="13574" max="13574" width="10" style="1959" bestFit="1" customWidth="1"/>
    <col min="13575" max="13575" width="11" style="1959" customWidth="1"/>
    <col min="13576" max="13576" width="11.140625" style="1959" bestFit="1" customWidth="1"/>
    <col min="13577" max="13577" width="0" style="1959" hidden="1" customWidth="1"/>
    <col min="13578" max="13578" width="11.42578125" style="1959" customWidth="1"/>
    <col min="13579" max="13579" width="0" style="1959" hidden="1" customWidth="1"/>
    <col min="13580" max="13580" width="10.140625" style="1959" customWidth="1"/>
    <col min="13581" max="13581" width="11.28515625" style="1959" bestFit="1" customWidth="1"/>
    <col min="13582" max="13582" width="8.85546875" style="1959" bestFit="1" customWidth="1"/>
    <col min="13583" max="13824" width="8.42578125" style="1959"/>
    <col min="13825" max="13825" width="17.28515625" style="1959" customWidth="1"/>
    <col min="13826" max="13826" width="4.140625" style="1959" customWidth="1"/>
    <col min="13827" max="13827" width="9.28515625" style="1959" customWidth="1"/>
    <col min="13828" max="13828" width="7.5703125" style="1959" customWidth="1"/>
    <col min="13829" max="13829" width="11.5703125" style="1959" bestFit="1" customWidth="1"/>
    <col min="13830" max="13830" width="10" style="1959" bestFit="1" customWidth="1"/>
    <col min="13831" max="13831" width="11" style="1959" customWidth="1"/>
    <col min="13832" max="13832" width="11.140625" style="1959" bestFit="1" customWidth="1"/>
    <col min="13833" max="13833" width="0" style="1959" hidden="1" customWidth="1"/>
    <col min="13834" max="13834" width="11.42578125" style="1959" customWidth="1"/>
    <col min="13835" max="13835" width="0" style="1959" hidden="1" customWidth="1"/>
    <col min="13836" max="13836" width="10.140625" style="1959" customWidth="1"/>
    <col min="13837" max="13837" width="11.28515625" style="1959" bestFit="1" customWidth="1"/>
    <col min="13838" max="13838" width="8.85546875" style="1959" bestFit="1" customWidth="1"/>
    <col min="13839" max="14080" width="8.42578125" style="1959"/>
    <col min="14081" max="14081" width="17.28515625" style="1959" customWidth="1"/>
    <col min="14082" max="14082" width="4.140625" style="1959" customWidth="1"/>
    <col min="14083" max="14083" width="9.28515625" style="1959" customWidth="1"/>
    <col min="14084" max="14084" width="7.5703125" style="1959" customWidth="1"/>
    <col min="14085" max="14085" width="11.5703125" style="1959" bestFit="1" customWidth="1"/>
    <col min="14086" max="14086" width="10" style="1959" bestFit="1" customWidth="1"/>
    <col min="14087" max="14087" width="11" style="1959" customWidth="1"/>
    <col min="14088" max="14088" width="11.140625" style="1959" bestFit="1" customWidth="1"/>
    <col min="14089" max="14089" width="0" style="1959" hidden="1" customWidth="1"/>
    <col min="14090" max="14090" width="11.42578125" style="1959" customWidth="1"/>
    <col min="14091" max="14091" width="0" style="1959" hidden="1" customWidth="1"/>
    <col min="14092" max="14092" width="10.140625" style="1959" customWidth="1"/>
    <col min="14093" max="14093" width="11.28515625" style="1959" bestFit="1" customWidth="1"/>
    <col min="14094" max="14094" width="8.85546875" style="1959" bestFit="1" customWidth="1"/>
    <col min="14095" max="14336" width="8.42578125" style="1959"/>
    <col min="14337" max="14337" width="17.28515625" style="1959" customWidth="1"/>
    <col min="14338" max="14338" width="4.140625" style="1959" customWidth="1"/>
    <col min="14339" max="14339" width="9.28515625" style="1959" customWidth="1"/>
    <col min="14340" max="14340" width="7.5703125" style="1959" customWidth="1"/>
    <col min="14341" max="14341" width="11.5703125" style="1959" bestFit="1" customWidth="1"/>
    <col min="14342" max="14342" width="10" style="1959" bestFit="1" customWidth="1"/>
    <col min="14343" max="14343" width="11" style="1959" customWidth="1"/>
    <col min="14344" max="14344" width="11.140625" style="1959" bestFit="1" customWidth="1"/>
    <col min="14345" max="14345" width="0" style="1959" hidden="1" customWidth="1"/>
    <col min="14346" max="14346" width="11.42578125" style="1959" customWidth="1"/>
    <col min="14347" max="14347" width="0" style="1959" hidden="1" customWidth="1"/>
    <col min="14348" max="14348" width="10.140625" style="1959" customWidth="1"/>
    <col min="14349" max="14349" width="11.28515625" style="1959" bestFit="1" customWidth="1"/>
    <col min="14350" max="14350" width="8.85546875" style="1959" bestFit="1" customWidth="1"/>
    <col min="14351" max="14592" width="8.42578125" style="1959"/>
    <col min="14593" max="14593" width="17.28515625" style="1959" customWidth="1"/>
    <col min="14594" max="14594" width="4.140625" style="1959" customWidth="1"/>
    <col min="14595" max="14595" width="9.28515625" style="1959" customWidth="1"/>
    <col min="14596" max="14596" width="7.5703125" style="1959" customWidth="1"/>
    <col min="14597" max="14597" width="11.5703125" style="1959" bestFit="1" customWidth="1"/>
    <col min="14598" max="14598" width="10" style="1959" bestFit="1" customWidth="1"/>
    <col min="14599" max="14599" width="11" style="1959" customWidth="1"/>
    <col min="14600" max="14600" width="11.140625" style="1959" bestFit="1" customWidth="1"/>
    <col min="14601" max="14601" width="0" style="1959" hidden="1" customWidth="1"/>
    <col min="14602" max="14602" width="11.42578125" style="1959" customWidth="1"/>
    <col min="14603" max="14603" width="0" style="1959" hidden="1" customWidth="1"/>
    <col min="14604" max="14604" width="10.140625" style="1959" customWidth="1"/>
    <col min="14605" max="14605" width="11.28515625" style="1959" bestFit="1" customWidth="1"/>
    <col min="14606" max="14606" width="8.85546875" style="1959" bestFit="1" customWidth="1"/>
    <col min="14607" max="14848" width="8.42578125" style="1959"/>
    <col min="14849" max="14849" width="17.28515625" style="1959" customWidth="1"/>
    <col min="14850" max="14850" width="4.140625" style="1959" customWidth="1"/>
    <col min="14851" max="14851" width="9.28515625" style="1959" customWidth="1"/>
    <col min="14852" max="14852" width="7.5703125" style="1959" customWidth="1"/>
    <col min="14853" max="14853" width="11.5703125" style="1959" bestFit="1" customWidth="1"/>
    <col min="14854" max="14854" width="10" style="1959" bestFit="1" customWidth="1"/>
    <col min="14855" max="14855" width="11" style="1959" customWidth="1"/>
    <col min="14856" max="14856" width="11.140625" style="1959" bestFit="1" customWidth="1"/>
    <col min="14857" max="14857" width="0" style="1959" hidden="1" customWidth="1"/>
    <col min="14858" max="14858" width="11.42578125" style="1959" customWidth="1"/>
    <col min="14859" max="14859" width="0" style="1959" hidden="1" customWidth="1"/>
    <col min="14860" max="14860" width="10.140625" style="1959" customWidth="1"/>
    <col min="14861" max="14861" width="11.28515625" style="1959" bestFit="1" customWidth="1"/>
    <col min="14862" max="14862" width="8.85546875" style="1959" bestFit="1" customWidth="1"/>
    <col min="14863" max="15104" width="8.42578125" style="1959"/>
    <col min="15105" max="15105" width="17.28515625" style="1959" customWidth="1"/>
    <col min="15106" max="15106" width="4.140625" style="1959" customWidth="1"/>
    <col min="15107" max="15107" width="9.28515625" style="1959" customWidth="1"/>
    <col min="15108" max="15108" width="7.5703125" style="1959" customWidth="1"/>
    <col min="15109" max="15109" width="11.5703125" style="1959" bestFit="1" customWidth="1"/>
    <col min="15110" max="15110" width="10" style="1959" bestFit="1" customWidth="1"/>
    <col min="15111" max="15111" width="11" style="1959" customWidth="1"/>
    <col min="15112" max="15112" width="11.140625" style="1959" bestFit="1" customWidth="1"/>
    <col min="15113" max="15113" width="0" style="1959" hidden="1" customWidth="1"/>
    <col min="15114" max="15114" width="11.42578125" style="1959" customWidth="1"/>
    <col min="15115" max="15115" width="0" style="1959" hidden="1" customWidth="1"/>
    <col min="15116" max="15116" width="10.140625" style="1959" customWidth="1"/>
    <col min="15117" max="15117" width="11.28515625" style="1959" bestFit="1" customWidth="1"/>
    <col min="15118" max="15118" width="8.85546875" style="1959" bestFit="1" customWidth="1"/>
    <col min="15119" max="15360" width="8.42578125" style="1959"/>
    <col min="15361" max="15361" width="17.28515625" style="1959" customWidth="1"/>
    <col min="15362" max="15362" width="4.140625" style="1959" customWidth="1"/>
    <col min="15363" max="15363" width="9.28515625" style="1959" customWidth="1"/>
    <col min="15364" max="15364" width="7.5703125" style="1959" customWidth="1"/>
    <col min="15365" max="15365" width="11.5703125" style="1959" bestFit="1" customWidth="1"/>
    <col min="15366" max="15366" width="10" style="1959" bestFit="1" customWidth="1"/>
    <col min="15367" max="15367" width="11" style="1959" customWidth="1"/>
    <col min="15368" max="15368" width="11.140625" style="1959" bestFit="1" customWidth="1"/>
    <col min="15369" max="15369" width="0" style="1959" hidden="1" customWidth="1"/>
    <col min="15370" max="15370" width="11.42578125" style="1959" customWidth="1"/>
    <col min="15371" max="15371" width="0" style="1959" hidden="1" customWidth="1"/>
    <col min="15372" max="15372" width="10.140625" style="1959" customWidth="1"/>
    <col min="15373" max="15373" width="11.28515625" style="1959" bestFit="1" customWidth="1"/>
    <col min="15374" max="15374" width="8.85546875" style="1959" bestFit="1" customWidth="1"/>
    <col min="15375" max="15616" width="8.42578125" style="1959"/>
    <col min="15617" max="15617" width="17.28515625" style="1959" customWidth="1"/>
    <col min="15618" max="15618" width="4.140625" style="1959" customWidth="1"/>
    <col min="15619" max="15619" width="9.28515625" style="1959" customWidth="1"/>
    <col min="15620" max="15620" width="7.5703125" style="1959" customWidth="1"/>
    <col min="15621" max="15621" width="11.5703125" style="1959" bestFit="1" customWidth="1"/>
    <col min="15622" max="15622" width="10" style="1959" bestFit="1" customWidth="1"/>
    <col min="15623" max="15623" width="11" style="1959" customWidth="1"/>
    <col min="15624" max="15624" width="11.140625" style="1959" bestFit="1" customWidth="1"/>
    <col min="15625" max="15625" width="0" style="1959" hidden="1" customWidth="1"/>
    <col min="15626" max="15626" width="11.42578125" style="1959" customWidth="1"/>
    <col min="15627" max="15627" width="0" style="1959" hidden="1" customWidth="1"/>
    <col min="15628" max="15628" width="10.140625" style="1959" customWidth="1"/>
    <col min="15629" max="15629" width="11.28515625" style="1959" bestFit="1" customWidth="1"/>
    <col min="15630" max="15630" width="8.85546875" style="1959" bestFit="1" customWidth="1"/>
    <col min="15631" max="15872" width="8.42578125" style="1959"/>
    <col min="15873" max="15873" width="17.28515625" style="1959" customWidth="1"/>
    <col min="15874" max="15874" width="4.140625" style="1959" customWidth="1"/>
    <col min="15875" max="15875" width="9.28515625" style="1959" customWidth="1"/>
    <col min="15876" max="15876" width="7.5703125" style="1959" customWidth="1"/>
    <col min="15877" max="15877" width="11.5703125" style="1959" bestFit="1" customWidth="1"/>
    <col min="15878" max="15878" width="10" style="1959" bestFit="1" customWidth="1"/>
    <col min="15879" max="15879" width="11" style="1959" customWidth="1"/>
    <col min="15880" max="15880" width="11.140625" style="1959" bestFit="1" customWidth="1"/>
    <col min="15881" max="15881" width="0" style="1959" hidden="1" customWidth="1"/>
    <col min="15882" max="15882" width="11.42578125" style="1959" customWidth="1"/>
    <col min="15883" max="15883" width="0" style="1959" hidden="1" customWidth="1"/>
    <col min="15884" max="15884" width="10.140625" style="1959" customWidth="1"/>
    <col min="15885" max="15885" width="11.28515625" style="1959" bestFit="1" customWidth="1"/>
    <col min="15886" max="15886" width="8.85546875" style="1959" bestFit="1" customWidth="1"/>
    <col min="15887" max="16128" width="8.42578125" style="1959"/>
    <col min="16129" max="16129" width="17.28515625" style="1959" customWidth="1"/>
    <col min="16130" max="16130" width="4.140625" style="1959" customWidth="1"/>
    <col min="16131" max="16131" width="9.28515625" style="1959" customWidth="1"/>
    <col min="16132" max="16132" width="7.5703125" style="1959" customWidth="1"/>
    <col min="16133" max="16133" width="11.5703125" style="1959" bestFit="1" customWidth="1"/>
    <col min="16134" max="16134" width="10" style="1959" bestFit="1" customWidth="1"/>
    <col min="16135" max="16135" width="11" style="1959" customWidth="1"/>
    <col min="16136" max="16136" width="11.140625" style="1959" bestFit="1" customWidth="1"/>
    <col min="16137" max="16137" width="0" style="1959" hidden="1" customWidth="1"/>
    <col min="16138" max="16138" width="11.42578125" style="1959" customWidth="1"/>
    <col min="16139" max="16139" width="0" style="1959" hidden="1" customWidth="1"/>
    <col min="16140" max="16140" width="10.140625" style="1959" customWidth="1"/>
    <col min="16141" max="16141" width="11.28515625" style="1959" bestFit="1" customWidth="1"/>
    <col min="16142" max="16142" width="8.85546875" style="1959" bestFit="1" customWidth="1"/>
    <col min="16143" max="16384" width="8.42578125" style="1959"/>
  </cols>
  <sheetData>
    <row r="1" spans="1:15" x14ac:dyDescent="0.15">
      <c r="A1" s="2583" t="s">
        <v>2113</v>
      </c>
      <c r="B1" s="2583"/>
      <c r="C1" s="2583"/>
      <c r="D1" s="2583"/>
      <c r="E1" s="2583"/>
      <c r="F1" s="2583"/>
      <c r="G1" s="2583"/>
      <c r="H1" s="2583"/>
      <c r="I1" s="2583"/>
      <c r="J1" s="2583"/>
      <c r="K1" s="2583"/>
      <c r="L1" s="2583"/>
      <c r="M1" s="2583"/>
      <c r="N1" s="2583"/>
    </row>
    <row r="2" spans="1:15" x14ac:dyDescent="0.15">
      <c r="A2" s="2584" t="s">
        <v>2114</v>
      </c>
      <c r="B2" s="2584"/>
      <c r="C2" s="2584"/>
      <c r="D2" s="2584"/>
      <c r="E2" s="2584"/>
      <c r="F2" s="2584"/>
      <c r="G2" s="2584"/>
      <c r="H2" s="2584"/>
      <c r="I2" s="2584"/>
      <c r="J2" s="2584"/>
      <c r="K2" s="2584"/>
      <c r="L2" s="2584"/>
      <c r="M2" s="2584"/>
      <c r="N2" s="2584"/>
    </row>
    <row r="3" spans="1:15" x14ac:dyDescent="0.15">
      <c r="A3" s="2583" t="s">
        <v>1219</v>
      </c>
      <c r="B3" s="2583"/>
      <c r="C3" s="2583"/>
      <c r="D3" s="2583"/>
      <c r="E3" s="2583"/>
      <c r="F3" s="2583"/>
      <c r="G3" s="2583"/>
      <c r="H3" s="2583"/>
      <c r="I3" s="2583"/>
      <c r="J3" s="2583"/>
      <c r="K3" s="2583"/>
      <c r="L3" s="2583"/>
      <c r="M3" s="2583"/>
      <c r="N3" s="2583"/>
    </row>
    <row r="4" spans="1:15" x14ac:dyDescent="0.15">
      <c r="A4" s="2583" t="s">
        <v>1986</v>
      </c>
      <c r="B4" s="2583"/>
      <c r="C4" s="2583"/>
      <c r="D4" s="2583"/>
      <c r="E4" s="2583"/>
      <c r="F4" s="2583"/>
      <c r="G4" s="2583"/>
      <c r="H4" s="2583"/>
      <c r="I4" s="2583"/>
      <c r="J4" s="2583"/>
      <c r="K4" s="2583"/>
      <c r="L4" s="2583"/>
      <c r="M4" s="2583"/>
      <c r="N4" s="2583"/>
    </row>
    <row r="5" spans="1:15" ht="11.25" thickBot="1" x14ac:dyDescent="0.2">
      <c r="A5" s="1960"/>
      <c r="B5" s="1960"/>
      <c r="C5" s="1960"/>
      <c r="D5" s="1960"/>
      <c r="E5" s="1960"/>
      <c r="F5" s="1960"/>
      <c r="G5" s="1961"/>
      <c r="H5" s="1960"/>
      <c r="I5" s="1960"/>
      <c r="J5" s="1962"/>
      <c r="K5" s="1962"/>
      <c r="L5" s="1962"/>
      <c r="M5" s="1962"/>
      <c r="N5" s="1963"/>
    </row>
    <row r="6" spans="1:15" s="1927" customFormat="1" ht="9" customHeight="1" thickTop="1" x14ac:dyDescent="0.2">
      <c r="D6" s="1928"/>
      <c r="E6" s="1957" t="s">
        <v>2115</v>
      </c>
      <c r="G6" s="1929"/>
      <c r="J6" s="1930"/>
      <c r="K6" s="1931"/>
      <c r="L6" s="1929"/>
      <c r="M6" s="1929"/>
      <c r="N6" s="1956"/>
      <c r="O6" s="1964"/>
    </row>
    <row r="7" spans="1:15" s="1927" customFormat="1" ht="11.25" x14ac:dyDescent="0.2">
      <c r="A7" s="1932" t="s">
        <v>2116</v>
      </c>
      <c r="B7" s="1933"/>
      <c r="C7" s="1933"/>
      <c r="D7" s="1934" t="s">
        <v>1264</v>
      </c>
      <c r="E7" s="1935" t="s">
        <v>2117</v>
      </c>
      <c r="F7" s="1936" t="s">
        <v>527</v>
      </c>
      <c r="G7" s="1937"/>
      <c r="H7" s="1936" t="s">
        <v>2118</v>
      </c>
      <c r="I7" s="1936"/>
      <c r="J7" s="1937"/>
      <c r="K7" s="1938"/>
      <c r="L7" s="1929"/>
      <c r="M7" s="1929"/>
      <c r="N7" s="1956"/>
      <c r="O7" s="1964"/>
    </row>
    <row r="8" spans="1:15" s="1927" customFormat="1" ht="11.25" x14ac:dyDescent="0.2">
      <c r="A8" s="1932" t="s">
        <v>1266</v>
      </c>
      <c r="B8" s="1933"/>
      <c r="C8" s="1933"/>
      <c r="D8" s="1934" t="s">
        <v>2119</v>
      </c>
      <c r="E8" s="1935" t="s">
        <v>1263</v>
      </c>
      <c r="F8" s="1939" t="s">
        <v>2120</v>
      </c>
      <c r="G8" s="1939" t="s">
        <v>2121</v>
      </c>
      <c r="H8" s="1939" t="s">
        <v>2120</v>
      </c>
      <c r="I8" s="1939" t="s">
        <v>2122</v>
      </c>
      <c r="J8" s="1939" t="s">
        <v>2121</v>
      </c>
      <c r="K8" s="1940" t="s">
        <v>2122</v>
      </c>
      <c r="L8" s="1941" t="s">
        <v>1261</v>
      </c>
      <c r="M8" s="1941" t="s">
        <v>2123</v>
      </c>
      <c r="N8" s="1956"/>
      <c r="O8" s="1964"/>
    </row>
    <row r="9" spans="1:15" s="1927" customFormat="1" ht="11.25" x14ac:dyDescent="0.2">
      <c r="A9" s="2585" t="s">
        <v>1259</v>
      </c>
      <c r="B9" s="2585"/>
      <c r="C9" s="2586"/>
      <c r="D9" s="1928"/>
      <c r="E9" s="1935" t="s">
        <v>2124</v>
      </c>
      <c r="F9" s="1939" t="s">
        <v>2125</v>
      </c>
      <c r="G9" s="1939" t="s">
        <v>2126</v>
      </c>
      <c r="H9" s="1939" t="s">
        <v>2125</v>
      </c>
      <c r="I9" s="1939" t="s">
        <v>2125</v>
      </c>
      <c r="J9" s="1939" t="s">
        <v>2126</v>
      </c>
      <c r="K9" s="1939" t="s">
        <v>2125</v>
      </c>
      <c r="L9" s="1941" t="s">
        <v>1258</v>
      </c>
      <c r="M9" s="1941" t="s">
        <v>1257</v>
      </c>
      <c r="N9" s="1942" t="s">
        <v>30</v>
      </c>
      <c r="O9" s="1964"/>
    </row>
    <row r="10" spans="1:15" s="1927" customFormat="1" ht="11.25" x14ac:dyDescent="0.2">
      <c r="A10" s="1932" t="s">
        <v>1256</v>
      </c>
      <c r="B10" s="1933"/>
      <c r="C10" s="1933"/>
      <c r="D10" s="1928"/>
      <c r="E10" s="1929"/>
      <c r="F10" s="1929"/>
      <c r="G10" s="1929"/>
      <c r="H10" s="1929"/>
      <c r="I10" s="1943" t="s">
        <v>2127</v>
      </c>
      <c r="J10" s="1929"/>
      <c r="K10" s="1957" t="s">
        <v>2127</v>
      </c>
      <c r="L10" s="1929"/>
      <c r="M10" s="1929"/>
      <c r="N10" s="1956"/>
      <c r="O10" s="1964"/>
    </row>
    <row r="11" spans="1:15" s="1927" customFormat="1" ht="12" thickBot="1" x14ac:dyDescent="0.25">
      <c r="A11" s="1944"/>
      <c r="B11" s="1944"/>
      <c r="C11" s="1944"/>
      <c r="D11" s="1945" t="s">
        <v>1255</v>
      </c>
      <c r="E11" s="1946" t="s">
        <v>1254</v>
      </c>
      <c r="F11" s="1947" t="s">
        <v>1253</v>
      </c>
      <c r="G11" s="1947" t="s">
        <v>1252</v>
      </c>
      <c r="H11" s="1947" t="s">
        <v>1251</v>
      </c>
      <c r="I11" s="1947" t="s">
        <v>1266</v>
      </c>
      <c r="J11" s="1947" t="s">
        <v>1250</v>
      </c>
      <c r="K11" s="1947" t="s">
        <v>1266</v>
      </c>
      <c r="L11" s="1947" t="s">
        <v>1249</v>
      </c>
      <c r="M11" s="1947" t="s">
        <v>1248</v>
      </c>
      <c r="N11" s="1948" t="s">
        <v>1247</v>
      </c>
      <c r="O11" s="1964"/>
    </row>
    <row r="12" spans="1:15" s="1927" customFormat="1" ht="12" thickTop="1" x14ac:dyDescent="0.2">
      <c r="A12" s="1965" t="s">
        <v>2128</v>
      </c>
      <c r="C12" s="1929"/>
      <c r="D12" s="1929"/>
      <c r="E12" s="1929"/>
      <c r="F12" s="1929"/>
      <c r="G12" s="1929"/>
      <c r="H12" s="1929"/>
      <c r="I12" s="1929"/>
      <c r="J12" s="1929"/>
      <c r="K12" s="1929"/>
      <c r="L12" s="1929"/>
      <c r="M12" s="1929"/>
      <c r="N12" s="1956"/>
      <c r="O12" s="1964"/>
    </row>
    <row r="13" spans="1:15" s="1927" customFormat="1" ht="11.25" x14ac:dyDescent="0.2">
      <c r="A13" s="1966" t="s">
        <v>2129</v>
      </c>
      <c r="B13" s="1967"/>
      <c r="C13" s="1968"/>
      <c r="D13" s="1968"/>
      <c r="E13" s="1968"/>
      <c r="F13" s="1968"/>
      <c r="G13" s="1968"/>
      <c r="H13" s="1968"/>
      <c r="I13" s="1968"/>
      <c r="J13" s="1968"/>
      <c r="K13" s="1968"/>
      <c r="L13" s="1929"/>
      <c r="M13" s="1968"/>
      <c r="N13" s="1969"/>
      <c r="O13" s="1964"/>
    </row>
    <row r="14" spans="1:15" s="1927" customFormat="1" ht="11.25" x14ac:dyDescent="0.2">
      <c r="C14" s="1929"/>
      <c r="D14" s="1929"/>
      <c r="E14" s="1929"/>
      <c r="F14" s="1970"/>
      <c r="G14" s="1971"/>
      <c r="H14" s="1971"/>
      <c r="I14" s="1972"/>
      <c r="J14" s="1973"/>
      <c r="K14" s="1974"/>
      <c r="L14" s="1975"/>
      <c r="M14" s="1971"/>
      <c r="N14" s="1974"/>
      <c r="O14" s="1964"/>
    </row>
    <row r="15" spans="1:15" s="1927" customFormat="1" ht="11.25" x14ac:dyDescent="0.2">
      <c r="A15" s="1976" t="s">
        <v>2130</v>
      </c>
      <c r="B15" s="1967"/>
      <c r="C15" s="1968"/>
      <c r="D15" s="1977" t="s">
        <v>2131</v>
      </c>
      <c r="E15" s="1977" t="s">
        <v>2132</v>
      </c>
      <c r="F15" s="1978">
        <v>231645</v>
      </c>
      <c r="G15" s="1979">
        <v>43148</v>
      </c>
      <c r="H15" s="1979">
        <v>272502</v>
      </c>
      <c r="I15" s="1980">
        <v>0</v>
      </c>
      <c r="J15" s="1981">
        <v>2291</v>
      </c>
      <c r="K15" s="1982">
        <v>0</v>
      </c>
      <c r="L15" s="1978">
        <v>0</v>
      </c>
      <c r="M15" s="1981">
        <f>SUM(H15:L15)</f>
        <v>274793</v>
      </c>
      <c r="N15" s="1983">
        <v>305124</v>
      </c>
      <c r="O15" s="1984"/>
    </row>
    <row r="16" spans="1:15" s="1927" customFormat="1" ht="11.25" x14ac:dyDescent="0.2">
      <c r="A16" s="1985"/>
      <c r="B16" s="1986"/>
      <c r="C16" s="1929"/>
      <c r="D16" s="1939"/>
      <c r="E16" s="1929"/>
      <c r="F16" s="1973"/>
      <c r="G16" s="1987"/>
      <c r="H16" s="1988"/>
      <c r="I16" s="1988"/>
      <c r="J16" s="1988"/>
      <c r="K16" s="1988"/>
      <c r="L16" s="1988"/>
      <c r="M16" s="1988"/>
      <c r="N16" s="1974"/>
      <c r="O16" s="1964"/>
    </row>
    <row r="17" spans="1:15" s="1927" customFormat="1" ht="11.25" x14ac:dyDescent="0.2">
      <c r="A17" s="1989"/>
      <c r="B17" s="1990"/>
      <c r="C17" s="1991"/>
      <c r="D17" s="1977" t="s">
        <v>2131</v>
      </c>
      <c r="E17" s="1977" t="s">
        <v>2133</v>
      </c>
      <c r="F17" s="1979">
        <v>0</v>
      </c>
      <c r="G17" s="1978">
        <v>228451</v>
      </c>
      <c r="H17" s="1979">
        <v>0</v>
      </c>
      <c r="I17" s="1979">
        <v>0</v>
      </c>
      <c r="J17" s="1979">
        <v>289868</v>
      </c>
      <c r="K17" s="1979">
        <v>0</v>
      </c>
      <c r="L17" s="1979">
        <v>0</v>
      </c>
      <c r="M17" s="1988">
        <f>SUM(H17:L17)</f>
        <v>289868</v>
      </c>
      <c r="N17" s="1983">
        <v>332424</v>
      </c>
      <c r="O17" s="1984"/>
    </row>
    <row r="18" spans="1:15" s="1927" customFormat="1" ht="11.25" x14ac:dyDescent="0.2">
      <c r="A18" s="1985" t="s">
        <v>2134</v>
      </c>
      <c r="B18" s="1986"/>
      <c r="C18" s="1929"/>
      <c r="D18" s="1939"/>
      <c r="E18" s="1992"/>
      <c r="F18" s="1987">
        <f>SUBTOTAL(9,F15:F17)</f>
        <v>231645</v>
      </c>
      <c r="G18" s="1993">
        <f t="shared" ref="G18:M18" si="0">SUBTOTAL(9,G15:G17)</f>
        <v>271599</v>
      </c>
      <c r="H18" s="1987">
        <f t="shared" si="0"/>
        <v>272502</v>
      </c>
      <c r="I18" s="1993">
        <f t="shared" si="0"/>
        <v>0</v>
      </c>
      <c r="J18" s="1987">
        <f t="shared" si="0"/>
        <v>292159</v>
      </c>
      <c r="K18" s="1987">
        <f t="shared" si="0"/>
        <v>0</v>
      </c>
      <c r="L18" s="1993">
        <f t="shared" si="0"/>
        <v>0</v>
      </c>
      <c r="M18" s="1987">
        <f t="shared" si="0"/>
        <v>564661</v>
      </c>
      <c r="N18" s="1994"/>
      <c r="O18" s="1984"/>
    </row>
    <row r="19" spans="1:15" s="1927" customFormat="1" ht="11.25" x14ac:dyDescent="0.2">
      <c r="A19" s="1985"/>
      <c r="B19" s="1986"/>
      <c r="C19" s="1929"/>
      <c r="D19" s="1939"/>
      <c r="E19" s="1992"/>
      <c r="F19" s="1995"/>
      <c r="G19" s="1993"/>
      <c r="H19" s="1995"/>
      <c r="I19" s="1993"/>
      <c r="J19" s="1995"/>
      <c r="K19" s="1995"/>
      <c r="L19" s="1993"/>
      <c r="M19" s="1995"/>
      <c r="N19" s="1996"/>
      <c r="O19" s="1984"/>
    </row>
    <row r="20" spans="1:15" s="1927" customFormat="1" ht="11.25" x14ac:dyDescent="0.2">
      <c r="A20" s="1976" t="s">
        <v>758</v>
      </c>
      <c r="B20" s="1967"/>
      <c r="C20" s="1968"/>
      <c r="D20" s="1977" t="s">
        <v>2135</v>
      </c>
      <c r="E20" s="1997" t="s">
        <v>2136</v>
      </c>
      <c r="F20" s="1978">
        <v>37200</v>
      </c>
      <c r="G20" s="1982">
        <v>14604</v>
      </c>
      <c r="H20" s="1978">
        <v>51538</v>
      </c>
      <c r="I20" s="1982">
        <v>0</v>
      </c>
      <c r="J20" s="1978">
        <v>266</v>
      </c>
      <c r="K20" s="1978">
        <v>0</v>
      </c>
      <c r="L20" s="1982">
        <v>0</v>
      </c>
      <c r="M20" s="1978">
        <f>SUM(H20:L20)</f>
        <v>51804</v>
      </c>
      <c r="N20" s="1998">
        <v>58495</v>
      </c>
      <c r="O20" s="1984"/>
    </row>
    <row r="21" spans="1:15" s="1927" customFormat="1" ht="11.25" x14ac:dyDescent="0.2">
      <c r="A21" s="1999"/>
      <c r="C21" s="1929"/>
      <c r="D21" s="1929"/>
      <c r="E21" s="1929"/>
      <c r="F21" s="2000"/>
      <c r="G21" s="1975"/>
      <c r="H21" s="1971"/>
      <c r="I21" s="1971"/>
      <c r="J21" s="1971"/>
      <c r="K21" s="1971"/>
      <c r="L21" s="1972"/>
      <c r="M21" s="1987"/>
      <c r="N21" s="2001"/>
      <c r="O21" s="1964"/>
    </row>
    <row r="22" spans="1:15" s="1927" customFormat="1" ht="11.25" x14ac:dyDescent="0.2">
      <c r="A22" s="1976"/>
      <c r="B22" s="1967"/>
      <c r="C22" s="1968"/>
      <c r="D22" s="1977" t="s">
        <v>2135</v>
      </c>
      <c r="E22" s="1977" t="s">
        <v>2137</v>
      </c>
      <c r="F22" s="1981">
        <v>0</v>
      </c>
      <c r="G22" s="1978">
        <v>36101</v>
      </c>
      <c r="H22" s="1981">
        <v>0</v>
      </c>
      <c r="I22" s="1981">
        <v>0</v>
      </c>
      <c r="J22" s="1981">
        <v>41162</v>
      </c>
      <c r="K22" s="1982">
        <v>0</v>
      </c>
      <c r="L22" s="2002">
        <v>0</v>
      </c>
      <c r="M22" s="1978">
        <f>SUM(H22:L22)</f>
        <v>41162</v>
      </c>
      <c r="N22" s="1998">
        <v>49392</v>
      </c>
      <c r="O22" s="1984"/>
    </row>
    <row r="23" spans="1:15" s="1927" customFormat="1" ht="11.25" x14ac:dyDescent="0.2">
      <c r="A23" s="1985" t="s">
        <v>2138</v>
      </c>
      <c r="B23" s="1986"/>
      <c r="C23" s="1929"/>
      <c r="D23" s="1939"/>
      <c r="E23" s="1939"/>
      <c r="F23" s="1988">
        <f t="shared" ref="F23:M23" si="1">SUBTOTAL(9,F20:F22)</f>
        <v>37200</v>
      </c>
      <c r="G23" s="1988">
        <f t="shared" si="1"/>
        <v>50705</v>
      </c>
      <c r="H23" s="1988">
        <f t="shared" si="1"/>
        <v>51538</v>
      </c>
      <c r="I23" s="1988">
        <f t="shared" si="1"/>
        <v>0</v>
      </c>
      <c r="J23" s="1988">
        <f t="shared" si="1"/>
        <v>41428</v>
      </c>
      <c r="K23" s="1988">
        <f t="shared" si="1"/>
        <v>0</v>
      </c>
      <c r="L23" s="1988">
        <f t="shared" si="1"/>
        <v>0</v>
      </c>
      <c r="M23" s="1988">
        <f t="shared" si="1"/>
        <v>92966</v>
      </c>
      <c r="N23" s="2003"/>
      <c r="O23" s="1984"/>
    </row>
    <row r="24" spans="1:15" s="1927" customFormat="1" ht="11.25" x14ac:dyDescent="0.2">
      <c r="A24" s="1985"/>
      <c r="B24" s="1986"/>
      <c r="C24" s="1929"/>
      <c r="D24" s="1939"/>
      <c r="E24" s="1939"/>
      <c r="F24" s="1988"/>
      <c r="G24" s="1988"/>
      <c r="H24" s="1988"/>
      <c r="I24" s="1988"/>
      <c r="J24" s="1988"/>
      <c r="K24" s="1988"/>
      <c r="L24" s="2004"/>
      <c r="M24" s="1995"/>
      <c r="N24" s="2005"/>
      <c r="O24" s="1984"/>
    </row>
    <row r="25" spans="1:15" s="1927" customFormat="1" ht="11.25" x14ac:dyDescent="0.2">
      <c r="A25" s="1989" t="s">
        <v>2139</v>
      </c>
      <c r="B25" s="1990"/>
      <c r="C25" s="1991"/>
      <c r="D25" s="1977" t="s">
        <v>2140</v>
      </c>
      <c r="E25" s="1977" t="s">
        <v>2141</v>
      </c>
      <c r="F25" s="1980">
        <v>1100</v>
      </c>
      <c r="G25" s="1979">
        <v>1942</v>
      </c>
      <c r="H25" s="1979">
        <v>3042</v>
      </c>
      <c r="I25" s="1979"/>
      <c r="J25" s="1979">
        <v>0</v>
      </c>
      <c r="K25" s="1979"/>
      <c r="L25" s="2006">
        <v>0</v>
      </c>
      <c r="M25" s="1978">
        <f>SUM(H25:L25)</f>
        <v>3042</v>
      </c>
      <c r="N25" s="1983">
        <v>15757</v>
      </c>
      <c r="O25" s="1984"/>
    </row>
    <row r="26" spans="1:15" s="1927" customFormat="1" ht="11.25" x14ac:dyDescent="0.2">
      <c r="A26" s="1999"/>
      <c r="C26" s="1929"/>
      <c r="D26" s="1929"/>
      <c r="E26" s="1929"/>
      <c r="F26" s="1929"/>
      <c r="G26" s="1929"/>
      <c r="H26" s="1971"/>
      <c r="I26" s="1971"/>
      <c r="J26" s="1971"/>
      <c r="K26" s="1971"/>
      <c r="L26" s="1972"/>
      <c r="M26" s="2000"/>
      <c r="N26" s="2007"/>
      <c r="O26" s="1964"/>
    </row>
    <row r="27" spans="1:15" s="1927" customFormat="1" ht="11.25" x14ac:dyDescent="0.2">
      <c r="A27" s="1976"/>
      <c r="B27" s="1967"/>
      <c r="C27" s="1968"/>
      <c r="D27" s="1977" t="s">
        <v>2140</v>
      </c>
      <c r="E27" s="1977" t="s">
        <v>2142</v>
      </c>
      <c r="F27" s="1981">
        <v>0</v>
      </c>
      <c r="G27" s="1978">
        <v>1880</v>
      </c>
      <c r="H27" s="1981">
        <v>0</v>
      </c>
      <c r="I27" s="1981">
        <v>0</v>
      </c>
      <c r="J27" s="1981">
        <v>8471</v>
      </c>
      <c r="K27" s="1982">
        <v>0</v>
      </c>
      <c r="L27" s="2002">
        <v>0</v>
      </c>
      <c r="M27" s="1978">
        <f>SUM(H27:L27)</f>
        <v>8471</v>
      </c>
      <c r="N27" s="1998">
        <v>27915</v>
      </c>
      <c r="O27" s="1984"/>
    </row>
    <row r="28" spans="1:15" s="1927" customFormat="1" ht="11.25" x14ac:dyDescent="0.2">
      <c r="A28" s="1985" t="s">
        <v>2143</v>
      </c>
      <c r="B28" s="1986"/>
      <c r="C28" s="1929"/>
      <c r="D28" s="1939"/>
      <c r="E28" s="1939"/>
      <c r="F28" s="1988">
        <f>SUBTOTAL(9,F25:F27)</f>
        <v>1100</v>
      </c>
      <c r="G28" s="1988">
        <f>SUBTOTAL(9,G25:G27)</f>
        <v>3822</v>
      </c>
      <c r="H28" s="1988">
        <f>SUBTOTAL(9,H25:H27)</f>
        <v>3042</v>
      </c>
      <c r="I28" s="1988">
        <f>SUBTOTAL(9,I23:I27)</f>
        <v>0</v>
      </c>
      <c r="J28" s="1988">
        <f>SUBTOTAL(9,J25:J27)</f>
        <v>8471</v>
      </c>
      <c r="K28" s="1988">
        <f>SUBTOTAL(9,K23:K27)</f>
        <v>0</v>
      </c>
      <c r="L28" s="1988">
        <f>SUBTOTAL(9,L25:L27)</f>
        <v>0</v>
      </c>
      <c r="M28" s="1988">
        <f>SUBTOTAL(9,M25:M27)</f>
        <v>11513</v>
      </c>
      <c r="N28" s="1994"/>
      <c r="O28" s="1984"/>
    </row>
    <row r="29" spans="1:15" s="1927" customFormat="1" ht="7.5" customHeight="1" x14ac:dyDescent="0.2">
      <c r="A29" s="1999"/>
      <c r="C29" s="1929"/>
      <c r="D29" s="1929"/>
      <c r="E29" s="1929"/>
      <c r="F29" s="2008"/>
      <c r="G29" s="1971"/>
      <c r="H29" s="1971"/>
      <c r="I29" s="1971"/>
      <c r="J29" s="1971"/>
      <c r="K29" s="1971"/>
      <c r="L29" s="1972"/>
      <c r="M29" s="2009"/>
      <c r="N29" s="2010"/>
      <c r="O29" s="1984"/>
    </row>
    <row r="30" spans="1:15" s="1927" customFormat="1" ht="11.25" x14ac:dyDescent="0.2">
      <c r="A30" s="2011" t="s">
        <v>2144</v>
      </c>
      <c r="B30" s="1990"/>
      <c r="C30" s="1991"/>
      <c r="D30" s="1991"/>
      <c r="E30" s="1991"/>
      <c r="F30" s="1991"/>
      <c r="G30" s="1991"/>
      <c r="H30" s="2012"/>
      <c r="I30" s="2012"/>
      <c r="J30" s="2012"/>
      <c r="K30" s="2012"/>
      <c r="L30" s="1990"/>
      <c r="M30" s="2013"/>
      <c r="N30" s="2014"/>
      <c r="O30" s="1964"/>
    </row>
    <row r="31" spans="1:15" s="1927" customFormat="1" ht="11.25" x14ac:dyDescent="0.2">
      <c r="A31" s="2015"/>
      <c r="C31" s="1929"/>
      <c r="D31" s="1929"/>
      <c r="E31" s="1929"/>
      <c r="F31" s="1929"/>
      <c r="G31" s="1929"/>
      <c r="H31" s="2016"/>
      <c r="I31" s="2016"/>
      <c r="J31" s="2016"/>
      <c r="K31" s="2016"/>
      <c r="L31" s="1929"/>
      <c r="M31" s="2017"/>
      <c r="N31" s="1956"/>
      <c r="O31" s="1964"/>
    </row>
    <row r="32" spans="1:15" s="1927" customFormat="1" ht="11.25" x14ac:dyDescent="0.2">
      <c r="A32" s="1976" t="s">
        <v>2145</v>
      </c>
      <c r="B32" s="1967"/>
      <c r="C32" s="1968"/>
      <c r="D32" s="1977" t="s">
        <v>2108</v>
      </c>
      <c r="E32" s="1977" t="s">
        <v>2146</v>
      </c>
      <c r="F32" s="1981">
        <v>294228</v>
      </c>
      <c r="G32" s="1988">
        <v>0</v>
      </c>
      <c r="H32" s="1981">
        <v>294228</v>
      </c>
      <c r="I32" s="1981">
        <v>0</v>
      </c>
      <c r="J32" s="1988">
        <v>0</v>
      </c>
      <c r="K32" s="1981">
        <v>0</v>
      </c>
      <c r="L32" s="1981">
        <v>0</v>
      </c>
      <c r="M32" s="1981">
        <f>SUM(H32:L32)</f>
        <v>294228</v>
      </c>
      <c r="N32" s="2018">
        <v>294228</v>
      </c>
      <c r="O32" s="1984"/>
    </row>
    <row r="33" spans="1:17" s="1927" customFormat="1" ht="11.25" x14ac:dyDescent="0.2">
      <c r="A33" s="1985"/>
      <c r="B33" s="1986"/>
      <c r="C33" s="1929"/>
      <c r="D33" s="1941"/>
      <c r="E33" s="1929"/>
      <c r="F33" s="1993"/>
      <c r="G33" s="1987"/>
      <c r="H33" s="1988"/>
      <c r="I33" s="1993"/>
      <c r="J33" s="1987"/>
      <c r="K33" s="1988"/>
      <c r="L33" s="1988"/>
      <c r="M33" s="1988"/>
      <c r="N33" s="2005"/>
      <c r="O33" s="1964"/>
      <c r="Q33" s="1927" t="s">
        <v>1169</v>
      </c>
    </row>
    <row r="34" spans="1:17" s="1927" customFormat="1" ht="11.25" x14ac:dyDescent="0.2">
      <c r="A34" s="1989"/>
      <c r="B34" s="1990"/>
      <c r="C34" s="1991"/>
      <c r="D34" s="1977" t="s">
        <v>2108</v>
      </c>
      <c r="E34" s="1977" t="s">
        <v>2147</v>
      </c>
      <c r="F34" s="1982">
        <v>0</v>
      </c>
      <c r="G34" s="1978">
        <v>300414</v>
      </c>
      <c r="H34" s="1981">
        <v>0</v>
      </c>
      <c r="I34" s="1982">
        <v>0</v>
      </c>
      <c r="J34" s="1978">
        <v>300414</v>
      </c>
      <c r="K34" s="1981">
        <v>0</v>
      </c>
      <c r="L34" s="1981">
        <v>0</v>
      </c>
      <c r="M34" s="1981">
        <f>SUM(H34:L34)</f>
        <v>300414</v>
      </c>
      <c r="N34" s="2005">
        <v>300414</v>
      </c>
      <c r="O34" s="1984"/>
    </row>
    <row r="35" spans="1:17" s="1927" customFormat="1" ht="11.25" x14ac:dyDescent="0.2">
      <c r="A35" s="1985" t="s">
        <v>2148</v>
      </c>
      <c r="B35" s="1986"/>
      <c r="C35" s="1929"/>
      <c r="D35" s="1939"/>
      <c r="E35" s="1939"/>
      <c r="F35" s="1988">
        <f t="shared" ref="F35:M35" si="2">SUBTOTAL(9,F32:F34)</f>
        <v>294228</v>
      </c>
      <c r="G35" s="1988">
        <f t="shared" si="2"/>
        <v>300414</v>
      </c>
      <c r="H35" s="1988">
        <f t="shared" si="2"/>
        <v>294228</v>
      </c>
      <c r="I35" s="1988">
        <f t="shared" si="2"/>
        <v>0</v>
      </c>
      <c r="J35" s="1988">
        <f t="shared" si="2"/>
        <v>300414</v>
      </c>
      <c r="K35" s="1988">
        <f t="shared" si="2"/>
        <v>0</v>
      </c>
      <c r="L35" s="1988">
        <f t="shared" si="2"/>
        <v>0</v>
      </c>
      <c r="M35" s="1988">
        <f t="shared" si="2"/>
        <v>594642</v>
      </c>
      <c r="N35" s="1994"/>
      <c r="O35" s="1984"/>
    </row>
    <row r="36" spans="1:17" s="1927" customFormat="1" ht="11.25" x14ac:dyDescent="0.2">
      <c r="A36" s="1949" t="s">
        <v>2149</v>
      </c>
      <c r="B36" s="1950"/>
      <c r="C36" s="1951"/>
      <c r="D36" s="1952"/>
      <c r="E36" s="1952"/>
      <c r="F36" s="1953"/>
      <c r="G36" s="1953"/>
      <c r="H36" s="1953"/>
      <c r="I36" s="1953"/>
      <c r="J36" s="1953"/>
      <c r="K36" s="1953"/>
      <c r="L36" s="1953"/>
      <c r="M36" s="1954"/>
      <c r="N36" s="1955"/>
      <c r="O36" s="1984"/>
    </row>
    <row r="37" spans="1:17" s="1927" customFormat="1" ht="11.25" x14ac:dyDescent="0.2">
      <c r="A37" s="1985"/>
      <c r="B37" s="1986"/>
      <c r="C37" s="1929"/>
      <c r="D37" s="1939"/>
      <c r="E37" s="1939"/>
      <c r="F37" s="1988"/>
      <c r="G37" s="1988"/>
      <c r="H37" s="1988"/>
      <c r="I37" s="1988"/>
      <c r="J37" s="1988"/>
      <c r="K37" s="1988"/>
      <c r="L37" s="1988"/>
      <c r="M37" s="1988"/>
      <c r="N37" s="2005"/>
      <c r="O37" s="1984"/>
    </row>
    <row r="38" spans="1:17" s="1927" customFormat="1" ht="11.25" x14ac:dyDescent="0.2">
      <c r="A38" s="1989" t="s">
        <v>2150</v>
      </c>
      <c r="B38" s="1990"/>
      <c r="C38" s="1991"/>
      <c r="D38" s="2019" t="s">
        <v>2151</v>
      </c>
      <c r="E38" s="2020" t="s">
        <v>2152</v>
      </c>
      <c r="F38" s="1979">
        <v>800</v>
      </c>
      <c r="G38" s="1979">
        <v>1500</v>
      </c>
      <c r="H38" s="1979">
        <v>2300</v>
      </c>
      <c r="I38" s="1979">
        <v>0</v>
      </c>
      <c r="J38" s="1979">
        <v>0</v>
      </c>
      <c r="K38" s="1979">
        <v>0</v>
      </c>
      <c r="L38" s="1979">
        <v>0</v>
      </c>
      <c r="M38" s="1981">
        <f>SUM(H38:L38)</f>
        <v>2300</v>
      </c>
      <c r="N38" s="1983">
        <v>16868</v>
      </c>
      <c r="O38" s="1984"/>
    </row>
    <row r="39" spans="1:17" s="1927" customFormat="1" ht="11.25" x14ac:dyDescent="0.2">
      <c r="A39" s="1985"/>
      <c r="B39" s="1986"/>
      <c r="C39" s="1929"/>
      <c r="D39" s="2021"/>
      <c r="E39" s="2021"/>
      <c r="F39" s="2022"/>
      <c r="G39" s="2022"/>
      <c r="H39" s="2022"/>
      <c r="I39" s="2022"/>
      <c r="J39" s="2022"/>
      <c r="K39" s="2022"/>
      <c r="L39" s="2022"/>
      <c r="M39" s="2022"/>
      <c r="N39" s="2023"/>
      <c r="O39" s="1984"/>
    </row>
    <row r="40" spans="1:17" s="1927" customFormat="1" ht="11.25" x14ac:dyDescent="0.2">
      <c r="A40" s="1989"/>
      <c r="B40" s="1990"/>
      <c r="C40" s="1991"/>
      <c r="D40" s="2019" t="s">
        <v>2151</v>
      </c>
      <c r="E40" s="2020" t="s">
        <v>2153</v>
      </c>
      <c r="F40" s="1979">
        <v>0</v>
      </c>
      <c r="G40" s="1979">
        <v>8436</v>
      </c>
      <c r="H40" s="1979">
        <v>0</v>
      </c>
      <c r="I40" s="1979">
        <v>0</v>
      </c>
      <c r="J40" s="1979">
        <v>8436</v>
      </c>
      <c r="K40" s="1979">
        <v>0</v>
      </c>
      <c r="L40" s="1979">
        <v>0</v>
      </c>
      <c r="M40" s="1981">
        <f>SUM(H40:L40)</f>
        <v>8436</v>
      </c>
      <c r="N40" s="1983">
        <v>16868</v>
      </c>
      <c r="O40" s="1984"/>
    </row>
    <row r="41" spans="1:17" s="1927" customFormat="1" ht="11.25" x14ac:dyDescent="0.2">
      <c r="A41" s="1985" t="s">
        <v>2154</v>
      </c>
      <c r="B41" s="1986"/>
      <c r="C41" s="1929"/>
      <c r="D41" s="1939"/>
      <c r="E41" s="1939"/>
      <c r="F41" s="1988">
        <f t="shared" ref="F41:M41" si="3">SUBTOTAL(9,F38:F40)</f>
        <v>800</v>
      </c>
      <c r="G41" s="1988">
        <f t="shared" si="3"/>
        <v>9936</v>
      </c>
      <c r="H41" s="1988">
        <f t="shared" si="3"/>
        <v>2300</v>
      </c>
      <c r="I41" s="1988">
        <f t="shared" si="3"/>
        <v>0</v>
      </c>
      <c r="J41" s="1988">
        <f t="shared" si="3"/>
        <v>8436</v>
      </c>
      <c r="K41" s="1988">
        <f t="shared" si="3"/>
        <v>0</v>
      </c>
      <c r="L41" s="1988">
        <f t="shared" si="3"/>
        <v>0</v>
      </c>
      <c r="M41" s="1988">
        <f t="shared" si="3"/>
        <v>10736</v>
      </c>
      <c r="N41" s="1994"/>
      <c r="O41" s="1984"/>
    </row>
    <row r="42" spans="1:17" s="1927" customFormat="1" ht="11.25" x14ac:dyDescent="0.2">
      <c r="A42" s="2024"/>
      <c r="B42" s="1986"/>
      <c r="C42" s="1929"/>
      <c r="D42" s="1939"/>
      <c r="E42" s="1939"/>
      <c r="F42" s="1988"/>
      <c r="G42" s="1988"/>
      <c r="H42" s="1988"/>
      <c r="I42" s="1988"/>
      <c r="J42" s="1988"/>
      <c r="K42" s="1988"/>
      <c r="L42" s="1988"/>
      <c r="M42" s="1988"/>
      <c r="N42" s="2005"/>
      <c r="O42" s="1984"/>
    </row>
    <row r="43" spans="1:17" s="1927" customFormat="1" ht="11.25" x14ac:dyDescent="0.2">
      <c r="A43" s="2025" t="s">
        <v>2155</v>
      </c>
      <c r="B43" s="1990"/>
      <c r="C43" s="1991"/>
      <c r="D43" s="1939"/>
      <c r="E43" s="1939"/>
      <c r="F43" s="1988"/>
      <c r="G43" s="1988"/>
      <c r="H43" s="1988"/>
      <c r="I43" s="1988"/>
      <c r="J43" s="1988"/>
      <c r="K43" s="1988"/>
      <c r="L43" s="1988"/>
      <c r="M43" s="1988"/>
      <c r="N43" s="2005"/>
      <c r="O43" s="1984"/>
    </row>
    <row r="44" spans="1:17" s="1927" customFormat="1" ht="11.25" x14ac:dyDescent="0.2">
      <c r="A44" s="1985"/>
      <c r="B44" s="1986"/>
      <c r="C44" s="1929"/>
      <c r="D44" s="2021"/>
      <c r="E44" s="2021"/>
      <c r="F44" s="2022"/>
      <c r="G44" s="2022"/>
      <c r="H44" s="2022"/>
      <c r="I44" s="2022"/>
      <c r="J44" s="2022"/>
      <c r="K44" s="2022"/>
      <c r="L44" s="2022"/>
      <c r="M44" s="2022"/>
      <c r="N44" s="2003"/>
      <c r="O44" s="1984"/>
    </row>
    <row r="45" spans="1:17" s="1927" customFormat="1" ht="11.25" x14ac:dyDescent="0.2">
      <c r="A45" s="1989" t="s">
        <v>2156</v>
      </c>
      <c r="B45" s="1990"/>
      <c r="C45" s="1991"/>
      <c r="D45" s="2019" t="s">
        <v>2157</v>
      </c>
      <c r="E45" s="1977" t="s">
        <v>2158</v>
      </c>
      <c r="F45" s="1979">
        <v>22518</v>
      </c>
      <c r="G45" s="1979">
        <v>0</v>
      </c>
      <c r="H45" s="1979">
        <v>22518</v>
      </c>
      <c r="I45" s="1979">
        <v>0</v>
      </c>
      <c r="J45" s="1979">
        <v>0</v>
      </c>
      <c r="K45" s="1979">
        <v>0</v>
      </c>
      <c r="L45" s="1979">
        <v>0</v>
      </c>
      <c r="M45" s="1988">
        <f>SUM(H45:L45)</f>
        <v>22518</v>
      </c>
      <c r="N45" s="1983">
        <v>22578</v>
      </c>
      <c r="O45" s="1984"/>
    </row>
    <row r="46" spans="1:17" s="1927" customFormat="1" ht="11.25" x14ac:dyDescent="0.2">
      <c r="A46" s="2026"/>
      <c r="B46" s="2027"/>
      <c r="C46" s="2028"/>
      <c r="D46" s="2021"/>
      <c r="E46" s="2021"/>
      <c r="F46" s="2022"/>
      <c r="G46" s="2022"/>
      <c r="H46" s="2022"/>
      <c r="I46" s="2022"/>
      <c r="J46" s="2022"/>
      <c r="K46" s="2022"/>
      <c r="L46" s="2029"/>
      <c r="M46" s="1987"/>
      <c r="N46" s="2003"/>
      <c r="O46" s="1984"/>
    </row>
    <row r="47" spans="1:17" s="1927" customFormat="1" ht="11.25" x14ac:dyDescent="0.2">
      <c r="A47" s="1985"/>
      <c r="B47" s="1986"/>
      <c r="C47" s="1929"/>
      <c r="D47" s="1939" t="s">
        <v>2157</v>
      </c>
      <c r="E47" s="1939" t="s">
        <v>2159</v>
      </c>
      <c r="F47" s="1988">
        <v>0</v>
      </c>
      <c r="G47" s="1988">
        <v>21367</v>
      </c>
      <c r="H47" s="1988">
        <v>0</v>
      </c>
      <c r="I47" s="1988">
        <v>0</v>
      </c>
      <c r="J47" s="1988">
        <v>21367</v>
      </c>
      <c r="K47" s="1988">
        <v>0</v>
      </c>
      <c r="L47" s="1993">
        <v>0</v>
      </c>
      <c r="M47" s="1978">
        <f>SUM(H47:L47)</f>
        <v>21367</v>
      </c>
      <c r="N47" s="2005">
        <v>22578</v>
      </c>
      <c r="O47" s="1984"/>
    </row>
    <row r="48" spans="1:17" s="1927" customFormat="1" ht="12" thickBot="1" x14ac:dyDescent="0.25">
      <c r="A48" s="2030" t="s">
        <v>2160</v>
      </c>
      <c r="B48" s="2031"/>
      <c r="C48" s="2032"/>
      <c r="D48" s="2033"/>
      <c r="E48" s="2033"/>
      <c r="F48" s="2034">
        <f t="shared" ref="F48:M48" si="4">SUBTOTAL(9,F45:F47)</f>
        <v>22518</v>
      </c>
      <c r="G48" s="2034">
        <f>SUBTOTAL(9,G45:G47)</f>
        <v>21367</v>
      </c>
      <c r="H48" s="2034">
        <f t="shared" si="4"/>
        <v>22518</v>
      </c>
      <c r="I48" s="2034">
        <f t="shared" si="4"/>
        <v>0</v>
      </c>
      <c r="J48" s="2034">
        <f t="shared" si="4"/>
        <v>21367</v>
      </c>
      <c r="K48" s="2034">
        <f t="shared" si="4"/>
        <v>0</v>
      </c>
      <c r="L48" s="2034">
        <f t="shared" si="4"/>
        <v>0</v>
      </c>
      <c r="M48" s="2034">
        <f t="shared" si="4"/>
        <v>43885</v>
      </c>
      <c r="N48" s="2035"/>
      <c r="O48" s="1984"/>
    </row>
    <row r="49" spans="1:17" s="1927" customFormat="1" ht="11.25" x14ac:dyDescent="0.2">
      <c r="C49" s="1929"/>
      <c r="D49" s="1929"/>
      <c r="E49" s="1929"/>
      <c r="F49" s="1971"/>
      <c r="G49" s="1971"/>
      <c r="H49" s="1971"/>
      <c r="I49" s="1971"/>
      <c r="J49" s="1971"/>
      <c r="K49" s="1971"/>
      <c r="L49" s="1971"/>
      <c r="M49" s="1971"/>
      <c r="N49" s="2036"/>
      <c r="O49" s="1964"/>
    </row>
    <row r="50" spans="1:17" s="1927" customFormat="1" ht="12" thickBot="1" x14ac:dyDescent="0.25">
      <c r="A50" s="2037" t="s">
        <v>2161</v>
      </c>
      <c r="B50" s="2038"/>
      <c r="C50" s="2039"/>
      <c r="D50" s="2039"/>
      <c r="E50" s="2039"/>
      <c r="F50" s="2040">
        <f>SUBTOTAL(9,F12:F49)</f>
        <v>587491</v>
      </c>
      <c r="G50" s="2040">
        <f t="shared" ref="G50:M50" si="5">SUBTOTAL(9,G12:G49)</f>
        <v>657843</v>
      </c>
      <c r="H50" s="2040">
        <f t="shared" si="5"/>
        <v>646128</v>
      </c>
      <c r="I50" s="2040">
        <f t="shared" si="5"/>
        <v>0</v>
      </c>
      <c r="J50" s="2040">
        <f t="shared" si="5"/>
        <v>672275</v>
      </c>
      <c r="K50" s="2040">
        <f t="shared" si="5"/>
        <v>0</v>
      </c>
      <c r="L50" s="2040">
        <f t="shared" si="5"/>
        <v>0</v>
      </c>
      <c r="M50" s="2040">
        <f t="shared" si="5"/>
        <v>1318403</v>
      </c>
      <c r="N50" s="2041"/>
      <c r="O50" s="1964"/>
    </row>
    <row r="51" spans="1:17" s="1927" customFormat="1" ht="6" customHeight="1" x14ac:dyDescent="0.2">
      <c r="A51" s="1965"/>
      <c r="B51" s="2042"/>
      <c r="C51" s="2043"/>
      <c r="D51" s="2043"/>
      <c r="E51" s="2043"/>
      <c r="F51" s="2044"/>
      <c r="G51" s="2044"/>
      <c r="H51" s="2044"/>
      <c r="I51" s="2044"/>
      <c r="J51" s="2044"/>
      <c r="K51" s="2044"/>
      <c r="L51" s="2044"/>
      <c r="M51" s="2044"/>
      <c r="N51" s="2005"/>
      <c r="O51" s="1964"/>
    </row>
    <row r="52" spans="1:17" s="1927" customFormat="1" ht="11.25" x14ac:dyDescent="0.2">
      <c r="A52" s="1965" t="s">
        <v>2162</v>
      </c>
      <c r="C52" s="1929"/>
      <c r="D52" s="1929"/>
      <c r="E52" s="1929"/>
      <c r="F52" s="1971"/>
      <c r="G52" s="1971"/>
      <c r="H52" s="1971"/>
      <c r="I52" s="1971"/>
      <c r="J52" s="1971"/>
      <c r="K52" s="1971"/>
      <c r="L52" s="1971"/>
      <c r="M52" s="1971"/>
      <c r="N52" s="2036"/>
      <c r="O52" s="1964"/>
    </row>
    <row r="53" spans="1:17" s="1927" customFormat="1" ht="11.25" x14ac:dyDescent="0.2">
      <c r="A53" s="1966" t="s">
        <v>2129</v>
      </c>
      <c r="B53" s="1967"/>
      <c r="C53" s="1968"/>
      <c r="D53" s="1968"/>
      <c r="E53" s="1968"/>
      <c r="F53" s="2045"/>
      <c r="G53" s="2045"/>
      <c r="H53" s="2045"/>
      <c r="I53" s="2045"/>
      <c r="J53" s="2045"/>
      <c r="K53" s="2045"/>
      <c r="L53" s="2045"/>
      <c r="M53" s="2045"/>
      <c r="N53" s="2046"/>
      <c r="O53" s="1964"/>
    </row>
    <row r="54" spans="1:17" s="1927" customFormat="1" ht="11.25" x14ac:dyDescent="0.2">
      <c r="A54" s="2047"/>
      <c r="C54" s="1929"/>
      <c r="D54" s="1929"/>
      <c r="E54" s="1929"/>
      <c r="F54" s="1971"/>
      <c r="G54" s="1971"/>
      <c r="H54" s="1971"/>
      <c r="I54" s="1971"/>
      <c r="J54" s="1971"/>
      <c r="K54" s="1971"/>
      <c r="L54" s="1971"/>
      <c r="M54" s="1973" t="s">
        <v>2163</v>
      </c>
      <c r="N54" s="1974"/>
      <c r="O54" s="1964"/>
    </row>
    <row r="55" spans="1:17" s="1927" customFormat="1" ht="11.25" x14ac:dyDescent="0.2">
      <c r="A55" s="1976" t="s">
        <v>2164</v>
      </c>
      <c r="B55" s="1967"/>
      <c r="C55" s="1968"/>
      <c r="D55" s="1977" t="s">
        <v>2165</v>
      </c>
      <c r="E55" s="1977" t="s">
        <v>2166</v>
      </c>
      <c r="F55" s="1981">
        <v>47843</v>
      </c>
      <c r="G55" s="1981">
        <v>7374</v>
      </c>
      <c r="H55" s="1981">
        <v>47843</v>
      </c>
      <c r="I55" s="1981">
        <v>0</v>
      </c>
      <c r="J55" s="1981">
        <v>7374</v>
      </c>
      <c r="K55" s="1981">
        <v>0</v>
      </c>
      <c r="L55" s="2045">
        <v>0</v>
      </c>
      <c r="M55" s="1981">
        <f>SUM(H55:L55)</f>
        <v>55217</v>
      </c>
      <c r="N55" s="2018" t="s">
        <v>2110</v>
      </c>
      <c r="O55" s="1964"/>
    </row>
    <row r="56" spans="1:17" s="1927" customFormat="1" ht="11.25" x14ac:dyDescent="0.2">
      <c r="A56" s="2047"/>
      <c r="C56" s="1929"/>
      <c r="D56" s="1929"/>
      <c r="E56" s="1929"/>
      <c r="F56" s="1971"/>
      <c r="G56" s="1971"/>
      <c r="H56" s="1971"/>
      <c r="I56" s="1971"/>
      <c r="J56" s="1971"/>
      <c r="K56" s="1971"/>
      <c r="L56" s="1971"/>
      <c r="M56" s="1973" t="s">
        <v>2163</v>
      </c>
      <c r="N56" s="1974"/>
      <c r="O56" s="1964"/>
    </row>
    <row r="57" spans="1:17" s="1927" customFormat="1" ht="11.25" x14ac:dyDescent="0.2">
      <c r="A57" s="1976"/>
      <c r="B57" s="1967"/>
      <c r="C57" s="1968"/>
      <c r="D57" s="1977" t="s">
        <v>2165</v>
      </c>
      <c r="E57" s="1977" t="s">
        <v>2167</v>
      </c>
      <c r="F57" s="1981">
        <v>0</v>
      </c>
      <c r="G57" s="1981">
        <v>46334</v>
      </c>
      <c r="H57" s="1981">
        <v>0</v>
      </c>
      <c r="I57" s="1981">
        <v>0</v>
      </c>
      <c r="J57" s="1981">
        <v>46334</v>
      </c>
      <c r="K57" s="1981">
        <v>0</v>
      </c>
      <c r="L57" s="2045">
        <v>0</v>
      </c>
      <c r="M57" s="1980">
        <f>SUM(H57:L57)</f>
        <v>46334</v>
      </c>
      <c r="N57" s="2018" t="s">
        <v>2110</v>
      </c>
      <c r="O57" s="1964"/>
    </row>
    <row r="58" spans="1:17" s="1927" customFormat="1" ht="11.25" x14ac:dyDescent="0.2">
      <c r="A58" s="1985" t="s">
        <v>2168</v>
      </c>
      <c r="B58" s="1986"/>
      <c r="C58" s="1929"/>
      <c r="D58" s="1939"/>
      <c r="E58" s="1939"/>
      <c r="F58" s="1988">
        <f t="shared" ref="F58:M58" si="6">SUBTOTAL(9,F55:F57)</f>
        <v>47843</v>
      </c>
      <c r="G58" s="1988">
        <f t="shared" si="6"/>
        <v>53708</v>
      </c>
      <c r="H58" s="1988">
        <f t="shared" si="6"/>
        <v>47843</v>
      </c>
      <c r="I58" s="1988">
        <f t="shared" si="6"/>
        <v>0</v>
      </c>
      <c r="J58" s="1988">
        <f t="shared" si="6"/>
        <v>53708</v>
      </c>
      <c r="K58" s="1988">
        <f t="shared" si="6"/>
        <v>0</v>
      </c>
      <c r="L58" s="1993">
        <f t="shared" si="6"/>
        <v>0</v>
      </c>
      <c r="M58" s="2048">
        <f t="shared" si="6"/>
        <v>101551</v>
      </c>
      <c r="N58" s="2005"/>
      <c r="O58" s="1964"/>
    </row>
    <row r="59" spans="1:17" s="1927" customFormat="1" ht="11.25" x14ac:dyDescent="0.2">
      <c r="A59" s="2047"/>
      <c r="C59" s="1929"/>
      <c r="D59" s="1929"/>
      <c r="E59" s="1929"/>
      <c r="F59" s="1971"/>
      <c r="G59" s="1971"/>
      <c r="H59" s="1971"/>
      <c r="I59" s="1971"/>
      <c r="J59" s="1971"/>
      <c r="K59" s="1971"/>
      <c r="L59" s="1972"/>
      <c r="M59" s="2009" t="s">
        <v>2163</v>
      </c>
      <c r="N59" s="1974"/>
      <c r="O59" s="1964"/>
    </row>
    <row r="60" spans="1:17" s="1927" customFormat="1" ht="11.25" x14ac:dyDescent="0.2">
      <c r="A60" s="1976" t="s">
        <v>2169</v>
      </c>
      <c r="B60" s="1967"/>
      <c r="C60" s="1968"/>
      <c r="D60" s="1977" t="s">
        <v>2170</v>
      </c>
      <c r="E60" s="1977" t="s">
        <v>2171</v>
      </c>
      <c r="F60" s="1981">
        <v>215346</v>
      </c>
      <c r="G60" s="1981">
        <v>59784</v>
      </c>
      <c r="H60" s="1981">
        <v>215346</v>
      </c>
      <c r="I60" s="1981">
        <v>0</v>
      </c>
      <c r="J60" s="2045">
        <v>59784</v>
      </c>
      <c r="K60" s="2045">
        <v>0</v>
      </c>
      <c r="L60" s="2049">
        <v>0</v>
      </c>
      <c r="M60" s="1978">
        <f>SUM(H60:L60)</f>
        <v>275130</v>
      </c>
      <c r="N60" s="2018" t="s">
        <v>2110</v>
      </c>
      <c r="O60" s="1964"/>
      <c r="Q60" s="1927" t="s">
        <v>1169</v>
      </c>
    </row>
    <row r="61" spans="1:17" s="1927" customFormat="1" ht="11.25" x14ac:dyDescent="0.2">
      <c r="A61" s="2047"/>
      <c r="C61" s="1929"/>
      <c r="D61" s="1929"/>
      <c r="E61" s="1929"/>
      <c r="F61" s="1971"/>
      <c r="G61" s="1971"/>
      <c r="H61" s="1971"/>
      <c r="I61" s="1971"/>
      <c r="J61" s="1971"/>
      <c r="K61" s="1971"/>
      <c r="L61" s="1971"/>
      <c r="M61" s="2000" t="s">
        <v>2163</v>
      </c>
      <c r="N61" s="1974"/>
      <c r="O61" s="1964"/>
    </row>
    <row r="62" spans="1:17" s="1927" customFormat="1" ht="11.25" x14ac:dyDescent="0.2">
      <c r="A62" s="1976"/>
      <c r="B62" s="1967"/>
      <c r="C62" s="1968"/>
      <c r="D62" s="1977" t="s">
        <v>2170</v>
      </c>
      <c r="E62" s="1977" t="s">
        <v>2172</v>
      </c>
      <c r="F62" s="1981">
        <v>0</v>
      </c>
      <c r="G62" s="1981">
        <v>220978</v>
      </c>
      <c r="H62" s="1981">
        <v>0</v>
      </c>
      <c r="I62" s="1981">
        <v>0</v>
      </c>
      <c r="J62" s="1981">
        <v>220978</v>
      </c>
      <c r="K62" s="1981">
        <v>0</v>
      </c>
      <c r="L62" s="2045">
        <v>0</v>
      </c>
      <c r="M62" s="1980">
        <f>SUM(H62:L62)</f>
        <v>220978</v>
      </c>
      <c r="N62" s="2018" t="s">
        <v>2110</v>
      </c>
      <c r="O62" s="1964"/>
    </row>
    <row r="63" spans="1:17" s="1927" customFormat="1" ht="11.25" x14ac:dyDescent="0.2">
      <c r="A63" s="1985"/>
      <c r="B63" s="1986"/>
      <c r="C63" s="1929"/>
      <c r="D63" s="1939"/>
      <c r="E63" s="1939"/>
      <c r="F63" s="1988"/>
      <c r="G63" s="1988"/>
      <c r="H63" s="1988"/>
      <c r="I63" s="1988"/>
      <c r="J63" s="1988"/>
      <c r="K63" s="1988"/>
      <c r="L63" s="1972"/>
      <c r="M63" s="2009"/>
      <c r="N63" s="2005"/>
      <c r="O63" s="1964"/>
    </row>
    <row r="64" spans="1:17" s="1927" customFormat="1" ht="11.25" x14ac:dyDescent="0.2">
      <c r="A64" s="1976" t="s">
        <v>2194</v>
      </c>
      <c r="B64" s="1967"/>
      <c r="C64" s="1968"/>
      <c r="D64" s="1977" t="s">
        <v>2170</v>
      </c>
      <c r="E64" s="1977" t="s">
        <v>2173</v>
      </c>
      <c r="F64" s="1981">
        <v>33580</v>
      </c>
      <c r="G64" s="1981">
        <v>0</v>
      </c>
      <c r="H64" s="1981">
        <v>33580</v>
      </c>
      <c r="I64" s="1981">
        <v>0</v>
      </c>
      <c r="J64" s="2045">
        <v>0</v>
      </c>
      <c r="K64" s="2045">
        <v>0</v>
      </c>
      <c r="L64" s="2049">
        <v>0</v>
      </c>
      <c r="M64" s="1978">
        <f>SUM(H64:L64)</f>
        <v>33580</v>
      </c>
      <c r="N64" s="2018" t="s">
        <v>2110</v>
      </c>
      <c r="O64" s="1964"/>
    </row>
    <row r="65" spans="1:15" s="1927" customFormat="1" ht="11.25" x14ac:dyDescent="0.2">
      <c r="A65" s="2050"/>
      <c r="B65" s="2051"/>
      <c r="C65" s="2052"/>
      <c r="D65" s="2052"/>
      <c r="E65" s="2053"/>
      <c r="F65" s="2054"/>
      <c r="G65" s="2054"/>
      <c r="H65" s="2054"/>
      <c r="I65" s="2054"/>
      <c r="J65" s="2054"/>
      <c r="K65" s="2054"/>
      <c r="L65" s="2055"/>
      <c r="M65" s="2000"/>
      <c r="N65" s="2056"/>
      <c r="O65" s="1964"/>
    </row>
    <row r="66" spans="1:15" s="1927" customFormat="1" ht="11.25" x14ac:dyDescent="0.2">
      <c r="A66" s="1989"/>
      <c r="B66" s="1990"/>
      <c r="C66" s="1991"/>
      <c r="D66" s="2019" t="s">
        <v>2170</v>
      </c>
      <c r="E66" s="2019" t="s">
        <v>2174</v>
      </c>
      <c r="F66" s="1979">
        <v>0</v>
      </c>
      <c r="G66" s="1979">
        <v>30085</v>
      </c>
      <c r="H66" s="1979">
        <v>0</v>
      </c>
      <c r="I66" s="1979">
        <v>0</v>
      </c>
      <c r="J66" s="1979">
        <v>30085</v>
      </c>
      <c r="K66" s="1979">
        <v>0</v>
      </c>
      <c r="L66" s="2057">
        <v>0</v>
      </c>
      <c r="M66" s="1979">
        <f>SUM(H66:L66)</f>
        <v>30085</v>
      </c>
      <c r="N66" s="2058" t="s">
        <v>2110</v>
      </c>
      <c r="O66" s="1984"/>
    </row>
    <row r="67" spans="1:15" s="1927" customFormat="1" ht="11.25" x14ac:dyDescent="0.2">
      <c r="A67" s="1985"/>
      <c r="B67" s="1986"/>
      <c r="C67" s="1929"/>
      <c r="D67" s="1929"/>
      <c r="E67" s="1939"/>
      <c r="F67" s="1988"/>
      <c r="G67" s="1988"/>
      <c r="H67" s="1988"/>
      <c r="I67" s="1988"/>
      <c r="J67" s="1988"/>
      <c r="K67" s="1988"/>
      <c r="L67" s="1971"/>
      <c r="M67" s="2007"/>
      <c r="N67" s="1996"/>
      <c r="O67" s="1984"/>
    </row>
    <row r="68" spans="1:15" s="1927" customFormat="1" ht="11.25" x14ac:dyDescent="0.2">
      <c r="A68" s="2059" t="s">
        <v>2195</v>
      </c>
      <c r="B68" s="2059"/>
      <c r="C68" s="2060"/>
      <c r="D68" s="2019" t="s">
        <v>2170</v>
      </c>
      <c r="E68" s="2019" t="s">
        <v>2175</v>
      </c>
      <c r="F68" s="1979">
        <v>0</v>
      </c>
      <c r="G68" s="1979">
        <v>995</v>
      </c>
      <c r="H68" s="1980">
        <v>0</v>
      </c>
      <c r="I68" s="1979">
        <v>0</v>
      </c>
      <c r="J68" s="1979">
        <v>995</v>
      </c>
      <c r="K68" s="1979">
        <v>0</v>
      </c>
      <c r="L68" s="2057">
        <v>0</v>
      </c>
      <c r="M68" s="2061">
        <f>SUM(H68:L68)</f>
        <v>995</v>
      </c>
      <c r="N68" s="1998" t="s">
        <v>2110</v>
      </c>
      <c r="O68" s="1984"/>
    </row>
    <row r="69" spans="1:15" s="1927" customFormat="1" ht="11.25" hidden="1" x14ac:dyDescent="0.2">
      <c r="A69" s="1985"/>
      <c r="B69" s="1986"/>
      <c r="C69" s="1929"/>
      <c r="D69" s="1939"/>
      <c r="E69" s="1939"/>
      <c r="F69" s="1988"/>
      <c r="G69" s="1988"/>
      <c r="H69" s="1988"/>
      <c r="I69" s="1988"/>
      <c r="J69" s="1988"/>
      <c r="K69" s="1988"/>
      <c r="L69" s="1971"/>
      <c r="M69" s="1988"/>
      <c r="N69" s="2005"/>
      <c r="O69" s="1984"/>
    </row>
    <row r="70" spans="1:15" s="1927" customFormat="1" ht="11.25" hidden="1" x14ac:dyDescent="0.2">
      <c r="A70" s="1985"/>
      <c r="B70" s="1986"/>
      <c r="C70" s="1929"/>
      <c r="D70" s="1939" t="s">
        <v>2170</v>
      </c>
      <c r="E70" s="1939" t="s">
        <v>2176</v>
      </c>
      <c r="F70" s="1988">
        <v>0</v>
      </c>
      <c r="G70" s="1988">
        <v>0</v>
      </c>
      <c r="H70" s="1988">
        <v>0</v>
      </c>
      <c r="I70" s="1988">
        <v>0</v>
      </c>
      <c r="J70" s="1988">
        <v>0</v>
      </c>
      <c r="K70" s="1988">
        <v>0</v>
      </c>
      <c r="L70" s="1971">
        <v>0</v>
      </c>
      <c r="M70" s="2061">
        <f>SUM(H70:L70)</f>
        <v>0</v>
      </c>
      <c r="N70" s="1998" t="s">
        <v>2110</v>
      </c>
      <c r="O70" s="1984"/>
    </row>
    <row r="71" spans="1:15" s="1927" customFormat="1" ht="11.25" x14ac:dyDescent="0.2">
      <c r="A71" s="2047" t="s">
        <v>2177</v>
      </c>
      <c r="C71" s="1929"/>
      <c r="D71" s="1929"/>
      <c r="E71" s="1929"/>
      <c r="F71" s="1971">
        <f>SUBTOTAL(9,F60:F70)</f>
        <v>248926</v>
      </c>
      <c r="G71" s="1971">
        <f t="shared" ref="G71:M71" si="7">SUBTOTAL(9,G60:G70)</f>
        <v>311842</v>
      </c>
      <c r="H71" s="1971">
        <f t="shared" si="7"/>
        <v>248926</v>
      </c>
      <c r="I71" s="1971">
        <f t="shared" si="7"/>
        <v>0</v>
      </c>
      <c r="J71" s="1971">
        <f t="shared" si="7"/>
        <v>311842</v>
      </c>
      <c r="K71" s="1971">
        <f t="shared" si="7"/>
        <v>0</v>
      </c>
      <c r="L71" s="1972">
        <f t="shared" si="7"/>
        <v>0</v>
      </c>
      <c r="M71" s="2009">
        <f t="shared" si="7"/>
        <v>560768</v>
      </c>
      <c r="N71" s="1974"/>
      <c r="O71" s="1984"/>
    </row>
    <row r="72" spans="1:15" s="1927" customFormat="1" ht="11.25" x14ac:dyDescent="0.2">
      <c r="A72" s="1985"/>
      <c r="B72" s="1986"/>
      <c r="C72" s="1929"/>
      <c r="D72" s="1929"/>
      <c r="E72" s="1939"/>
      <c r="F72" s="1988"/>
      <c r="G72" s="1988"/>
      <c r="H72" s="1988"/>
      <c r="I72" s="1988"/>
      <c r="J72" s="1988"/>
      <c r="K72" s="1988"/>
      <c r="L72" s="1971"/>
      <c r="M72" s="2007" t="s">
        <v>2163</v>
      </c>
      <c r="N72" s="1996"/>
      <c r="O72" s="1984"/>
    </row>
    <row r="73" spans="1:15" s="1927" customFormat="1" ht="11.25" x14ac:dyDescent="0.2">
      <c r="A73" s="2059" t="s">
        <v>2178</v>
      </c>
      <c r="B73" s="2059"/>
      <c r="C73" s="2060"/>
      <c r="D73" s="2019" t="s">
        <v>2179</v>
      </c>
      <c r="E73" s="2019" t="s">
        <v>2180</v>
      </c>
      <c r="F73" s="1979">
        <v>0</v>
      </c>
      <c r="G73" s="1979">
        <v>693</v>
      </c>
      <c r="H73" s="1980">
        <v>0</v>
      </c>
      <c r="I73" s="1979">
        <v>0</v>
      </c>
      <c r="J73" s="1979">
        <v>693</v>
      </c>
      <c r="K73" s="1979">
        <v>0</v>
      </c>
      <c r="L73" s="2057">
        <v>0</v>
      </c>
      <c r="M73" s="2061">
        <f>SUM(H73:L73)</f>
        <v>693</v>
      </c>
      <c r="N73" s="1998" t="s">
        <v>2110</v>
      </c>
      <c r="O73" s="1984"/>
    </row>
    <row r="74" spans="1:15" s="1927" customFormat="1" ht="11.25" x14ac:dyDescent="0.2">
      <c r="A74" s="2047" t="s">
        <v>2181</v>
      </c>
      <c r="B74" s="2062"/>
      <c r="C74" s="2063"/>
      <c r="D74" s="1939"/>
      <c r="E74" s="1939"/>
      <c r="F74" s="1971">
        <f>SUBTOTAL(9,F73:F73)</f>
        <v>0</v>
      </c>
      <c r="G74" s="1971">
        <f>SUBTOTAL(9,G73:G73)</f>
        <v>693</v>
      </c>
      <c r="H74" s="1971">
        <f>SUBTOTAL(9,H73:H73)</f>
        <v>0</v>
      </c>
      <c r="I74" s="1988"/>
      <c r="J74" s="1971">
        <f>SUBTOTAL(9,J73:J73)</f>
        <v>693</v>
      </c>
      <c r="K74" s="1988"/>
      <c r="L74" s="1971">
        <f>SUBTOTAL(9,L73:L73)</f>
        <v>0</v>
      </c>
      <c r="M74" s="1971">
        <f>SUBTOTAL(9,M73:M73)</f>
        <v>693</v>
      </c>
      <c r="N74" s="2005"/>
      <c r="O74" s="1984"/>
    </row>
    <row r="75" spans="1:15" s="1927" customFormat="1" ht="8.25" customHeight="1" x14ac:dyDescent="0.2">
      <c r="C75" s="1929"/>
      <c r="D75" s="1929"/>
      <c r="E75" s="1929"/>
      <c r="F75" s="1971"/>
      <c r="G75" s="1971"/>
      <c r="H75" s="1971"/>
      <c r="I75" s="1971"/>
      <c r="J75" s="1971"/>
      <c r="K75" s="1971"/>
      <c r="L75" s="1971"/>
      <c r="M75" s="2064" t="s">
        <v>1169</v>
      </c>
      <c r="N75" s="2036"/>
      <c r="O75" s="1964"/>
    </row>
    <row r="76" spans="1:15" s="1927" customFormat="1" ht="12" thickBot="1" x14ac:dyDescent="0.25">
      <c r="A76" s="2037" t="s">
        <v>2182</v>
      </c>
      <c r="B76" s="2038"/>
      <c r="C76" s="2039"/>
      <c r="D76" s="2039"/>
      <c r="E76" s="2039"/>
      <c r="F76" s="2040">
        <f>SUBTOTAL(9,F52:F75)</f>
        <v>296769</v>
      </c>
      <c r="G76" s="2040">
        <f>SUBTOTAL(9,G52:G75)</f>
        <v>366243</v>
      </c>
      <c r="H76" s="2040">
        <f>SUBTOTAL(9,H52:H75)</f>
        <v>296769</v>
      </c>
      <c r="I76" s="2040">
        <v>0</v>
      </c>
      <c r="J76" s="2040">
        <f>SUBTOTAL(9,J52:J75)</f>
        <v>366243</v>
      </c>
      <c r="K76" s="2040">
        <v>0</v>
      </c>
      <c r="L76" s="2040">
        <f>SUBTOTAL(9,L52:L75)</f>
        <v>0</v>
      </c>
      <c r="M76" s="2040">
        <f>SUBTOTAL(9,M52:M75)</f>
        <v>663012</v>
      </c>
      <c r="N76" s="2018"/>
      <c r="O76" s="1964"/>
    </row>
    <row r="77" spans="1:15" s="1927" customFormat="1" ht="11.25" x14ac:dyDescent="0.2">
      <c r="A77" s="1965" t="s">
        <v>2183</v>
      </c>
      <c r="C77" s="1929"/>
      <c r="D77" s="1929"/>
      <c r="E77" s="1929"/>
      <c r="F77" s="1971"/>
      <c r="G77" s="1971"/>
      <c r="H77" s="1971"/>
      <c r="I77" s="1971"/>
      <c r="J77" s="1971"/>
      <c r="K77" s="1971"/>
      <c r="L77" s="1971"/>
      <c r="M77" s="1971"/>
      <c r="N77" s="2036"/>
      <c r="O77" s="1964"/>
    </row>
    <row r="78" spans="1:15" s="1927" customFormat="1" ht="11.25" x14ac:dyDescent="0.2">
      <c r="A78" s="1966" t="s">
        <v>2184</v>
      </c>
      <c r="B78" s="1967"/>
      <c r="C78" s="1968"/>
      <c r="D78" s="1968"/>
      <c r="E78" s="1968"/>
      <c r="F78" s="2045"/>
      <c r="G78" s="2045"/>
      <c r="H78" s="2045"/>
      <c r="I78" s="2045"/>
      <c r="J78" s="2045"/>
      <c r="K78" s="2045"/>
      <c r="L78" s="2045"/>
      <c r="M78" s="2045"/>
      <c r="N78" s="2046"/>
      <c r="O78" s="1964"/>
    </row>
    <row r="79" spans="1:15" s="1927" customFormat="1" ht="9" customHeight="1" x14ac:dyDescent="0.2">
      <c r="A79" s="2047"/>
      <c r="B79" s="1986"/>
      <c r="C79" s="1929"/>
      <c r="D79" s="1929"/>
      <c r="E79" s="1929"/>
      <c r="F79" s="1971"/>
      <c r="G79" s="1971"/>
      <c r="H79" s="2065"/>
      <c r="I79" s="2066"/>
      <c r="J79" s="2067"/>
      <c r="K79" s="1971"/>
      <c r="L79" s="1971"/>
      <c r="M79" s="1971"/>
      <c r="N79" s="2068"/>
      <c r="O79" s="1964"/>
    </row>
    <row r="80" spans="1:15" s="1927" customFormat="1" ht="11.25" x14ac:dyDescent="0.2">
      <c r="A80" s="1976" t="s">
        <v>2185</v>
      </c>
      <c r="B80" s="1967"/>
      <c r="C80" s="1968"/>
      <c r="D80" s="2020" t="s">
        <v>2186</v>
      </c>
      <c r="E80" s="2069" t="s">
        <v>2187</v>
      </c>
      <c r="F80" s="1979">
        <v>20845</v>
      </c>
      <c r="G80" s="2057">
        <v>10002</v>
      </c>
      <c r="H80" s="1979">
        <v>30847</v>
      </c>
      <c r="I80" s="1979">
        <v>0</v>
      </c>
      <c r="J80" s="2057">
        <v>0</v>
      </c>
      <c r="K80" s="2070">
        <v>0</v>
      </c>
      <c r="L80" s="2045">
        <v>0</v>
      </c>
      <c r="M80" s="1981">
        <f>SUM(H80:L80)</f>
        <v>30847</v>
      </c>
      <c r="N80" s="2018" t="s">
        <v>2110</v>
      </c>
      <c r="O80" s="2071"/>
    </row>
    <row r="81" spans="1:15" s="1927" customFormat="1" ht="11.25" x14ac:dyDescent="0.2">
      <c r="A81" s="2047"/>
      <c r="C81" s="1929"/>
      <c r="D81" s="1929"/>
      <c r="E81" s="1929"/>
      <c r="F81" s="1971"/>
      <c r="G81" s="2008"/>
      <c r="H81" s="1971"/>
      <c r="I81" s="1971"/>
      <c r="J81" s="2008"/>
      <c r="K81" s="2008"/>
      <c r="L81" s="1971"/>
      <c r="M81" s="1971"/>
      <c r="N81" s="2036"/>
      <c r="O81" s="1964"/>
    </row>
    <row r="82" spans="1:15" s="1927" customFormat="1" ht="12" thickBot="1" x14ac:dyDescent="0.25">
      <c r="A82" s="2072"/>
      <c r="B82" s="2073"/>
      <c r="C82" s="2074"/>
      <c r="D82" s="2075" t="s">
        <v>2186</v>
      </c>
      <c r="E82" s="2076" t="s">
        <v>2188</v>
      </c>
      <c r="F82" s="2077">
        <v>0</v>
      </c>
      <c r="G82" s="2078">
        <v>22268</v>
      </c>
      <c r="H82" s="2077">
        <v>0</v>
      </c>
      <c r="I82" s="2077">
        <v>0</v>
      </c>
      <c r="J82" s="2078">
        <v>29214</v>
      </c>
      <c r="K82" s="2078">
        <v>0</v>
      </c>
      <c r="L82" s="2077">
        <v>0</v>
      </c>
      <c r="M82" s="2078">
        <f>SUM(H82:L82)</f>
        <v>29214</v>
      </c>
      <c r="N82" s="2018" t="s">
        <v>2110</v>
      </c>
      <c r="O82" s="1964"/>
    </row>
    <row r="83" spans="1:15" s="1927" customFormat="1" ht="11.25" x14ac:dyDescent="0.2">
      <c r="A83" s="1985" t="s">
        <v>2189</v>
      </c>
      <c r="B83" s="1986"/>
      <c r="C83" s="1929"/>
      <c r="D83" s="1941"/>
      <c r="E83" s="1939"/>
      <c r="F83" s="1971">
        <f>SUBTOTAL(9,F80:F82)</f>
        <v>20845</v>
      </c>
      <c r="G83" s="1971">
        <f t="shared" ref="G83:M83" si="8">SUBTOTAL(9,G80:G82)</f>
        <v>32270</v>
      </c>
      <c r="H83" s="1971">
        <f t="shared" si="8"/>
        <v>30847</v>
      </c>
      <c r="I83" s="1971">
        <f t="shared" si="8"/>
        <v>0</v>
      </c>
      <c r="J83" s="1971">
        <f t="shared" si="8"/>
        <v>29214</v>
      </c>
      <c r="K83" s="1971">
        <f t="shared" si="8"/>
        <v>0</v>
      </c>
      <c r="L83" s="1971">
        <f t="shared" si="8"/>
        <v>0</v>
      </c>
      <c r="M83" s="1971">
        <f t="shared" si="8"/>
        <v>60061</v>
      </c>
      <c r="N83" s="2005"/>
      <c r="O83" s="1964"/>
    </row>
    <row r="84" spans="1:15" s="1927" customFormat="1" ht="7.5" customHeight="1" x14ac:dyDescent="0.2">
      <c r="C84" s="1929"/>
      <c r="D84" s="1929"/>
      <c r="E84" s="1929"/>
      <c r="F84" s="1971"/>
      <c r="G84" s="1971"/>
      <c r="H84" s="1971"/>
      <c r="I84" s="1971"/>
      <c r="J84" s="1971"/>
      <c r="K84" s="1971"/>
      <c r="L84" s="1971"/>
      <c r="M84" s="1971"/>
      <c r="N84" s="2036"/>
      <c r="O84" s="1964"/>
    </row>
    <row r="85" spans="1:15" s="1927" customFormat="1" ht="12" thickBot="1" x14ac:dyDescent="0.25">
      <c r="A85" s="2037" t="s">
        <v>2190</v>
      </c>
      <c r="B85" s="2038"/>
      <c r="C85" s="2039"/>
      <c r="D85" s="2039"/>
      <c r="E85" s="2039"/>
      <c r="F85" s="2040">
        <f t="shared" ref="F85:M85" si="9">SUBTOTAL(9,F77:F84)</f>
        <v>20845</v>
      </c>
      <c r="G85" s="2040">
        <f>SUBTOTAL(9,G77:G84)</f>
        <v>32270</v>
      </c>
      <c r="H85" s="2040">
        <f t="shared" si="9"/>
        <v>30847</v>
      </c>
      <c r="I85" s="2040">
        <f>SUBTOTAL(9,I77:I84)</f>
        <v>0</v>
      </c>
      <c r="J85" s="2040">
        <f>SUBTOTAL(9,J77:J84)</f>
        <v>29214</v>
      </c>
      <c r="K85" s="2040">
        <f>SUBTOTAL(9,K77:K84)</f>
        <v>0</v>
      </c>
      <c r="L85" s="2040">
        <f t="shared" si="9"/>
        <v>0</v>
      </c>
      <c r="M85" s="2040">
        <f t="shared" si="9"/>
        <v>60061</v>
      </c>
      <c r="N85" s="2018"/>
      <c r="O85" s="1964"/>
    </row>
    <row r="86" spans="1:15" s="1927" customFormat="1" ht="11.25" x14ac:dyDescent="0.2">
      <c r="C86" s="1929"/>
      <c r="D86" s="1929"/>
      <c r="E86" s="1929"/>
      <c r="F86" s="1929"/>
      <c r="G86" s="1929"/>
      <c r="H86" s="1929"/>
      <c r="I86" s="1929"/>
      <c r="J86" s="1929"/>
      <c r="K86" s="1929"/>
      <c r="L86" s="1929"/>
      <c r="M86" s="1929"/>
      <c r="N86" s="1956"/>
      <c r="O86" s="1964"/>
    </row>
    <row r="87" spans="1:15" s="1927" customFormat="1" ht="12" thickBot="1" x14ac:dyDescent="0.25">
      <c r="A87" s="2079" t="s">
        <v>2191</v>
      </c>
      <c r="B87" s="2080"/>
      <c r="C87" s="2081"/>
      <c r="D87" s="2081"/>
      <c r="E87" s="2081"/>
      <c r="F87" s="2082">
        <f t="shared" ref="F87:M87" si="10">SUBTOTAL(9,F12:F86)</f>
        <v>905105</v>
      </c>
      <c r="G87" s="2082">
        <f t="shared" si="10"/>
        <v>1056356</v>
      </c>
      <c r="H87" s="2082">
        <f t="shared" si="10"/>
        <v>973744</v>
      </c>
      <c r="I87" s="2082">
        <f t="shared" si="10"/>
        <v>0</v>
      </c>
      <c r="J87" s="2082">
        <f>SUBTOTAL(9,J12:J86)</f>
        <v>1067732</v>
      </c>
      <c r="K87" s="2082">
        <f t="shared" si="10"/>
        <v>0</v>
      </c>
      <c r="L87" s="2082">
        <f t="shared" si="10"/>
        <v>0</v>
      </c>
      <c r="M87" s="2082">
        <f t="shared" si="10"/>
        <v>2041476</v>
      </c>
      <c r="N87" s="2083"/>
      <c r="O87" s="1964"/>
    </row>
    <row r="88" spans="1:15" s="1927" customFormat="1" ht="7.5" customHeight="1" thickTop="1" x14ac:dyDescent="0.2">
      <c r="N88" s="1956"/>
      <c r="O88" s="1964"/>
    </row>
    <row r="89" spans="1:15" s="1927" customFormat="1" ht="11.25" x14ac:dyDescent="0.2">
      <c r="A89" s="2084" t="s">
        <v>2192</v>
      </c>
      <c r="B89" s="2085"/>
      <c r="C89" s="1986"/>
      <c r="D89" s="1986"/>
      <c r="E89" s="1986"/>
      <c r="F89" s="1986"/>
      <c r="G89" s="1986"/>
      <c r="H89" s="1986"/>
      <c r="I89" s="1986"/>
      <c r="J89" s="1986"/>
      <c r="K89" s="1986"/>
      <c r="L89" s="1986"/>
      <c r="M89" s="1986"/>
      <c r="N89" s="2086"/>
      <c r="O89" s="1964"/>
    </row>
    <row r="90" spans="1:15" s="1927" customFormat="1" ht="11.25" x14ac:dyDescent="0.2">
      <c r="A90" s="2087" t="s">
        <v>2193</v>
      </c>
      <c r="B90" s="2085"/>
      <c r="C90" s="1986"/>
      <c r="D90" s="1986"/>
      <c r="E90" s="1986"/>
      <c r="F90" s="1986"/>
      <c r="G90" s="1986"/>
      <c r="H90" s="1986"/>
      <c r="I90" s="1986"/>
      <c r="J90" s="1986"/>
      <c r="K90" s="1986"/>
      <c r="L90" s="1986"/>
      <c r="M90" s="1986"/>
      <c r="N90" s="2086"/>
      <c r="O90" s="1964"/>
    </row>
    <row r="91" spans="1:15" s="1927" customFormat="1" ht="11.25" x14ac:dyDescent="0.2">
      <c r="A91" s="2088"/>
      <c r="B91" s="2085"/>
      <c r="C91" s="1986"/>
      <c r="D91" s="1986"/>
      <c r="E91" s="1986"/>
      <c r="F91" s="1986"/>
      <c r="G91" s="1986"/>
      <c r="H91" s="1986"/>
      <c r="I91" s="1986"/>
      <c r="J91" s="1986"/>
      <c r="K91" s="1986"/>
      <c r="L91" s="1986"/>
      <c r="M91" s="1986"/>
      <c r="N91" s="2086"/>
      <c r="O91" s="1964"/>
    </row>
    <row r="92" spans="1:15" s="1927" customFormat="1" ht="11.25" x14ac:dyDescent="0.2">
      <c r="A92" s="2084" t="s">
        <v>1246</v>
      </c>
      <c r="B92" s="2085"/>
      <c r="C92" s="1986"/>
      <c r="D92" s="1986"/>
      <c r="E92" s="1986"/>
      <c r="F92" s="1986"/>
      <c r="G92" s="1986"/>
      <c r="H92" s="1986"/>
      <c r="I92" s="1986"/>
      <c r="J92" s="1986"/>
      <c r="K92" s="1986"/>
      <c r="L92" s="1986"/>
      <c r="M92" s="1986"/>
      <c r="N92" s="2086"/>
      <c r="O92" s="1964"/>
    </row>
    <row r="93" spans="1:15" s="1927" customFormat="1" ht="11.25" x14ac:dyDescent="0.2">
      <c r="A93" s="2089"/>
      <c r="B93" s="2085"/>
      <c r="C93" s="1986"/>
      <c r="D93" s="1986"/>
      <c r="E93" s="1986"/>
      <c r="F93" s="1986"/>
      <c r="G93" s="1986"/>
      <c r="H93" s="1986"/>
      <c r="I93" s="1986"/>
      <c r="J93" s="1986"/>
      <c r="K93" s="1986"/>
      <c r="L93" s="1986"/>
      <c r="M93" s="1986"/>
      <c r="N93" s="2086"/>
      <c r="O93" s="1964"/>
    </row>
    <row r="94" spans="1:15" s="1927" customFormat="1" ht="11.25" x14ac:dyDescent="0.2">
      <c r="N94" s="1956"/>
      <c r="O94" s="1964"/>
    </row>
    <row r="95" spans="1:15" s="1927" customFormat="1" ht="11.25" x14ac:dyDescent="0.2">
      <c r="N95" s="1956"/>
      <c r="O95" s="1964"/>
    </row>
    <row r="96" spans="1:15" s="1927" customFormat="1" ht="11.25" x14ac:dyDescent="0.2">
      <c r="N96" s="1956"/>
      <c r="O96" s="1964"/>
    </row>
    <row r="97" spans="14:15" s="1927" customFormat="1" ht="11.25" x14ac:dyDescent="0.2">
      <c r="N97" s="1956"/>
      <c r="O97" s="1964"/>
    </row>
    <row r="98" spans="14:15" s="1927" customFormat="1" ht="11.25" x14ac:dyDescent="0.2">
      <c r="N98" s="1956"/>
      <c r="O98" s="1964"/>
    </row>
    <row r="99" spans="14:15" s="1927" customFormat="1" ht="11.25" x14ac:dyDescent="0.2">
      <c r="N99" s="1956"/>
      <c r="O99" s="1964"/>
    </row>
    <row r="100" spans="14:15" s="1927" customFormat="1" ht="11.25" x14ac:dyDescent="0.2">
      <c r="N100" s="1956"/>
      <c r="O100" s="1964"/>
    </row>
    <row r="101" spans="14:15" s="1927" customFormat="1" ht="11.25" x14ac:dyDescent="0.2">
      <c r="N101" s="1956"/>
      <c r="O101" s="1964"/>
    </row>
    <row r="102" spans="14:15" s="1927" customFormat="1" ht="11.25" x14ac:dyDescent="0.2">
      <c r="N102" s="1956"/>
      <c r="O102" s="1964"/>
    </row>
    <row r="103" spans="14:15" s="1927" customFormat="1" ht="11.25" x14ac:dyDescent="0.2">
      <c r="N103" s="1956"/>
      <c r="O103" s="1964"/>
    </row>
    <row r="104" spans="14:15" s="1927" customFormat="1" ht="11.25" x14ac:dyDescent="0.2">
      <c r="N104" s="1956"/>
      <c r="O104" s="1964"/>
    </row>
  </sheetData>
  <mergeCells count="5">
    <mergeCell ref="A1:N1"/>
    <mergeCell ref="A2:N2"/>
    <mergeCell ref="A3:N3"/>
    <mergeCell ref="A4:N4"/>
    <mergeCell ref="A9:C9"/>
  </mergeCells>
  <pageMargins left="0.7" right="0.7" top="0.75" bottom="0.75" header="0.3" footer="0.3"/>
  <pageSetup scale="92" fitToHeight="0" orientation="landscape" horizontalDpi="300" verticalDpi="300" r:id="rId1"/>
  <rowBreaks count="1" manualBreakCount="1">
    <brk id="50"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I13" sqref="I13:L13"/>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562" t="str">
        <f>'Single Audit Cover'!A7</f>
        <v>Fenton CHSD 100</v>
      </c>
      <c r="C1" s="2587"/>
      <c r="D1" s="2587"/>
      <c r="E1" s="2587"/>
      <c r="F1" s="2587"/>
      <c r="G1" s="2587"/>
      <c r="H1" s="2587"/>
      <c r="I1" s="2587"/>
      <c r="J1" s="2587"/>
      <c r="K1" s="2587"/>
      <c r="L1" s="2587"/>
      <c r="M1" s="2587"/>
    </row>
    <row r="2" spans="2:14" ht="15" x14ac:dyDescent="0.2">
      <c r="B2" s="2588">
        <f>'Single Audit Cover'!E7</f>
        <v>19022100016</v>
      </c>
      <c r="C2" s="2588"/>
      <c r="D2" s="2588"/>
      <c r="E2" s="2588"/>
      <c r="F2" s="2588"/>
      <c r="G2" s="2588"/>
      <c r="H2" s="2588"/>
      <c r="I2" s="2588"/>
      <c r="J2" s="2588"/>
      <c r="K2" s="2588"/>
      <c r="L2" s="2588"/>
      <c r="M2" s="2588"/>
      <c r="N2" s="1286"/>
    </row>
    <row r="3" spans="2:14" ht="15" x14ac:dyDescent="0.2">
      <c r="B3" s="2589" t="s">
        <v>1219</v>
      </c>
      <c r="C3" s="2589"/>
      <c r="D3" s="2589"/>
      <c r="E3" s="2589"/>
      <c r="F3" s="2589"/>
      <c r="G3" s="2589"/>
      <c r="H3" s="2589"/>
      <c r="I3" s="2589"/>
      <c r="J3" s="2589"/>
      <c r="K3" s="2589"/>
      <c r="L3" s="2589"/>
      <c r="M3" s="2589"/>
      <c r="N3" s="1286"/>
    </row>
    <row r="4" spans="2:14" ht="15" x14ac:dyDescent="0.2">
      <c r="B4" s="2590" t="str">
        <f>'Single Audit Cover'!A4</f>
        <v>Year Ending June 30, 2019</v>
      </c>
      <c r="C4" s="2590"/>
      <c r="D4" s="2590"/>
      <c r="E4" s="2590"/>
      <c r="F4" s="2590"/>
      <c r="G4" s="2590"/>
      <c r="H4" s="2590"/>
      <c r="I4" s="2590"/>
      <c r="J4" s="2590"/>
      <c r="K4" s="2590"/>
      <c r="L4" s="2590"/>
      <c r="M4" s="2590"/>
      <c r="N4" s="1286"/>
    </row>
    <row r="6" spans="2:14" x14ac:dyDescent="0.2">
      <c r="B6" s="1287"/>
      <c r="C6" s="1288"/>
      <c r="D6" s="1289" t="s">
        <v>1265</v>
      </c>
      <c r="E6" s="1290" t="s">
        <v>527</v>
      </c>
      <c r="F6" s="1291"/>
      <c r="G6" s="1292" t="s">
        <v>1731</v>
      </c>
      <c r="H6" s="1290"/>
      <c r="I6" s="1290"/>
      <c r="J6" s="1290"/>
      <c r="K6" s="1293"/>
      <c r="L6" s="1294"/>
      <c r="M6" s="1295"/>
    </row>
    <row r="7" spans="2:14" x14ac:dyDescent="0.2">
      <c r="B7" s="1296" t="s">
        <v>1581</v>
      </c>
      <c r="C7" s="1297"/>
      <c r="D7" s="1298"/>
      <c r="E7" s="1299"/>
      <c r="F7" s="1300"/>
      <c r="G7" s="1299"/>
      <c r="H7" s="1301" t="s">
        <v>1262</v>
      </c>
      <c r="I7" s="1299"/>
      <c r="J7" s="1302" t="s">
        <v>1262</v>
      </c>
      <c r="K7" s="1303"/>
      <c r="L7" s="1304" t="s">
        <v>1260</v>
      </c>
      <c r="M7" s="1305"/>
    </row>
    <row r="8" spans="2:14" x14ac:dyDescent="0.2">
      <c r="B8" s="1652"/>
      <c r="C8" s="1297" t="s">
        <v>1264</v>
      </c>
      <c r="D8" s="1298" t="s">
        <v>1263</v>
      </c>
      <c r="E8" s="1306" t="s">
        <v>1262</v>
      </c>
      <c r="F8" s="1307" t="s">
        <v>1262</v>
      </c>
      <c r="G8" s="1308" t="s">
        <v>1262</v>
      </c>
      <c r="H8" s="1301" t="s">
        <v>1836</v>
      </c>
      <c r="I8" s="1303" t="s">
        <v>1262</v>
      </c>
      <c r="J8" s="1302" t="s">
        <v>1987</v>
      </c>
      <c r="K8" s="1303" t="s">
        <v>1261</v>
      </c>
      <c r="L8" s="1304" t="s">
        <v>1257</v>
      </c>
      <c r="M8" s="1305" t="s">
        <v>30</v>
      </c>
    </row>
    <row r="9" spans="2:14" ht="14.25" x14ac:dyDescent="0.2">
      <c r="B9" s="1309" t="s">
        <v>1259</v>
      </c>
      <c r="C9" s="1297" t="s">
        <v>1732</v>
      </c>
      <c r="D9" s="1298" t="s">
        <v>1733</v>
      </c>
      <c r="E9" s="1306" t="s">
        <v>1836</v>
      </c>
      <c r="F9" s="1307" t="s">
        <v>1987</v>
      </c>
      <c r="G9" s="1308" t="s">
        <v>1836</v>
      </c>
      <c r="H9" s="1301" t="s">
        <v>1582</v>
      </c>
      <c r="I9" s="1303" t="s">
        <v>1987</v>
      </c>
      <c r="J9" s="1302" t="s">
        <v>1582</v>
      </c>
      <c r="K9" s="1303" t="s">
        <v>1258</v>
      </c>
      <c r="L9" s="1310" t="s">
        <v>1583</v>
      </c>
      <c r="M9" s="1305"/>
    </row>
    <row r="10" spans="2:14" ht="11.85" customHeight="1" x14ac:dyDescent="0.2">
      <c r="B10" s="1309" t="s">
        <v>1256</v>
      </c>
      <c r="C10" s="1311" t="s">
        <v>1255</v>
      </c>
      <c r="D10" s="1312" t="s">
        <v>1254</v>
      </c>
      <c r="E10" s="1313" t="s">
        <v>1253</v>
      </c>
      <c r="F10" s="1314" t="s">
        <v>1252</v>
      </c>
      <c r="G10" s="1315" t="s">
        <v>1251</v>
      </c>
      <c r="H10" s="1316" t="s">
        <v>1266</v>
      </c>
      <c r="I10" s="1317" t="s">
        <v>1250</v>
      </c>
      <c r="J10" s="1318" t="s">
        <v>1266</v>
      </c>
      <c r="K10" s="1319" t="s">
        <v>1249</v>
      </c>
      <c r="L10" s="1319" t="s">
        <v>1248</v>
      </c>
      <c r="M10" s="1320" t="s">
        <v>1247</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1169</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1734</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1837</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1246</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1735</v>
      </c>
      <c r="C37" s="1349"/>
      <c r="D37" s="1349"/>
      <c r="E37" s="1349"/>
      <c r="F37" s="1349"/>
      <c r="G37" s="1349"/>
      <c r="H37" s="1349"/>
      <c r="I37" s="1350"/>
      <c r="J37" s="1350"/>
      <c r="K37" s="1350"/>
      <c r="L37" s="1350"/>
      <c r="M37" s="1350"/>
    </row>
    <row r="38" spans="2:13" ht="11.25" customHeight="1" x14ac:dyDescent="0.2">
      <c r="B38" s="1351" t="s">
        <v>1584</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1736</v>
      </c>
      <c r="C40" s="1350"/>
      <c r="D40" s="1350"/>
      <c r="E40" s="1350"/>
      <c r="F40" s="1350"/>
      <c r="G40" s="1350"/>
      <c r="H40" s="1350"/>
      <c r="I40" s="1350"/>
      <c r="J40" s="1350"/>
      <c r="K40" s="1350"/>
      <c r="L40" s="1350"/>
      <c r="M40" s="1350"/>
    </row>
    <row r="41" spans="2:13" ht="11.25" customHeight="1" x14ac:dyDescent="0.2">
      <c r="B41" s="1284" t="s">
        <v>1585</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1737</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1738</v>
      </c>
      <c r="C45" s="1352"/>
      <c r="D45" s="1353"/>
      <c r="E45" s="1284"/>
      <c r="F45" s="1284"/>
      <c r="G45" s="1284"/>
      <c r="H45" s="1284"/>
      <c r="I45" s="1284"/>
      <c r="J45" s="1284"/>
      <c r="K45" s="1354"/>
      <c r="L45" s="1354"/>
      <c r="M45" s="1284"/>
    </row>
    <row r="46" spans="2:13" ht="11.25" customHeight="1" x14ac:dyDescent="0.2">
      <c r="B46" s="1284" t="s">
        <v>1586</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I13" sqref="I13:L13"/>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600" t="str">
        <f>'Single Audit Cover'!A7</f>
        <v>Fenton CHSD 100</v>
      </c>
      <c r="B1" s="2600"/>
      <c r="C1" s="2600"/>
      <c r="D1" s="2600"/>
      <c r="E1" s="2600"/>
      <c r="F1" s="2600"/>
    </row>
    <row r="2" spans="1:7" ht="13.5" customHeight="1" x14ac:dyDescent="0.2">
      <c r="A2" s="2588">
        <f>'Single Audit Cover'!E7</f>
        <v>19022100016</v>
      </c>
      <c r="B2" s="2588"/>
      <c r="C2" s="2588"/>
      <c r="D2" s="2588"/>
      <c r="E2" s="2588"/>
      <c r="F2" s="2588"/>
      <c r="G2" s="1259"/>
    </row>
    <row r="3" spans="1:7" ht="15.75" customHeight="1" x14ac:dyDescent="0.2">
      <c r="A3" s="2601" t="s">
        <v>1271</v>
      </c>
      <c r="B3" s="2601"/>
      <c r="C3" s="2601"/>
      <c r="D3" s="2601"/>
      <c r="E3" s="2601"/>
      <c r="F3" s="2601"/>
    </row>
    <row r="4" spans="1:7" ht="13.5" customHeight="1" x14ac:dyDescent="0.2">
      <c r="A4" s="2602" t="str">
        <f>'Single Audit Cover'!A4</f>
        <v>Year Ending June 30, 2019</v>
      </c>
      <c r="B4" s="2602"/>
      <c r="C4" s="2602"/>
      <c r="D4" s="2602"/>
      <c r="E4" s="2602"/>
      <c r="F4" s="2602"/>
    </row>
    <row r="5" spans="1:7" ht="8.25" customHeight="1" x14ac:dyDescent="0.2">
      <c r="C5" s="317"/>
      <c r="D5" s="317"/>
    </row>
    <row r="6" spans="1:7" ht="13.5" customHeight="1" x14ac:dyDescent="0.2">
      <c r="A6" s="1260" t="s">
        <v>1728</v>
      </c>
      <c r="C6" s="317"/>
      <c r="D6" s="317"/>
    </row>
    <row r="7" spans="1:7" ht="60.95" customHeight="1" x14ac:dyDescent="0.2">
      <c r="A7" s="2599" t="s">
        <v>2103</v>
      </c>
      <c r="B7" s="2599"/>
      <c r="C7" s="2599"/>
      <c r="D7" s="2599"/>
      <c r="E7" s="2599"/>
      <c r="F7" s="2599"/>
    </row>
    <row r="8" spans="1:7" ht="12" customHeight="1" x14ac:dyDescent="0.2">
      <c r="A8" s="1260"/>
      <c r="B8" s="1266"/>
      <c r="C8" s="1266"/>
      <c r="D8" s="1266"/>
    </row>
    <row r="9" spans="1:7" ht="15" customHeight="1" x14ac:dyDescent="0.2">
      <c r="A9" s="1261" t="s">
        <v>1729</v>
      </c>
      <c r="B9" s="1264"/>
      <c r="C9" s="1264"/>
      <c r="D9" s="1264"/>
      <c r="E9" s="1262"/>
      <c r="F9" s="1262"/>
      <c r="G9" s="1262"/>
    </row>
    <row r="10" spans="1:7" ht="15" customHeight="1" x14ac:dyDescent="0.2">
      <c r="A10" s="1263" t="s">
        <v>1547</v>
      </c>
      <c r="B10" s="1264"/>
      <c r="C10" s="1265"/>
      <c r="D10" s="1264" t="s">
        <v>1548</v>
      </c>
      <c r="E10" s="1265" t="s">
        <v>2061</v>
      </c>
      <c r="F10" s="1264" t="s">
        <v>99</v>
      </c>
      <c r="G10" s="1262"/>
    </row>
    <row r="11" spans="1:7" ht="12" customHeight="1" x14ac:dyDescent="0.2">
      <c r="A11" s="1263"/>
      <c r="B11" s="1264"/>
      <c r="C11" s="1889"/>
      <c r="D11" s="1264"/>
      <c r="E11" s="1889"/>
      <c r="F11" s="1264"/>
      <c r="G11" s="1262"/>
    </row>
    <row r="12" spans="1:7" x14ac:dyDescent="0.2">
      <c r="A12" s="1260" t="s">
        <v>1587</v>
      </c>
      <c r="C12" s="1244"/>
      <c r="D12" s="1244"/>
    </row>
    <row r="13" spans="1:7" ht="15" customHeight="1" x14ac:dyDescent="0.2">
      <c r="A13" s="2599" t="s">
        <v>2104</v>
      </c>
      <c r="B13" s="2599"/>
      <c r="C13" s="2599"/>
      <c r="D13" s="2599"/>
      <c r="E13" s="2599"/>
      <c r="F13" s="2599"/>
    </row>
    <row r="14" spans="1:7" ht="9.75" customHeight="1" x14ac:dyDescent="0.2">
      <c r="C14" s="1244"/>
      <c r="D14" s="1244"/>
    </row>
    <row r="15" spans="1:7" ht="13.5" customHeight="1" x14ac:dyDescent="0.2">
      <c r="C15" s="1833" t="s">
        <v>1270</v>
      </c>
      <c r="D15" s="2597" t="s">
        <v>1269</v>
      </c>
      <c r="E15" s="2597"/>
      <c r="F15" s="2597"/>
    </row>
    <row r="16" spans="1:7" ht="13.5" customHeight="1" x14ac:dyDescent="0.2">
      <c r="A16" s="1266"/>
      <c r="B16" s="1260" t="s">
        <v>1268</v>
      </c>
      <c r="C16" s="1833" t="s">
        <v>1267</v>
      </c>
      <c r="D16" s="2598" t="s">
        <v>1588</v>
      </c>
      <c r="E16" s="2598"/>
      <c r="F16" s="2598"/>
    </row>
    <row r="17" spans="1:6" ht="20.45" customHeight="1" x14ac:dyDescent="0.2">
      <c r="A17" s="1267"/>
      <c r="B17" s="1268" t="s">
        <v>2105</v>
      </c>
      <c r="C17" s="1269"/>
      <c r="D17" s="2592"/>
      <c r="E17" s="2592"/>
      <c r="F17" s="2592"/>
    </row>
    <row r="18" spans="1:6" ht="20.65" customHeight="1" x14ac:dyDescent="0.2">
      <c r="A18" s="1267"/>
      <c r="B18" s="1268"/>
      <c r="C18" s="1269"/>
      <c r="D18" s="2592"/>
      <c r="E18" s="2592"/>
      <c r="F18" s="2592"/>
    </row>
    <row r="19" spans="1:6" ht="20.65" customHeight="1" x14ac:dyDescent="0.2">
      <c r="A19" s="1267"/>
      <c r="B19" s="1268"/>
      <c r="C19" s="1269"/>
      <c r="D19" s="2592"/>
      <c r="E19" s="2592"/>
      <c r="F19" s="2592"/>
    </row>
    <row r="20" spans="1:6" ht="20.65" customHeight="1" x14ac:dyDescent="0.2">
      <c r="A20" s="1267"/>
      <c r="B20" s="1268"/>
      <c r="C20" s="1269"/>
      <c r="D20" s="2592"/>
      <c r="E20" s="2592"/>
      <c r="F20" s="2592"/>
    </row>
    <row r="21" spans="1:6" ht="20.65" customHeight="1" x14ac:dyDescent="0.2">
      <c r="A21" s="1267"/>
      <c r="B21" s="1268"/>
      <c r="C21" s="1269"/>
      <c r="D21" s="2592"/>
      <c r="E21" s="2592"/>
      <c r="F21" s="2592"/>
    </row>
    <row r="22" spans="1:6" ht="20.65" customHeight="1" x14ac:dyDescent="0.2">
      <c r="A22" s="1267"/>
      <c r="B22" s="1268"/>
      <c r="C22" s="1269"/>
      <c r="D22" s="2592"/>
      <c r="E22" s="2592"/>
      <c r="F22" s="2592"/>
    </row>
    <row r="23" spans="1:6" ht="20.65" customHeight="1" x14ac:dyDescent="0.2">
      <c r="A23" s="1267"/>
      <c r="B23" s="1268"/>
      <c r="C23" s="1269"/>
      <c r="D23" s="2592"/>
      <c r="E23" s="2592"/>
      <c r="F23" s="2592"/>
    </row>
    <row r="24" spans="1:6" ht="20.65" customHeight="1" x14ac:dyDescent="0.2">
      <c r="A24" s="1267"/>
      <c r="B24" s="1268"/>
      <c r="C24" s="1269"/>
      <c r="D24" s="2592"/>
      <c r="E24" s="2592"/>
      <c r="F24" s="2592"/>
    </row>
    <row r="25" spans="1:6" ht="20.65" customHeight="1" x14ac:dyDescent="0.2">
      <c r="A25" s="1267"/>
      <c r="B25" s="1268"/>
      <c r="C25" s="1269"/>
      <c r="D25" s="2592"/>
      <c r="E25" s="2592"/>
      <c r="F25" s="2592"/>
    </row>
    <row r="26" spans="1:6" ht="20.65" customHeight="1" x14ac:dyDescent="0.2">
      <c r="A26" s="1267"/>
      <c r="B26" s="1268"/>
      <c r="C26" s="1269"/>
      <c r="D26" s="2592"/>
      <c r="E26" s="2592"/>
      <c r="F26" s="2592"/>
    </row>
    <row r="27" spans="1:6" ht="20.65" customHeight="1" x14ac:dyDescent="0.2">
      <c r="A27" s="1267"/>
      <c r="B27" s="1268"/>
      <c r="C27" s="1269"/>
      <c r="D27" s="2592"/>
      <c r="E27" s="2592"/>
      <c r="F27" s="2592"/>
    </row>
    <row r="28" spans="1:6" ht="20.65" customHeight="1" x14ac:dyDescent="0.2">
      <c r="A28" s="1267"/>
      <c r="B28" s="1268"/>
      <c r="C28" s="1269"/>
      <c r="D28" s="2592"/>
      <c r="E28" s="2592"/>
      <c r="F28" s="2592"/>
    </row>
    <row r="29" spans="1:6" ht="20.65" customHeight="1" x14ac:dyDescent="0.2">
      <c r="A29" s="1267"/>
      <c r="B29" s="1268"/>
      <c r="C29" s="1269"/>
      <c r="D29" s="2592"/>
      <c r="E29" s="2592"/>
      <c r="F29" s="2592"/>
    </row>
    <row r="30" spans="1:6" ht="12" customHeight="1" x14ac:dyDescent="0.2">
      <c r="A30" s="328"/>
      <c r="B30" s="328"/>
      <c r="C30" s="1449"/>
      <c r="D30" s="1890"/>
      <c r="E30" s="1270"/>
    </row>
    <row r="31" spans="1:6" ht="12" customHeight="1" x14ac:dyDescent="0.2">
      <c r="A31" s="1271" t="s">
        <v>1549</v>
      </c>
      <c r="B31" s="328"/>
      <c r="C31" s="1449"/>
      <c r="D31" s="1890"/>
      <c r="E31" s="1270"/>
    </row>
    <row r="32" spans="1:6" ht="30" customHeight="1" x14ac:dyDescent="0.2">
      <c r="A32" s="2593" t="s">
        <v>2111</v>
      </c>
      <c r="B32" s="2593"/>
      <c r="C32" s="2593"/>
      <c r="D32" s="2593"/>
      <c r="E32" s="2593"/>
      <c r="F32" s="2593"/>
    </row>
    <row r="33" spans="1:6" ht="13.5" customHeight="1" x14ac:dyDescent="0.2">
      <c r="A33" s="328" t="s">
        <v>1434</v>
      </c>
      <c r="B33" s="328"/>
      <c r="C33" s="1272">
        <v>30085</v>
      </c>
      <c r="D33" s="1890"/>
      <c r="E33" s="1270"/>
    </row>
    <row r="34" spans="1:6" ht="13.5" customHeight="1" x14ac:dyDescent="0.2">
      <c r="A34" s="328" t="s">
        <v>1835</v>
      </c>
      <c r="B34" s="328"/>
      <c r="C34" s="1273">
        <v>995</v>
      </c>
      <c r="D34" s="1890" t="s">
        <v>1589</v>
      </c>
      <c r="E34" s="2594">
        <f>+C33+C34</f>
        <v>31080</v>
      </c>
      <c r="F34" s="2595"/>
    </row>
    <row r="35" spans="1:6" ht="12" customHeight="1" x14ac:dyDescent="0.2">
      <c r="A35" s="328"/>
      <c r="B35" s="328"/>
      <c r="C35" s="1891"/>
      <c r="D35" s="1890"/>
      <c r="E35" s="1274"/>
      <c r="F35" s="1275"/>
    </row>
    <row r="36" spans="1:6" ht="13.5" customHeight="1" x14ac:dyDescent="0.2">
      <c r="A36" s="1271" t="s">
        <v>1550</v>
      </c>
      <c r="B36" s="328"/>
      <c r="C36" s="1449"/>
      <c r="D36" s="1890"/>
      <c r="E36" s="1270"/>
    </row>
    <row r="37" spans="1:6" ht="14.25" customHeight="1" x14ac:dyDescent="0.2">
      <c r="A37" s="328" t="s">
        <v>1484</v>
      </c>
      <c r="B37" s="328"/>
      <c r="C37" s="1892"/>
      <c r="D37" s="1890"/>
      <c r="E37" s="1270"/>
    </row>
    <row r="38" spans="1:6" ht="14.25" customHeight="1" x14ac:dyDescent="0.2">
      <c r="A38" s="328"/>
      <c r="B38" s="328" t="s">
        <v>1435</v>
      </c>
      <c r="C38" s="1276">
        <v>0</v>
      </c>
      <c r="D38" s="1890"/>
      <c r="E38" s="1270"/>
    </row>
    <row r="39" spans="1:6" ht="14.25" customHeight="1" x14ac:dyDescent="0.2">
      <c r="A39" s="328"/>
      <c r="B39" s="328" t="s">
        <v>1436</v>
      </c>
      <c r="C39" s="1276">
        <v>0</v>
      </c>
      <c r="D39" s="1890"/>
      <c r="E39" s="1270"/>
    </row>
    <row r="40" spans="1:6" ht="14.25" customHeight="1" x14ac:dyDescent="0.2">
      <c r="A40" s="328"/>
      <c r="B40" s="328" t="s">
        <v>1437</v>
      </c>
      <c r="C40" s="1276">
        <v>0</v>
      </c>
      <c r="D40" s="1890"/>
      <c r="E40" s="1270"/>
    </row>
    <row r="41" spans="1:6" ht="14.25" customHeight="1" x14ac:dyDescent="0.2">
      <c r="A41" s="328"/>
      <c r="B41" s="328" t="s">
        <v>1438</v>
      </c>
      <c r="C41" s="1276">
        <v>0</v>
      </c>
      <c r="D41" s="1890"/>
      <c r="E41" s="1270"/>
    </row>
    <row r="42" spans="1:6" ht="14.25" customHeight="1" x14ac:dyDescent="0.2">
      <c r="A42" s="328" t="s">
        <v>1439</v>
      </c>
      <c r="B42" s="328"/>
      <c r="C42" s="1888">
        <v>0</v>
      </c>
      <c r="D42" s="1890"/>
      <c r="E42" s="1270"/>
    </row>
    <row r="43" spans="1:6" ht="14.25" customHeight="1" x14ac:dyDescent="0.2">
      <c r="A43" s="328" t="s">
        <v>1440</v>
      </c>
      <c r="B43" s="328"/>
      <c r="C43" s="1277" t="s">
        <v>383</v>
      </c>
      <c r="D43" s="1890"/>
      <c r="E43" s="1270"/>
    </row>
    <row r="44" spans="1:6" ht="14.25" customHeight="1" x14ac:dyDescent="0.2">
      <c r="A44" s="328"/>
      <c r="B44" s="328"/>
      <c r="C44" s="1892" t="s">
        <v>1441</v>
      </c>
      <c r="D44" s="1890"/>
      <c r="E44" s="1270"/>
    </row>
    <row r="45" spans="1:6" ht="13.5" customHeight="1" x14ac:dyDescent="0.2">
      <c r="B45" s="322"/>
      <c r="C45" s="1278"/>
      <c r="D45" s="1278"/>
    </row>
    <row r="46" spans="1:6" x14ac:dyDescent="0.2">
      <c r="A46" s="1279" t="s">
        <v>1730</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596" t="s">
        <v>1590</v>
      </c>
      <c r="C49" s="2596"/>
      <c r="D49" s="2596"/>
      <c r="E49" s="1383"/>
    </row>
    <row r="50" spans="1:5" s="1284" customFormat="1" ht="3.75" customHeight="1" x14ac:dyDescent="0.2">
      <c r="A50" s="1283"/>
      <c r="B50" s="1832"/>
      <c r="C50" s="1832"/>
      <c r="D50" s="1832"/>
      <c r="E50" s="1383"/>
    </row>
    <row r="51" spans="1:5" s="1284" customFormat="1" ht="20.25" customHeight="1" x14ac:dyDescent="0.2">
      <c r="A51" s="1285">
        <v>6</v>
      </c>
      <c r="B51" s="2591" t="s">
        <v>1551</v>
      </c>
      <c r="C51" s="2591"/>
      <c r="D51" s="2591"/>
    </row>
    <row r="52" spans="1:5" ht="14.25" customHeight="1" x14ac:dyDescent="0.2">
      <c r="A52" s="1285"/>
      <c r="B52" s="2591"/>
      <c r="C52" s="2591"/>
      <c r="D52" s="259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I13" sqref="I13:L13"/>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14" t="str">
        <f>'Single Audit Cover'!A7</f>
        <v>Fenton CHSD 100</v>
      </c>
      <c r="C1" s="2615"/>
      <c r="D1" s="2615"/>
      <c r="E1" s="2615"/>
      <c r="F1" s="2615"/>
      <c r="G1" s="2615"/>
      <c r="H1" s="2615"/>
      <c r="I1" s="2615"/>
      <c r="J1" s="1393"/>
    </row>
    <row r="2" spans="2:10" s="317" customFormat="1" ht="12.75" customHeight="1" x14ac:dyDescent="0.2">
      <c r="B2" s="2616">
        <f>'Single Audit Cover'!E7</f>
        <v>19022100016</v>
      </c>
      <c r="C2" s="2617"/>
      <c r="D2" s="2617"/>
      <c r="E2" s="2617"/>
      <c r="F2" s="2617"/>
      <c r="G2" s="2617"/>
      <c r="H2" s="2617"/>
      <c r="I2" s="2617"/>
      <c r="J2" s="1393"/>
    </row>
    <row r="3" spans="2:10" s="317" customFormat="1" ht="12.75" customHeight="1" x14ac:dyDescent="0.2">
      <c r="B3" s="2618" t="s">
        <v>1285</v>
      </c>
      <c r="C3" s="2619"/>
      <c r="D3" s="2619"/>
      <c r="E3" s="2619"/>
      <c r="F3" s="2619"/>
      <c r="G3" s="2619"/>
      <c r="H3" s="2619"/>
      <c r="I3" s="2619"/>
      <c r="J3" s="1394"/>
    </row>
    <row r="4" spans="2:10" s="317" customFormat="1" ht="12.75" customHeight="1" x14ac:dyDescent="0.2">
      <c r="B4" s="2618" t="str">
        <f>'Single Audit Cover'!A4</f>
        <v>Year Ending June 30, 2019</v>
      </c>
      <c r="C4" s="2619"/>
      <c r="D4" s="2619"/>
      <c r="E4" s="2619"/>
      <c r="F4" s="2619"/>
      <c r="G4" s="2619"/>
      <c r="H4" s="2619"/>
      <c r="I4" s="2619"/>
    </row>
    <row r="5" spans="2:10" s="317" customFormat="1" ht="6.2" customHeight="1" x14ac:dyDescent="0.2">
      <c r="B5" s="1395" t="s">
        <v>1169</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618" t="s">
        <v>1284</v>
      </c>
      <c r="C7" s="2619"/>
      <c r="D7" s="2619"/>
      <c r="E7" s="2619"/>
      <c r="F7" s="2619"/>
      <c r="G7" s="2619"/>
      <c r="H7" s="2619"/>
      <c r="I7" s="2619"/>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42"/>
    </row>
    <row r="11" spans="2:10" s="317" customFormat="1" ht="13.5" customHeight="1" x14ac:dyDescent="0.2">
      <c r="B11" s="1333" t="s">
        <v>1282</v>
      </c>
      <c r="C11" s="2620" t="s">
        <v>2106</v>
      </c>
      <c r="D11" s="2620"/>
      <c r="E11" s="1403"/>
      <c r="F11" s="1403"/>
      <c r="G11" s="1403"/>
    </row>
    <row r="12" spans="2:10" s="317" customFormat="1" ht="11.45" customHeight="1" x14ac:dyDescent="0.2">
      <c r="B12" s="1341"/>
      <c r="C12" s="1404" t="s">
        <v>1442</v>
      </c>
      <c r="D12" s="1405"/>
      <c r="E12" s="1242"/>
    </row>
    <row r="13" spans="2:10" s="317" customFormat="1" ht="12.75" customHeight="1" x14ac:dyDescent="0.2">
      <c r="B13" s="1406"/>
      <c r="C13" s="1371"/>
      <c r="D13" s="1371"/>
      <c r="E13" s="1242"/>
    </row>
    <row r="14" spans="2:10" s="317" customFormat="1" ht="12.75" customHeight="1" x14ac:dyDescent="0.2">
      <c r="B14" s="1352" t="s">
        <v>1281</v>
      </c>
      <c r="C14" s="1266"/>
      <c r="E14" s="1242"/>
    </row>
    <row r="15" spans="2:10" s="317" customFormat="1" ht="13.5" customHeight="1" x14ac:dyDescent="0.2">
      <c r="B15" s="1407" t="s">
        <v>1278</v>
      </c>
      <c r="C15" s="1408"/>
      <c r="D15" s="1382"/>
      <c r="E15" s="1409"/>
      <c r="F15" s="1284" t="s">
        <v>885</v>
      </c>
      <c r="G15" s="1409" t="s">
        <v>2061</v>
      </c>
      <c r="H15" s="1284" t="s">
        <v>1276</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1277</v>
      </c>
      <c r="C17" s="1408"/>
      <c r="D17" s="1382"/>
      <c r="E17" s="1410"/>
      <c r="F17" s="1241"/>
      <c r="G17" s="1410"/>
      <c r="H17" s="1284"/>
      <c r="I17" s="1284"/>
    </row>
    <row r="18" spans="2:9" s="317" customFormat="1" ht="12.75" customHeight="1" x14ac:dyDescent="0.2">
      <c r="B18" s="1407" t="s">
        <v>1443</v>
      </c>
      <c r="C18" s="1408"/>
      <c r="D18" s="1382"/>
      <c r="E18" s="1409"/>
      <c r="F18" s="1284" t="s">
        <v>885</v>
      </c>
      <c r="G18" s="1409" t="s">
        <v>2061</v>
      </c>
      <c r="H18" s="1284" t="s">
        <v>1276</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1591</v>
      </c>
      <c r="C20" s="1408"/>
      <c r="D20" s="1382"/>
      <c r="E20" s="1409"/>
      <c r="F20" s="1284" t="s">
        <v>885</v>
      </c>
      <c r="G20" s="1409" t="s">
        <v>2061</v>
      </c>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1280</v>
      </c>
      <c r="C22" s="1411"/>
      <c r="D22" s="1402"/>
      <c r="E22" s="1367"/>
      <c r="F22" s="1284"/>
      <c r="G22" s="322"/>
      <c r="H22" s="1284"/>
      <c r="I22" s="1284"/>
    </row>
    <row r="23" spans="2:9" s="317" customFormat="1" ht="12.75" customHeight="1" x14ac:dyDescent="0.2">
      <c r="B23" s="1352" t="s">
        <v>1279</v>
      </c>
      <c r="C23" s="1266"/>
      <c r="E23" s="1367"/>
      <c r="F23" s="1284"/>
      <c r="G23" s="322"/>
      <c r="H23" s="1284"/>
      <c r="I23" s="1284"/>
    </row>
    <row r="24" spans="2:9" s="317" customFormat="1" ht="13.5" customHeight="1" x14ac:dyDescent="0.2">
      <c r="B24" s="1407" t="s">
        <v>1278</v>
      </c>
      <c r="C24" s="1408"/>
      <c r="D24" s="1382"/>
      <c r="E24" s="1409"/>
      <c r="F24" s="1284" t="s">
        <v>885</v>
      </c>
      <c r="G24" s="1409" t="s">
        <v>2061</v>
      </c>
      <c r="H24" s="1284" t="s">
        <v>1276</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1277</v>
      </c>
      <c r="C26" s="1408"/>
      <c r="D26" s="1382"/>
      <c r="E26" s="1410"/>
      <c r="F26" s="1241"/>
      <c r="G26" s="1410"/>
      <c r="H26" s="1284"/>
      <c r="I26" s="1284"/>
    </row>
    <row r="27" spans="2:9" s="317" customFormat="1" ht="12.75" customHeight="1" x14ac:dyDescent="0.2">
      <c r="B27" s="1407" t="s">
        <v>1443</v>
      </c>
      <c r="C27" s="1408"/>
      <c r="D27" s="1382"/>
      <c r="E27" s="1409"/>
      <c r="F27" s="1284" t="s">
        <v>885</v>
      </c>
      <c r="G27" s="1409" t="s">
        <v>2061</v>
      </c>
      <c r="H27" s="1284" t="s">
        <v>1276</v>
      </c>
      <c r="I27" s="1284"/>
    </row>
    <row r="28" spans="2:9" s="317" customFormat="1" ht="12.75" customHeight="1" x14ac:dyDescent="0.2">
      <c r="B28" s="1352"/>
      <c r="C28" s="1266"/>
      <c r="E28" s="1242"/>
    </row>
    <row r="29" spans="2:9" s="317" customFormat="1" ht="12.75" customHeight="1" x14ac:dyDescent="0.2">
      <c r="B29" s="1352" t="s">
        <v>1275</v>
      </c>
      <c r="C29" s="1266"/>
      <c r="D29" s="2621" t="s">
        <v>2106</v>
      </c>
      <c r="E29" s="2621"/>
      <c r="F29" s="2621"/>
      <c r="G29" s="2621"/>
      <c r="H29" s="2621"/>
      <c r="I29" s="2621"/>
    </row>
    <row r="30" spans="2:9" s="317" customFormat="1" x14ac:dyDescent="0.2">
      <c r="B30" s="1352"/>
      <c r="C30" s="322"/>
      <c r="D30" s="1404" t="s">
        <v>1745</v>
      </c>
      <c r="E30" s="1405"/>
      <c r="F30" s="1405"/>
      <c r="G30" s="1405"/>
      <c r="H30" s="1405"/>
      <c r="I30" s="1405"/>
    </row>
    <row r="31" spans="2:9" s="317" customFormat="1" ht="9.9499999999999993" customHeight="1" x14ac:dyDescent="0.2">
      <c r="B31" s="1352"/>
      <c r="E31" s="1242"/>
    </row>
    <row r="32" spans="2:9" s="317" customFormat="1" x14ac:dyDescent="0.2">
      <c r="B32" s="1352" t="s">
        <v>1274</v>
      </c>
      <c r="C32" s="1266"/>
      <c r="E32" s="1242"/>
    </row>
    <row r="33" spans="2:9" ht="13.5" customHeight="1" x14ac:dyDescent="0.2">
      <c r="B33" s="1352" t="s">
        <v>1552</v>
      </c>
      <c r="C33" s="1266"/>
      <c r="E33" s="1409"/>
      <c r="F33" s="1284" t="s">
        <v>885</v>
      </c>
      <c r="G33" s="1409" t="s">
        <v>2061</v>
      </c>
      <c r="H33" s="1284" t="s">
        <v>99</v>
      </c>
    </row>
    <row r="35" spans="2:9" x14ac:dyDescent="0.2">
      <c r="B35" s="1412" t="s">
        <v>1746</v>
      </c>
      <c r="C35" s="1413"/>
      <c r="D35" s="1251"/>
    </row>
    <row r="36" spans="2:9" ht="6" customHeight="1" x14ac:dyDescent="0.2">
      <c r="B36" s="1412"/>
      <c r="C36" s="1413"/>
      <c r="D36" s="1251"/>
    </row>
    <row r="37" spans="2:9" ht="17.25" customHeight="1" x14ac:dyDescent="0.2">
      <c r="B37" s="1414" t="s">
        <v>1747</v>
      </c>
      <c r="C37" s="2622" t="s">
        <v>1748</v>
      </c>
      <c r="D37" s="2623"/>
      <c r="E37" s="2623"/>
      <c r="F37" s="2624"/>
      <c r="G37" s="2622" t="s">
        <v>1592</v>
      </c>
      <c r="H37" s="2623"/>
      <c r="I37" s="2624"/>
    </row>
    <row r="38" spans="2:9" ht="16.5" customHeight="1" x14ac:dyDescent="0.2">
      <c r="B38" s="1415">
        <v>10.555</v>
      </c>
      <c r="C38" s="2610" t="s">
        <v>2109</v>
      </c>
      <c r="D38" s="2611"/>
      <c r="E38" s="2611"/>
      <c r="F38" s="2612"/>
      <c r="G38" s="2625">
        <v>365550</v>
      </c>
      <c r="H38" s="2626"/>
      <c r="I38" s="2627"/>
    </row>
    <row r="39" spans="2:9" ht="16.5" customHeight="1" x14ac:dyDescent="0.2">
      <c r="B39" s="1415" t="s">
        <v>2108</v>
      </c>
      <c r="C39" s="2610" t="s">
        <v>2107</v>
      </c>
      <c r="D39" s="2611"/>
      <c r="E39" s="2611"/>
      <c r="F39" s="2612"/>
      <c r="G39" s="2613">
        <v>300414</v>
      </c>
      <c r="H39" s="2613"/>
      <c r="I39" s="2613"/>
    </row>
    <row r="40" spans="2:9" ht="16.5" customHeight="1" x14ac:dyDescent="0.2">
      <c r="B40" s="1415"/>
      <c r="C40" s="2610"/>
      <c r="D40" s="2611"/>
      <c r="E40" s="2611"/>
      <c r="F40" s="2612"/>
      <c r="G40" s="2613"/>
      <c r="H40" s="2613"/>
      <c r="I40" s="2613"/>
    </row>
    <row r="41" spans="2:9" ht="16.5" customHeight="1" x14ac:dyDescent="0.2">
      <c r="B41" s="1415"/>
      <c r="C41" s="2610"/>
      <c r="D41" s="2611"/>
      <c r="E41" s="2611"/>
      <c r="F41" s="2612"/>
      <c r="G41" s="2613"/>
      <c r="H41" s="2613"/>
      <c r="I41" s="2613"/>
    </row>
    <row r="42" spans="2:9" ht="16.5" customHeight="1" x14ac:dyDescent="0.2">
      <c r="B42" s="1415"/>
      <c r="C42" s="2610"/>
      <c r="D42" s="2611"/>
      <c r="E42" s="2611"/>
      <c r="F42" s="2612"/>
      <c r="G42" s="2613"/>
      <c r="H42" s="2613"/>
      <c r="I42" s="2613"/>
    </row>
    <row r="43" spans="2:9" ht="16.5" customHeight="1" x14ac:dyDescent="0.2">
      <c r="B43" s="1415"/>
      <c r="C43" s="2603" t="s">
        <v>1593</v>
      </c>
      <c r="D43" s="2604"/>
      <c r="E43" s="2604"/>
      <c r="F43" s="2605"/>
      <c r="G43" s="2606">
        <f>SUM(G38:I42)</f>
        <v>665964</v>
      </c>
      <c r="H43" s="2606"/>
      <c r="I43" s="2606"/>
    </row>
    <row r="44" spans="2:9" ht="12.75" customHeight="1" x14ac:dyDescent="0.2"/>
    <row r="45" spans="2:9" ht="12.75" customHeight="1" x14ac:dyDescent="0.2">
      <c r="B45" s="1406" t="s">
        <v>1838</v>
      </c>
      <c r="D45" s="2607">
        <v>1067732</v>
      </c>
      <c r="E45" s="2608"/>
    </row>
    <row r="46" spans="2:9" ht="5.25" customHeight="1" x14ac:dyDescent="0.2">
      <c r="B46" s="1416"/>
      <c r="D46" s="1417"/>
      <c r="E46" s="1418"/>
    </row>
    <row r="47" spans="2:9" ht="12.75" customHeight="1" x14ac:dyDescent="0.2">
      <c r="B47" s="1284" t="s">
        <v>1594</v>
      </c>
      <c r="C47" s="1284"/>
      <c r="D47" s="1419">
        <f>+G43/D45</f>
        <v>0.62371831133655264</v>
      </c>
      <c r="E47" s="1420"/>
      <c r="F47" s="1421"/>
      <c r="I47" s="1422"/>
    </row>
    <row r="48" spans="2:9" ht="9.9499999999999993" customHeight="1" x14ac:dyDescent="0.2"/>
    <row r="49" spans="1:9" x14ac:dyDescent="0.2">
      <c r="B49" s="1352" t="s">
        <v>1273</v>
      </c>
      <c r="C49" s="1266"/>
      <c r="D49" s="1266"/>
      <c r="E49" s="2609">
        <v>750000</v>
      </c>
      <c r="F49" s="2609"/>
      <c r="G49" s="2609"/>
      <c r="H49" s="322"/>
    </row>
    <row r="51" spans="1:9" ht="13.5" customHeight="1" x14ac:dyDescent="0.2">
      <c r="B51" s="1352" t="s">
        <v>1272</v>
      </c>
      <c r="C51" s="1266"/>
      <c r="E51" s="1409"/>
      <c r="F51" s="1284" t="s">
        <v>885</v>
      </c>
      <c r="G51" s="1409" t="s">
        <v>2061</v>
      </c>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1749</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1750</v>
      </c>
      <c r="C58" s="1435"/>
      <c r="D58" s="1435"/>
    </row>
    <row r="59" spans="1:9" s="1432" customFormat="1" ht="3.95" customHeight="1" x14ac:dyDescent="0.2">
      <c r="A59" s="1429"/>
      <c r="B59" s="1434"/>
      <c r="C59" s="1435"/>
      <c r="D59" s="1435"/>
    </row>
    <row r="60" spans="1:9" s="1432" customFormat="1" ht="13.5" customHeight="1" x14ac:dyDescent="0.2">
      <c r="A60" s="1429"/>
      <c r="B60" s="1434" t="s">
        <v>1751</v>
      </c>
      <c r="C60" s="1435"/>
      <c r="D60" s="1435"/>
    </row>
    <row r="61" spans="1:9" s="1432" customFormat="1" ht="3.95" customHeight="1" x14ac:dyDescent="0.2">
      <c r="A61" s="1429"/>
      <c r="B61" s="1434"/>
      <c r="C61" s="1435"/>
      <c r="D61" s="1435"/>
    </row>
    <row r="62" spans="1:9" s="1432" customFormat="1" ht="12.75" customHeight="1" x14ac:dyDescent="0.2">
      <c r="A62" s="1429"/>
      <c r="B62" s="1434" t="s">
        <v>1752</v>
      </c>
      <c r="C62" s="1435"/>
      <c r="D62" s="1435"/>
    </row>
    <row r="63" spans="1:9" s="1432" customFormat="1" ht="13.5" customHeight="1" x14ac:dyDescent="0.2">
      <c r="A63" s="1429"/>
      <c r="B63" s="1433" t="s">
        <v>1597</v>
      </c>
      <c r="C63" s="1429"/>
      <c r="D63" s="142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I13" sqref="I13:L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4" t="str">
        <f>'Single Audit Cover'!A7</f>
        <v>Fenton CHSD 100</v>
      </c>
      <c r="C1" s="2614"/>
      <c r="D1" s="2614"/>
      <c r="E1" s="2614"/>
      <c r="F1" s="2614"/>
      <c r="G1" s="2614"/>
      <c r="H1" s="2614"/>
      <c r="I1" s="2614"/>
      <c r="J1" s="2614"/>
      <c r="K1" s="2614"/>
      <c r="L1" s="1358"/>
      <c r="M1" s="1358"/>
    </row>
    <row r="2" spans="1:13" ht="12" customHeight="1" x14ac:dyDescent="0.2">
      <c r="B2" s="2616">
        <f>'Single Audit Cover'!E7</f>
        <v>19022100016</v>
      </c>
      <c r="C2" s="2616"/>
      <c r="D2" s="2616"/>
      <c r="E2" s="2616"/>
      <c r="F2" s="2616"/>
      <c r="G2" s="2616"/>
      <c r="H2" s="2616"/>
      <c r="I2" s="2616"/>
      <c r="J2" s="2616"/>
      <c r="K2" s="2616"/>
      <c r="L2" s="1359"/>
      <c r="M2" s="1360"/>
    </row>
    <row r="3" spans="1:13" ht="10.35" customHeight="1" x14ac:dyDescent="0.2">
      <c r="B3" s="2630" t="s">
        <v>1285</v>
      </c>
      <c r="C3" s="2630"/>
      <c r="D3" s="2630"/>
      <c r="E3" s="2630"/>
      <c r="F3" s="2630"/>
      <c r="G3" s="2630"/>
      <c r="H3" s="2630"/>
      <c r="I3" s="2630"/>
      <c r="J3" s="2630"/>
      <c r="K3" s="2630"/>
      <c r="L3" s="1361"/>
      <c r="M3" s="1361"/>
    </row>
    <row r="4" spans="1:13" ht="14.25" customHeight="1" x14ac:dyDescent="0.2">
      <c r="B4" s="2631" t="str">
        <f>'Single Audit Cover'!A4</f>
        <v>Year Ending June 30, 2019</v>
      </c>
      <c r="C4" s="2631"/>
      <c r="D4" s="2631"/>
      <c r="E4" s="2631"/>
      <c r="F4" s="2631"/>
      <c r="G4" s="2631"/>
      <c r="H4" s="2631"/>
      <c r="I4" s="2631"/>
      <c r="J4" s="2631"/>
      <c r="K4" s="2631"/>
      <c r="L4" s="313"/>
      <c r="M4" s="313"/>
    </row>
    <row r="5" spans="1:13" ht="7.5" customHeight="1" x14ac:dyDescent="0.2">
      <c r="B5" s="1244" t="s">
        <v>1169</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631" t="s">
        <v>1296</v>
      </c>
      <c r="C7" s="2631"/>
      <c r="D7" s="2632"/>
      <c r="E7" s="2632"/>
      <c r="F7" s="2632"/>
      <c r="G7" s="2632"/>
      <c r="H7" s="2632"/>
      <c r="I7" s="2632"/>
      <c r="J7" s="2632"/>
      <c r="K7" s="2632"/>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1739</v>
      </c>
      <c r="C10" s="1369" t="s">
        <v>1988</v>
      </c>
      <c r="D10" s="1370" t="s">
        <v>2110</v>
      </c>
      <c r="E10" s="322"/>
      <c r="F10" s="1371" t="s">
        <v>1295</v>
      </c>
      <c r="G10" s="1372"/>
      <c r="H10" s="1373" t="s">
        <v>1294</v>
      </c>
      <c r="I10" s="1372"/>
      <c r="J10" s="1374" t="s">
        <v>1293</v>
      </c>
      <c r="K10" s="322"/>
      <c r="L10" s="1365"/>
    </row>
    <row r="11" spans="1:13" ht="13.5" customHeight="1" x14ac:dyDescent="0.2">
      <c r="B11" s="322"/>
      <c r="C11" s="322"/>
      <c r="D11" s="322"/>
      <c r="E11" s="322"/>
      <c r="F11" s="322"/>
      <c r="G11" s="1367"/>
      <c r="H11" s="322"/>
      <c r="I11" s="1375" t="s">
        <v>1292</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1291</v>
      </c>
      <c r="C13" s="1377"/>
      <c r="D13" s="1378"/>
      <c r="E13" s="1378"/>
      <c r="F13" s="1378"/>
      <c r="G13" s="1379"/>
      <c r="H13" s="1378"/>
      <c r="I13" s="1379"/>
      <c r="J13" s="1378"/>
      <c r="K13" s="1378"/>
      <c r="L13" s="1380"/>
    </row>
    <row r="14" spans="1:13" ht="45.75" customHeight="1" x14ac:dyDescent="0.2">
      <c r="B14" s="2629"/>
      <c r="C14" s="2629"/>
      <c r="D14" s="2629"/>
      <c r="E14" s="2629"/>
      <c r="F14" s="2629"/>
      <c r="G14" s="2629"/>
      <c r="H14" s="2629"/>
      <c r="I14" s="2629"/>
      <c r="J14" s="2629"/>
      <c r="K14" s="2629"/>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1290</v>
      </c>
      <c r="C16" s="1377"/>
      <c r="D16" s="1378"/>
      <c r="E16" s="1378"/>
      <c r="F16" s="1378"/>
      <c r="G16" s="1379"/>
      <c r="H16" s="1378"/>
      <c r="I16" s="1379"/>
      <c r="J16" s="1378"/>
      <c r="K16" s="1378"/>
      <c r="L16" s="1380"/>
    </row>
    <row r="17" spans="2:12" ht="45.75" customHeight="1" x14ac:dyDescent="0.2">
      <c r="B17" s="2629"/>
      <c r="C17" s="2629"/>
      <c r="D17" s="2629"/>
      <c r="E17" s="2629"/>
      <c r="F17" s="2629"/>
      <c r="G17" s="2629"/>
      <c r="H17" s="2629"/>
      <c r="I17" s="2629"/>
      <c r="J17" s="2629"/>
      <c r="K17" s="2629"/>
      <c r="L17" s="1365"/>
    </row>
    <row r="18" spans="2:12" ht="4.5" customHeight="1" x14ac:dyDescent="0.2">
      <c r="B18" s="1382"/>
      <c r="C18" s="1382"/>
      <c r="L18" s="1365"/>
    </row>
    <row r="19" spans="2:12" s="1266" customFormat="1" ht="13.5" customHeight="1" x14ac:dyDescent="0.2">
      <c r="B19" s="1377" t="s">
        <v>1740</v>
      </c>
      <c r="C19" s="1377"/>
      <c r="D19" s="1378"/>
      <c r="E19" s="1378"/>
      <c r="F19" s="1378"/>
      <c r="G19" s="1379"/>
      <c r="H19" s="1378"/>
      <c r="I19" s="1379"/>
      <c r="J19" s="1378"/>
      <c r="K19" s="1378"/>
      <c r="L19" s="1380"/>
    </row>
    <row r="20" spans="2:12" ht="45.75" customHeight="1" x14ac:dyDescent="0.2">
      <c r="B20" s="2633"/>
      <c r="C20" s="2633"/>
      <c r="D20" s="2629"/>
      <c r="E20" s="2629"/>
      <c r="F20" s="2629"/>
      <c r="G20" s="2629"/>
      <c r="H20" s="2629"/>
      <c r="I20" s="2629"/>
      <c r="J20" s="2629"/>
      <c r="K20" s="2629"/>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629"/>
      <c r="C23" s="2629"/>
      <c r="D23" s="2629"/>
      <c r="E23" s="2629"/>
      <c r="F23" s="2629"/>
      <c r="G23" s="2629"/>
      <c r="H23" s="2629"/>
      <c r="I23" s="2629"/>
      <c r="J23" s="2629"/>
      <c r="K23" s="2629"/>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629"/>
      <c r="C26" s="2629"/>
      <c r="D26" s="2629"/>
      <c r="E26" s="2629"/>
      <c r="F26" s="2629"/>
      <c r="G26" s="2629"/>
      <c r="H26" s="2629"/>
      <c r="I26" s="2629"/>
      <c r="J26" s="2629"/>
      <c r="K26" s="2629"/>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628"/>
      <c r="C29" s="2628"/>
      <c r="D29" s="2629"/>
      <c r="E29" s="2629"/>
      <c r="F29" s="2629"/>
      <c r="G29" s="2629"/>
      <c r="H29" s="2629"/>
      <c r="I29" s="2629"/>
      <c r="J29" s="2629"/>
      <c r="K29" s="2629"/>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1741</v>
      </c>
      <c r="C31" s="1387"/>
      <c r="D31" s="1362"/>
      <c r="E31" s="1363"/>
      <c r="F31" s="1363"/>
      <c r="G31" s="1364"/>
      <c r="H31" s="1363"/>
      <c r="I31" s="1364"/>
      <c r="J31" s="1363"/>
      <c r="K31" s="1363"/>
      <c r="L31" s="1365"/>
    </row>
    <row r="32" spans="2:12" s="322" customFormat="1" ht="44.25" customHeight="1" x14ac:dyDescent="0.2">
      <c r="B32" s="2628"/>
      <c r="C32" s="2628"/>
      <c r="D32" s="2629"/>
      <c r="E32" s="2629"/>
      <c r="F32" s="2629"/>
      <c r="G32" s="2629"/>
      <c r="H32" s="2629"/>
      <c r="I32" s="2629"/>
      <c r="J32" s="2629"/>
      <c r="K32" s="2629"/>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1742</v>
      </c>
      <c r="C35" s="1390"/>
      <c r="D35" s="322"/>
      <c r="E35" s="322"/>
      <c r="F35" s="322"/>
      <c r="L35" s="1365"/>
    </row>
    <row r="36" spans="1:13" ht="9.6" customHeight="1" x14ac:dyDescent="0.2">
      <c r="B36" s="1284" t="s">
        <v>1839</v>
      </c>
      <c r="C36" s="1284"/>
      <c r="L36" s="1365"/>
    </row>
    <row r="37" spans="1:13" ht="9.6" customHeight="1" x14ac:dyDescent="0.2">
      <c r="B37" s="1284" t="s">
        <v>1840</v>
      </c>
      <c r="C37" s="1284"/>
    </row>
    <row r="38" spans="1:13" ht="11.85" customHeight="1" x14ac:dyDescent="0.2">
      <c r="B38" s="1391" t="s">
        <v>1743</v>
      </c>
      <c r="C38" s="1391"/>
    </row>
    <row r="39" spans="1:13" ht="9.6" customHeight="1" x14ac:dyDescent="0.2">
      <c r="B39" s="1284" t="s">
        <v>1286</v>
      </c>
      <c r="C39" s="1284"/>
      <c r="M39" s="1392"/>
    </row>
    <row r="40" spans="1:13" ht="12.6" customHeight="1" x14ac:dyDescent="0.2">
      <c r="B40" s="1391" t="s">
        <v>1744</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I13" sqref="I13:L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37" t="str">
        <f>'Single Audit Cover'!A7</f>
        <v>Fenton CHSD 100</v>
      </c>
      <c r="C1" s="2637"/>
      <c r="D1" s="2637"/>
      <c r="E1" s="2637"/>
      <c r="F1" s="2637"/>
      <c r="G1" s="2637"/>
      <c r="H1" s="2637"/>
      <c r="I1" s="2637"/>
      <c r="J1" s="2637"/>
      <c r="K1" s="2637"/>
      <c r="L1" s="1436"/>
    </row>
    <row r="2" spans="1:12" ht="12.75" customHeight="1" x14ac:dyDescent="0.2">
      <c r="B2" s="2638">
        <f>'Single Audit Cover'!E7</f>
        <v>19022100016</v>
      </c>
      <c r="C2" s="2638"/>
      <c r="D2" s="2638"/>
      <c r="E2" s="2638"/>
      <c r="F2" s="2638"/>
      <c r="G2" s="2638"/>
      <c r="H2" s="2638"/>
      <c r="I2" s="2638"/>
      <c r="J2" s="2638"/>
      <c r="K2" s="2638"/>
      <c r="L2" s="1437"/>
    </row>
    <row r="3" spans="1:12" ht="12.75" customHeight="1" x14ac:dyDescent="0.2">
      <c r="B3" s="2630" t="s">
        <v>1285</v>
      </c>
      <c r="C3" s="2630"/>
      <c r="D3" s="2630"/>
      <c r="E3" s="2630"/>
      <c r="F3" s="2630"/>
      <c r="G3" s="2630"/>
      <c r="H3" s="2630"/>
      <c r="I3" s="2630"/>
      <c r="J3" s="2630"/>
      <c r="K3" s="2630"/>
      <c r="L3" s="1361"/>
    </row>
    <row r="4" spans="1:12" ht="12.75" customHeight="1" x14ac:dyDescent="0.2">
      <c r="B4" s="2630" t="str">
        <f>'Single Audit Cover'!A4</f>
        <v>Year Ending June 30, 2019</v>
      </c>
      <c r="C4" s="2630"/>
      <c r="D4" s="2630"/>
      <c r="E4" s="2630"/>
      <c r="F4" s="2630"/>
      <c r="G4" s="2630"/>
      <c r="H4" s="2630"/>
      <c r="I4" s="2630"/>
      <c r="J4" s="2630"/>
      <c r="K4" s="2630"/>
      <c r="L4" s="1361"/>
    </row>
    <row r="5" spans="1:12" ht="5.25" customHeight="1" x14ac:dyDescent="0.2">
      <c r="B5" s="1244" t="s">
        <v>1169</v>
      </c>
      <c r="C5" s="1244"/>
      <c r="L5" s="322"/>
    </row>
    <row r="6" spans="1:12" ht="30.75" customHeight="1" x14ac:dyDescent="0.2">
      <c r="A6" s="322"/>
      <c r="B6" s="2639" t="s">
        <v>1308</v>
      </c>
      <c r="C6" s="2639"/>
      <c r="D6" s="2639"/>
      <c r="E6" s="2639"/>
      <c r="F6" s="2639"/>
      <c r="G6" s="2639"/>
      <c r="H6" s="2639"/>
      <c r="I6" s="2639"/>
      <c r="J6" s="2639"/>
      <c r="K6" s="2639"/>
      <c r="L6" s="322"/>
    </row>
    <row r="7" spans="1:12" ht="4.5" customHeight="1" x14ac:dyDescent="0.2">
      <c r="B7" s="1363"/>
      <c r="C7" s="1363"/>
      <c r="D7" s="1363"/>
      <c r="E7" s="1363"/>
      <c r="F7" s="1363"/>
      <c r="G7" s="1364"/>
      <c r="H7" s="1363"/>
      <c r="I7" s="1364"/>
      <c r="J7" s="1363"/>
      <c r="K7" s="1363"/>
      <c r="L7" s="322"/>
    </row>
    <row r="8" spans="1:12" ht="13.5" customHeight="1" x14ac:dyDescent="0.2">
      <c r="B8" s="1371" t="s">
        <v>1753</v>
      </c>
      <c r="C8" s="1438" t="s">
        <v>1988</v>
      </c>
      <c r="D8" s="1439" t="s">
        <v>2110</v>
      </c>
      <c r="E8" s="322"/>
      <c r="F8" s="1368" t="s">
        <v>1295</v>
      </c>
      <c r="G8" s="1440"/>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621"/>
      <c r="G12" s="2621"/>
      <c r="H12" s="2621"/>
      <c r="I12" s="2621"/>
      <c r="J12" s="2621"/>
      <c r="K12" s="2621"/>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1304</v>
      </c>
      <c r="C14" s="1371"/>
      <c r="D14" s="2634"/>
      <c r="E14" s="2634"/>
      <c r="F14" s="2634"/>
      <c r="H14" s="1446" t="s">
        <v>1303</v>
      </c>
      <c r="I14" s="2635"/>
      <c r="J14" s="2635"/>
      <c r="K14" s="2635"/>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1302</v>
      </c>
      <c r="C16" s="1371"/>
      <c r="D16" s="2635"/>
      <c r="E16" s="2635"/>
      <c r="F16" s="2635"/>
      <c r="G16" s="2635"/>
      <c r="H16" s="2635"/>
      <c r="I16" s="2635"/>
      <c r="J16" s="2635"/>
      <c r="K16" s="2635"/>
      <c r="L16" s="322"/>
    </row>
    <row r="17" spans="2:12" ht="13.5" customHeight="1" x14ac:dyDescent="0.2">
      <c r="B17" s="1371" t="s">
        <v>1301</v>
      </c>
      <c r="C17" s="1371"/>
      <c r="D17" s="2636"/>
      <c r="E17" s="2636"/>
      <c r="F17" s="2636"/>
      <c r="G17" s="2636"/>
      <c r="H17" s="2636"/>
      <c r="I17" s="2636"/>
      <c r="J17" s="2636"/>
      <c r="K17" s="2636"/>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629"/>
      <c r="C20" s="2629"/>
      <c r="D20" s="2629"/>
      <c r="E20" s="2629"/>
      <c r="F20" s="2629"/>
      <c r="G20" s="2629"/>
      <c r="H20" s="2629"/>
      <c r="I20" s="2629"/>
      <c r="J20" s="2629"/>
      <c r="K20" s="2629"/>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1754</v>
      </c>
      <c r="C22" s="1448"/>
      <c r="D22" s="322"/>
      <c r="E22" s="322"/>
      <c r="F22" s="322"/>
      <c r="G22" s="1367"/>
      <c r="H22" s="322"/>
      <c r="I22" s="1367"/>
      <c r="J22" s="322"/>
      <c r="K22" s="322"/>
      <c r="L22" s="322"/>
    </row>
    <row r="23" spans="2:12" ht="37.5" customHeight="1" x14ac:dyDescent="0.2">
      <c r="B23" s="2629"/>
      <c r="C23" s="2629"/>
      <c r="D23" s="2629"/>
      <c r="E23" s="2629"/>
      <c r="F23" s="2629"/>
      <c r="G23" s="2629"/>
      <c r="H23" s="2629"/>
      <c r="I23" s="2629"/>
      <c r="J23" s="2629"/>
      <c r="K23" s="2629"/>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1755</v>
      </c>
      <c r="C25" s="1448"/>
      <c r="D25" s="322"/>
      <c r="E25" s="322"/>
      <c r="F25" s="322"/>
      <c r="G25" s="1367"/>
      <c r="H25" s="322"/>
      <c r="I25" s="1367"/>
      <c r="J25" s="322"/>
      <c r="K25" s="322"/>
      <c r="L25" s="322"/>
    </row>
    <row r="26" spans="2:12" ht="37.5" customHeight="1" x14ac:dyDescent="0.2">
      <c r="B26" s="2629"/>
      <c r="C26" s="2629"/>
      <c r="D26" s="2629"/>
      <c r="E26" s="2629"/>
      <c r="F26" s="2629"/>
      <c r="G26" s="2629"/>
      <c r="H26" s="2629"/>
      <c r="I26" s="2629"/>
      <c r="J26" s="2629"/>
      <c r="K26" s="2629"/>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1756</v>
      </c>
      <c r="C28" s="1448"/>
      <c r="D28" s="322"/>
      <c r="E28" s="322"/>
      <c r="F28" s="322"/>
      <c r="G28" s="1367"/>
      <c r="H28" s="322"/>
      <c r="I28" s="1367"/>
      <c r="J28" s="322"/>
      <c r="K28" s="322"/>
      <c r="L28" s="322"/>
    </row>
    <row r="29" spans="2:12" ht="37.5" customHeight="1" x14ac:dyDescent="0.2">
      <c r="B29" s="2629"/>
      <c r="C29" s="2629"/>
      <c r="D29" s="2629"/>
      <c r="E29" s="2629"/>
      <c r="F29" s="2629"/>
      <c r="G29" s="2629"/>
      <c r="H29" s="2629"/>
      <c r="I29" s="2629"/>
      <c r="J29" s="2629"/>
      <c r="K29" s="2629"/>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629"/>
      <c r="C32" s="2629"/>
      <c r="D32" s="2629"/>
      <c r="E32" s="2629"/>
      <c r="F32" s="2629"/>
      <c r="G32" s="2629"/>
      <c r="H32" s="2629"/>
      <c r="I32" s="2629"/>
      <c r="J32" s="2629"/>
      <c r="K32" s="2629"/>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629"/>
      <c r="C35" s="2629"/>
      <c r="D35" s="2629"/>
      <c r="E35" s="2629"/>
      <c r="F35" s="2629"/>
      <c r="G35" s="2629"/>
      <c r="H35" s="2629"/>
      <c r="I35" s="2629"/>
      <c r="J35" s="2629"/>
      <c r="K35" s="2629"/>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629"/>
      <c r="C38" s="2629"/>
      <c r="D38" s="2629"/>
      <c r="E38" s="2629"/>
      <c r="F38" s="2629"/>
      <c r="G38" s="2629"/>
      <c r="H38" s="2629"/>
      <c r="I38" s="2629"/>
      <c r="J38" s="2629"/>
      <c r="K38" s="2629"/>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1757</v>
      </c>
      <c r="C40" s="1387"/>
      <c r="D40" s="1362"/>
      <c r="E40" s="1363"/>
      <c r="F40" s="1363"/>
      <c r="G40" s="1364"/>
      <c r="H40" s="1363"/>
      <c r="I40" s="1364"/>
      <c r="J40" s="1363"/>
      <c r="K40" s="1363"/>
    </row>
    <row r="41" spans="2:12" s="322" customFormat="1" ht="33.75" customHeight="1" x14ac:dyDescent="0.2">
      <c r="B41" s="2629"/>
      <c r="C41" s="2629"/>
      <c r="D41" s="2629"/>
      <c r="E41" s="2629"/>
      <c r="F41" s="2629"/>
      <c r="G41" s="2629"/>
      <c r="H41" s="2629"/>
      <c r="I41" s="2629"/>
      <c r="J41" s="2629"/>
      <c r="K41" s="2629"/>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1758</v>
      </c>
      <c r="C44" s="1390"/>
      <c r="D44" s="322"/>
      <c r="E44" s="322"/>
      <c r="F44" s="322"/>
    </row>
    <row r="45" spans="2:12" ht="10.5" customHeight="1" x14ac:dyDescent="0.2">
      <c r="B45" s="1391" t="s">
        <v>1759</v>
      </c>
      <c r="C45" s="1391"/>
      <c r="G45" s="317"/>
      <c r="I45" s="317"/>
    </row>
    <row r="46" spans="2:12" ht="11.1" customHeight="1" x14ac:dyDescent="0.2">
      <c r="B46" s="1391" t="s">
        <v>1760</v>
      </c>
      <c r="C46" s="1391"/>
      <c r="G46" s="317"/>
      <c r="I46" s="317"/>
    </row>
    <row r="47" spans="2:12" ht="11.1" customHeight="1" x14ac:dyDescent="0.2">
      <c r="B47" s="1391" t="s">
        <v>1761</v>
      </c>
      <c r="C47" s="1391"/>
      <c r="G47" s="317"/>
      <c r="I47" s="317"/>
    </row>
    <row r="48" spans="2:12" ht="11.1" customHeight="1" x14ac:dyDescent="0.2">
      <c r="B48" s="1391" t="s">
        <v>1762</v>
      </c>
      <c r="C48" s="139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I13" sqref="I13:L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614" t="str">
        <f>'Single Audit Cover'!A7</f>
        <v>Fenton CHSD 100</v>
      </c>
      <c r="C1" s="2614"/>
      <c r="D1" s="2614"/>
      <c r="E1" s="1456"/>
    </row>
    <row r="2" spans="2:5" s="1266" customFormat="1" ht="12.75" customHeight="1" x14ac:dyDescent="0.2">
      <c r="B2" s="2616">
        <f>'Single Audit Cover'!E7</f>
        <v>19022100016</v>
      </c>
      <c r="C2" s="2616"/>
      <c r="D2" s="2616"/>
      <c r="E2" s="1457"/>
    </row>
    <row r="3" spans="2:5" ht="12.75" customHeight="1" x14ac:dyDescent="0.2">
      <c r="B3" s="2630" t="s">
        <v>1763</v>
      </c>
      <c r="C3" s="2630"/>
      <c r="D3" s="2630"/>
      <c r="E3" s="1258"/>
    </row>
    <row r="4" spans="2:5" s="1266" customFormat="1" ht="12.75" customHeight="1" x14ac:dyDescent="0.2">
      <c r="B4" s="2640" t="str">
        <f>'Single Audit Cover'!A4</f>
        <v>Year Ending June 30, 2019</v>
      </c>
      <c r="C4" s="2640"/>
      <c r="D4" s="2640"/>
      <c r="E4" s="1458"/>
    </row>
    <row r="5" spans="2:5" s="1266" customFormat="1" ht="40.15" customHeight="1" x14ac:dyDescent="0.2">
      <c r="B5" s="1459" t="s">
        <v>1764</v>
      </c>
      <c r="C5" s="328"/>
      <c r="D5" s="328"/>
      <c r="E5" s="328"/>
    </row>
    <row r="6" spans="2:5" s="1266" customFormat="1" ht="13.5" customHeight="1" x14ac:dyDescent="0.2">
      <c r="B6" s="1460" t="s">
        <v>1315</v>
      </c>
      <c r="C6" s="1460" t="s">
        <v>1314</v>
      </c>
      <c r="D6" s="1460" t="s">
        <v>1765</v>
      </c>
    </row>
    <row r="7" spans="2:5" ht="13.5" customHeight="1" x14ac:dyDescent="0.2">
      <c r="B7" s="1461" t="s">
        <v>2105</v>
      </c>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1313</v>
      </c>
      <c r="C44" s="322"/>
    </row>
    <row r="45" spans="2:5" ht="12.2" customHeight="1" x14ac:dyDescent="0.2">
      <c r="B45" s="1470" t="s">
        <v>1766</v>
      </c>
    </row>
    <row r="46" spans="2:5" ht="12.2" customHeight="1" x14ac:dyDescent="0.2">
      <c r="B46" s="1470" t="s">
        <v>1767</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4d435f69-8686-490b-bd6d-b153bf22ab50"/>
    <ds:schemaRef ds:uri="6ce3111e-7420-4802-b50a-75d4e9a0b980"/>
    <ds:schemaRef ds:uri="d21dc803-237d-4c68-8692-8d731fd29118"/>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2019</vt:lpstr>
      <vt:lpstr> SEFA</vt:lpstr>
      <vt:lpstr>SEFA NOTES</vt:lpstr>
      <vt:lpstr>SF&amp;QC Sec-1</vt:lpstr>
      <vt:lpstr>SF&amp;QC Sec-2</vt:lpstr>
      <vt:lpstr>SF&amp;QC Sec-3</vt:lpstr>
      <vt:lpstr>SSPAF</vt:lpstr>
      <vt:lpstr>' SEFA'!Print_Area</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2019-11-02T16:19:00Z</cp:lastPrinted>
  <dcterms:created xsi:type="dcterms:W3CDTF">2003-10-29T19:06:34Z</dcterms:created>
  <dcterms:modified xsi:type="dcterms:W3CDTF">2019-12-04T20:18:19Z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Fenton High School District No. 100</vt:lpwstr>
  </property>
  <property fmtid="{D5CDD505-2E9C-101B-9397-08002B2CF9AE}" pid="6" name="PPC_Template_Engagement_Date">
    <vt:lpwstr>6/30/2019</vt:lpwstr>
  </property>
</Properties>
</file>