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F954C329-0BCC-496B-9A07-242EAF3BE6F7}" xr6:coauthVersionLast="36" xr6:coauthVersionMax="36" xr10:uidLastSave="{00000000-0000-0000-0000-000000000000}"/>
  <bookViews>
    <workbookView xWindow="28680" yWindow="-120" windowWidth="29040" windowHeight="15840" tabRatio="96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C107" i="5"/>
  <c r="K51" i="183" l="1"/>
  <c r="J51" i="183"/>
  <c r="I51" i="183"/>
  <c r="H51" i="183"/>
  <c r="G51" i="183"/>
  <c r="F51" i="183"/>
  <c r="E51" i="183"/>
  <c r="L49" i="183"/>
  <c r="K45" i="183"/>
  <c r="K52" i="183" s="1"/>
  <c r="J45" i="183"/>
  <c r="I45" i="183"/>
  <c r="H45" i="183"/>
  <c r="G45" i="183"/>
  <c r="F45" i="183"/>
  <c r="E45" i="183"/>
  <c r="L43" i="183"/>
  <c r="L42" i="183"/>
  <c r="L41" i="183"/>
  <c r="L40" i="183"/>
  <c r="L39" i="183"/>
  <c r="L38" i="183"/>
  <c r="K32" i="183"/>
  <c r="K33" i="183" s="1"/>
  <c r="J32" i="183"/>
  <c r="J33" i="183" s="1"/>
  <c r="I32" i="183"/>
  <c r="I33" i="183" s="1"/>
  <c r="H32" i="183"/>
  <c r="H33" i="183" s="1"/>
  <c r="G32" i="183"/>
  <c r="G33" i="183" s="1"/>
  <c r="F32" i="183"/>
  <c r="F33" i="183" s="1"/>
  <c r="E32" i="183"/>
  <c r="E33" i="183" s="1"/>
  <c r="L30" i="183"/>
  <c r="L29" i="183"/>
  <c r="L28" i="183"/>
  <c r="L27" i="183"/>
  <c r="L26" i="183"/>
  <c r="K20" i="183"/>
  <c r="K21" i="183" s="1"/>
  <c r="J20" i="183"/>
  <c r="J21" i="183" s="1"/>
  <c r="I20" i="183"/>
  <c r="I21" i="183" s="1"/>
  <c r="H20" i="183"/>
  <c r="H21" i="183" s="1"/>
  <c r="G20" i="183"/>
  <c r="F20" i="183"/>
  <c r="F21" i="183" s="1"/>
  <c r="E20" i="183"/>
  <c r="E21" i="183" s="1"/>
  <c r="L18" i="183"/>
  <c r="L17" i="183"/>
  <c r="L16" i="183"/>
  <c r="L15" i="183"/>
  <c r="L14" i="183"/>
  <c r="H52" i="183" l="1"/>
  <c r="F52" i="183"/>
  <c r="G52" i="183"/>
  <c r="J52" i="183"/>
  <c r="J54" i="183" s="1"/>
  <c r="L20" i="183"/>
  <c r="L33" i="183"/>
  <c r="H54" i="183"/>
  <c r="E52" i="183"/>
  <c r="E54" i="183" s="1"/>
  <c r="I52" i="183"/>
  <c r="I54" i="183" s="1"/>
  <c r="D45" i="174" s="1"/>
  <c r="L32" i="183"/>
  <c r="L51" i="183"/>
  <c r="F54" i="183"/>
  <c r="D35" i="171" s="1"/>
  <c r="K54" i="183"/>
  <c r="G21" i="183"/>
  <c r="L21" i="183" s="1"/>
  <c r="L45" i="183"/>
  <c r="G54" i="183" l="1"/>
  <c r="L54" i="183" s="1"/>
  <c r="L52" i="183"/>
  <c r="E10" i="108"/>
  <c r="C4" i="3" l="1"/>
  <c r="L71" i="29"/>
  <c r="L50" i="29"/>
  <c r="L124" i="29" l="1"/>
  <c r="G79" i="4" l="1"/>
  <c r="L219" i="29"/>
  <c r="L218" i="29"/>
  <c r="L280" i="29"/>
  <c r="D280" i="29"/>
  <c r="L276" i="29"/>
  <c r="L275" i="29"/>
  <c r="L274" i="29"/>
  <c r="D276" i="29"/>
  <c r="D275" i="29"/>
  <c r="D274" i="29"/>
  <c r="L268" i="29"/>
  <c r="L266" i="29"/>
  <c r="L264" i="29"/>
  <c r="D268" i="29"/>
  <c r="D266" i="29"/>
  <c r="D264" i="29"/>
  <c r="L259" i="29"/>
  <c r="D259" i="29"/>
  <c r="L247" i="29"/>
  <c r="L246" i="29"/>
  <c r="L245" i="29"/>
  <c r="D247" i="29"/>
  <c r="D246" i="29"/>
  <c r="D245" i="29"/>
  <c r="L241" i="29"/>
  <c r="L240" i="29"/>
  <c r="D241" i="29"/>
  <c r="D240" i="29"/>
  <c r="L234" i="29"/>
  <c r="D237" i="29"/>
  <c r="D234" i="29"/>
  <c r="L227" i="29"/>
  <c r="L223" i="29"/>
  <c r="L217" i="29"/>
  <c r="L216" i="29"/>
  <c r="L215" i="29"/>
  <c r="D225" i="29"/>
  <c r="D223" i="29"/>
  <c r="D219" i="29"/>
  <c r="D218" i="29"/>
  <c r="D217" i="29"/>
  <c r="D216" i="29"/>
  <c r="D215" i="29"/>
  <c r="G65" i="5"/>
  <c r="G5" i="5"/>
  <c r="G38" i="3"/>
  <c r="G32" i="3"/>
  <c r="G31" i="3"/>
  <c r="G6" i="3"/>
  <c r="G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9" i="118"/>
  <c r="H33" i="118"/>
  <c r="J22" i="37"/>
  <c r="F27" i="108" l="1"/>
  <c r="B1124" i="106"/>
  <c r="D1124" i="106" s="1"/>
  <c r="F36" i="34"/>
  <c r="D68" i="36"/>
  <c r="H112" i="29"/>
  <c r="B7018" i="106" s="1"/>
  <c r="D7018" i="106" s="1"/>
  <c r="F70" i="34"/>
  <c r="F64" i="34"/>
  <c r="E33" i="108"/>
  <c r="E38" i="108"/>
  <c r="B7727" i="106"/>
  <c r="D7727" i="106" s="1"/>
  <c r="E26" i="108"/>
  <c r="B1274" i="106"/>
  <c r="D1274" i="106" s="1"/>
  <c r="D69" i="36"/>
  <c r="D22" i="37"/>
  <c r="G26" i="108"/>
  <c r="F42" i="34"/>
  <c r="E34" i="108"/>
  <c r="F38" i="34"/>
  <c r="F36" i="108"/>
  <c r="D36" i="108"/>
  <c r="B7074" i="106"/>
  <c r="D7074" i="106" s="1"/>
  <c r="B2836" i="106"/>
  <c r="D2836" i="106" s="1"/>
  <c r="G35" i="108"/>
  <c r="E35" i="108"/>
  <c r="J129" i="29"/>
  <c r="B7038" i="106" s="1"/>
  <c r="D7038" i="106" s="1"/>
  <c r="H76" i="4"/>
  <c r="B3298" i="106" s="1"/>
  <c r="D3298" i="106" s="1"/>
  <c r="I129" i="29"/>
  <c r="B7037" i="106" s="1"/>
  <c r="D7037" i="106" s="1"/>
  <c r="D9" i="7"/>
  <c r="B1767" i="106" s="1"/>
  <c r="D1767" i="106" s="1"/>
  <c r="F34" i="34"/>
  <c r="B6289" i="106"/>
  <c r="D6289" i="106" s="1"/>
  <c r="J41" i="3"/>
  <c r="B6216" i="106" s="1"/>
  <c r="D6216" i="106" s="1"/>
  <c r="B3647" i="106"/>
  <c r="D3647" i="106" s="1"/>
  <c r="K76" i="4"/>
  <c r="B3586" i="106" s="1"/>
  <c r="D3586" i="106" s="1"/>
  <c r="G15" i="145"/>
  <c r="L5" i="11"/>
  <c r="H28" i="118"/>
  <c r="K28" i="118" s="1"/>
  <c r="O27" i="118" s="1"/>
  <c r="O29" i="118" s="1"/>
  <c r="H342" i="29"/>
  <c r="B7221" i="106" s="1"/>
  <c r="D7221" i="106" s="1"/>
  <c r="C129" i="29"/>
  <c r="B1225" i="106" s="1"/>
  <c r="D1225" i="106" s="1"/>
  <c r="K184" i="29"/>
  <c r="F13" i="4" s="1"/>
  <c r="B2596" i="106" s="1"/>
  <c r="D2596" i="106" s="1"/>
  <c r="F77" i="4"/>
  <c r="B3255" i="106" s="1"/>
  <c r="D3255" i="106" s="1"/>
  <c r="I210" i="29"/>
  <c r="B7071" i="106" s="1"/>
  <c r="D7071" i="106" s="1"/>
  <c r="D24" i="37"/>
  <c r="B4270" i="106" s="1"/>
  <c r="D4270" i="106" s="1"/>
  <c r="L367" i="29"/>
  <c r="F71" i="34"/>
  <c r="F50" i="34"/>
  <c r="J352" i="29"/>
  <c r="J367" i="29" s="1"/>
  <c r="B7245" i="106" s="1"/>
  <c r="D7245" i="106" s="1"/>
  <c r="B7076" i="106"/>
  <c r="D7076" i="106" s="1"/>
  <c r="J210" i="29"/>
  <c r="B7072" i="106" s="1"/>
  <c r="D7072" i="106" s="1"/>
  <c r="G39" i="108"/>
  <c r="L342" i="29"/>
  <c r="F46" i="34"/>
  <c r="G38" i="108"/>
  <c r="F28" i="108"/>
  <c r="C342" i="29"/>
  <c r="B7216" i="106" s="1"/>
  <c r="D7216" i="106" s="1"/>
  <c r="F44" i="34"/>
  <c r="B6995" i="106"/>
  <c r="D6995" i="106" s="1"/>
  <c r="L13" i="11"/>
  <c r="B2060" i="106" s="1"/>
  <c r="D2060" i="106" s="1"/>
  <c r="H365" i="29"/>
  <c r="B7242" i="106" s="1"/>
  <c r="D7242" i="106" s="1"/>
  <c r="G210" i="29"/>
  <c r="B1365" i="106" s="1"/>
  <c r="D1365"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N21" i="3" s="1"/>
  <c r="B282" i="106" s="1"/>
  <c r="D282" i="106" s="1"/>
  <c r="J19" i="145"/>
  <c r="D82" i="36" s="1"/>
  <c r="L151" i="29"/>
  <c r="C266" i="5"/>
  <c r="J24" i="12"/>
  <c r="B7730" i="106"/>
  <c r="D7730" i="106" s="1"/>
  <c r="B7270" i="106"/>
  <c r="B3459" i="106" l="1"/>
  <c r="D3459" i="106" s="1"/>
  <c r="M20" i="3"/>
  <c r="B2864" i="106" s="1"/>
  <c r="D2864" i="106" s="1"/>
  <c r="B2059" i="106"/>
  <c r="D2059" i="106" s="1"/>
  <c r="M19" i="3"/>
  <c r="B276" i="106" s="1"/>
  <c r="D276" i="106" s="1"/>
  <c r="B2056" i="106"/>
  <c r="D2056" i="106" s="1"/>
  <c r="M16" i="3"/>
  <c r="B2057" i="106"/>
  <c r="D2057" i="106" s="1"/>
  <c r="M17" i="3"/>
  <c r="B274" i="106" s="1"/>
  <c r="D274" i="106" s="1"/>
  <c r="J151" i="29"/>
  <c r="B7052" i="106" s="1"/>
  <c r="D7052" i="106" s="1"/>
  <c r="H77" i="4"/>
  <c r="B3299" i="106" s="1"/>
  <c r="D3299" i="106" s="1"/>
  <c r="I151" i="29"/>
  <c r="F59" i="34" s="1"/>
  <c r="B1381" i="106"/>
  <c r="D1381" i="106" s="1"/>
  <c r="F65" i="34"/>
  <c r="B4435" i="106"/>
  <c r="D4435" i="106" s="1"/>
  <c r="D51" i="36"/>
  <c r="G6" i="4"/>
  <c r="B2604" i="106" s="1"/>
  <c r="D2604" i="106" s="1"/>
  <c r="K77" i="4"/>
  <c r="B3587" i="106" s="1"/>
  <c r="D3587" i="106" s="1"/>
  <c r="B5527" i="106"/>
  <c r="D5527" i="106" s="1"/>
  <c r="J16" i="4"/>
  <c r="B6226" i="106" s="1"/>
  <c r="D6226" i="106" s="1"/>
  <c r="B7235" i="106"/>
  <c r="D7235" i="106" s="1"/>
  <c r="H151" i="29"/>
  <c r="B1273" i="106" s="1"/>
  <c r="D1273" i="106" s="1"/>
  <c r="K365" i="29"/>
  <c r="K16" i="4" s="1"/>
  <c r="D44" i="36"/>
  <c r="D7256" i="106"/>
  <c r="D7251" i="106"/>
  <c r="C151" i="29"/>
  <c r="B1226" i="106" s="1"/>
  <c r="D1226" i="106" s="1"/>
  <c r="B5770" i="106"/>
  <c r="D5770" i="106" s="1"/>
  <c r="F41" i="108"/>
  <c r="G43" i="108" s="1"/>
  <c r="L114" i="29"/>
  <c r="C114" i="29"/>
  <c r="B757" i="106" s="1"/>
  <c r="D757" i="106" s="1"/>
  <c r="K342" i="29"/>
  <c r="F13" i="34" s="1"/>
  <c r="D41" i="108"/>
  <c r="E43" i="108" s="1"/>
  <c r="L16" i="1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M23" i="3"/>
  <c r="B273" i="106"/>
  <c r="D273" i="106" s="1"/>
  <c r="B2061" i="106"/>
  <c r="D2061" i="106" s="1"/>
  <c r="M40" i="3"/>
  <c r="B7243" i="106"/>
  <c r="D7243" i="106" s="1"/>
  <c r="B7051" i="106"/>
  <c r="D7051" i="106" s="1"/>
  <c r="B1145" i="106"/>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D54" i="36"/>
  <c r="F8" i="4"/>
  <c r="F10" i="4" s="1"/>
  <c r="B4125" i="106" s="1"/>
  <c r="D4125" i="106" s="1"/>
  <c r="J10" i="4"/>
  <c r="B6225" i="106" s="1"/>
  <c r="D6225" i="106" s="1"/>
  <c r="J20" i="4"/>
  <c r="J78" i="4" s="1"/>
  <c r="K17" i="4"/>
  <c r="K19" i="4" s="1"/>
  <c r="B4144" i="106" s="1"/>
  <c r="D4144"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6230" i="106"/>
  <c r="D6230" i="106" s="1"/>
  <c r="K20" i="4"/>
  <c r="K78" i="4" s="1"/>
  <c r="B3575" i="106"/>
  <c r="D357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7" i="34"/>
  <c r="F179" i="34" s="1"/>
  <c r="B3278" i="106"/>
  <c r="D3278" i="106" s="1"/>
  <c r="E81" i="4"/>
  <c r="J31" i="8" s="1"/>
  <c r="J49" i="8" s="1"/>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4172" i="106" l="1"/>
  <c r="D4172" i="106" s="1"/>
  <c r="N22"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3" i="106" l="1"/>
  <c r="D283" i="106" s="1"/>
  <c r="N23" i="3"/>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<sst xmlns="http://schemas.openxmlformats.org/spreadsheetml/2006/main" count="5296" uniqueCount="2190">
  <si>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</si>
  <si>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</si>
  <si>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</si>
  <si>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</si>
  <si>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</si>
  <si>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</si>
  <si>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</si>
  <si>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</si>
  <si>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</si>
  <si>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</si>
  <si>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</si>
  <si>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</si>
  <si>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</si>
  <si>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</si>
  <si>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</si>
  <si>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</si>
  <si>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</si>
  <si>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</si>
  <si>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</si>
  <si>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</si>
  <si>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</si>
  <si>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</si>
  <si>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</si>
  <si>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</si>
  <si>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</si>
  <si>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</si>
  <si>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</si>
  <si>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</si>
  <si>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</si>
  <si>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</si>
  <si>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</si>
  <si>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</si>
  <si>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</si>
  <si>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</si>
  <si>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</si>
  <si>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</si>
  <si>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</si>
  <si>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</si>
  <si>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</si>
  <si>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</si>
  <si>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</si>
  <si>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</si>
  <si>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</si>
  <si>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</si>
  <si>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</si>
  <si>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</si>
  <si>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</si>
  <si>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</si>
  <si>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</si>
  <si>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</si>
  <si>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</si>
  <si>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</si>
  <si>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</si>
  <si>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</si>
  <si>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</si>
  <si>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</si>
  <si>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</si>
  <si>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</si>
  <si>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</si>
  <si>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</si>
  <si>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</si>
  <si>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</si>
  <si>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</si>
  <si>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</si>
  <si>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</si>
  <si>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</si>
  <si>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</si>
  <si>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</si>
  <si>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</si>
  <si>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</si>
  <si>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</si>
  <si>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</si>
  <si>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</si>
  <si>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</si>
  <si>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</si>
  <si>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</si>
  <si>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</si>
  <si>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</si>
  <si>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</si>
  <si>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</si>
  <si>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</si>
  <si>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</si>
  <si>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</si>
  <si>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</si>
  <si>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</si>
  <si>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</si>
  <si>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</si>
  <si>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</si>
  <si>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</si>
  <si>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</si>
  <si>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</si>
  <si>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</si>
  <si>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</si>
  <si>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</si>
  <si>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</si>
  <si>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</si>
  <si>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</si>
  <si>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</si>
  <si>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</si>
  <si>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</si>
  <si>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</si>
  <si>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</si>
  <si>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</si>
  <si>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</si>
  <si>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</si>
  <si>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</si>
  <si>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</si>
  <si>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</si>
  <si>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</si>
  <si>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</si>
  <si>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</si>
  <si>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</si>
  <si>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</si>
  <si>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</si>
  <si>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</si>
  <si>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</si>
  <si>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</si>
  <si>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</si>
  <si>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</si>
  <si>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</si>
  <si>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</si>
  <si>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</si>
  <si>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</si>
  <si>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</si>
  <si>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</si>
  <si>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</si>
  <si>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</si>
  <si>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</si>
  <si>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</si>
  <si>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</si>
  <si>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</si>
  <si>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</si>
  <si>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</si>
  <si>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</si>
  <si>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</si>
  <si>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</si>
  <si>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</si>
  <si>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</si>
  <si>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</si>
  <si>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</si>
  <si>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</si>
  <si>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</si>
  <si>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</si>
  <si>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</si>
  <si>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</si>
  <si>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</si>
  <si>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</si>
  <si>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</si>
  <si>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</si>
  <si>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</si>
  <si>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</si>
  <si>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</si>
  <si>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</si>
  <si>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</si>
  <si>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</si>
  <si>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</si>
  <si>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</si>
  <si>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</si>
  <si>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</si>
  <si>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</si>
  <si>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</si>
  <si>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</si>
  <si>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</si>
  <si>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</si>
  <si>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</si>
  <si>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</si>
  <si>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</si>
  <si>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</si>
  <si>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</si>
  <si>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</si>
  <si>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</si>
  <si>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</si>
  <si>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</si>
  <si>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</si>
  <si>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</si>
  <si>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</si>
  <si>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</si>
  <si>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</si>
  <si>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</si>
  <si>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</si>
  <si>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</si>
  <si>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</si>
  <si>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</si>
  <si>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</si>
  <si>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</si>
  <si>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</si>
  <si>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</si>
  <si>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</si>
  <si>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</si>
  <si>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</si>
  <si>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</si>
  <si>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</si>
  <si>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</si>
  <si>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</si>
  <si>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</si>
  <si>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</si>
  <si>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</si>
  <si>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</si>
  <si>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</si>
  <si>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</si>
  <si>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</si>
  <si>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</si>
  <si>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</si>
  <si>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</si>
  <si>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</si>
  <si>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</si>
  <si>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</si>
  <si>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</si>
  <si>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</si>
  <si>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</si>
  <si>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</si>
  <si>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</si>
  <si>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</si>
  <si>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</si>
  <si>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</si>
  <si>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</si>
  <si>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</si>
  <si>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</si>
  <si>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</si>
  <si>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</si>
  <si>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</si>
  <si>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</si>
  <si>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</si>
  <si>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</si>
  <si>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</si>
  <si>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</si>
  <si>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</si>
  <si>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</si>
  <si>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</si>
  <si>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</si>
  <si>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</si>
  <si>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</si>
  <si>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</si>
  <si>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</si>
  <si>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</si>
  <si>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</si>
  <si>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</si>
  <si>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</si>
  <si>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</si>
  <si>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</si>
  <si>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</si>
  <si>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</si>
  <si>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</si>
  <si>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</si>
  <si>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</si>
  <si>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</si>
  <si>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</si>
  <si>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</si>
  <si>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</si>
  <si>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</si>
  <si>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</si>
  <si>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</si>
  <si>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</si>
  <si>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</si>
  <si>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</si>
  <si>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</si>
  <si>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</si>
  <si>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</si>
  <si>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</si>
  <si>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</si>
  <si>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</si>
  <si>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</si>
  <si>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</si>
  <si>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</si>
  <si>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</si>
  <si>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</si>
  <si>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</si>
  <si>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</si>
  <si>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</si>
  <si>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</si>
  <si>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</si>
  <si>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</si>
  <si>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</si>
  <si>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</si>
  <si>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</si>
  <si>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</si>
  <si>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</si>
  <si>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</si>
  <si>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</si>
  <si>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</si>
  <si>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</si>
  <si>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</si>
  <si>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</si>
  <si>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</si>
  <si>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</si>
  <si>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</si>
  <si>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</si>
  <si>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</si>
  <si>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</si>
  <si>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</si>
  <si>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</si>
  <si>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</si>
  <si>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</si>
  <si>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</si>
  <si>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</si>
  <si>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</si>
  <si>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</si>
  <si>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</si>
  <si>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</si>
  <si>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</si>
  <si>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</si>
  <si>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</si>
  <si>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</si>
  <si>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</si>
  <si>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</si>
  <si>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</si>
  <si>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</si>
  <si>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</si>
  <si>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</si>
  <si>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</si>
  <si>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</si>
  <si>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</si>
  <si>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</si>
  <si>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</si>
  <si>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</si>
  <si>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</si>
  <si>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</si>
  <si>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</si>
  <si>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</si>
  <si>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</si>
  <si>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</si>
  <si>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</si>
  <si>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</si>
  <si>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</si>
  <si>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</si>
  <si>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</si>
  <si>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</si>
  <si>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</si>
  <si>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</si>
  <si>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</si>
  <si>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</si>
  <si>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</si>
  <si>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</si>
  <si>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</si>
  <si>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</si>
  <si>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</si>
  <si>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</si>
  <si>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</si>
  <si>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</si>
  <si>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</si>
  <si>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</si>
  <si>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</si>
  <si>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</si>
  <si>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</si>
  <si>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</si>
  <si>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</si>
  <si>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</si>
  <si>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</si>
  <si>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</si>
  <si>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</si>
  <si>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</si>
  <si>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</si>
  <si>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</si>
  <si>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</si>
  <si>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</si>
  <si>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</si>
  <si>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</si>
  <si>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</si>
  <si>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</si>
  <si>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</si>
  <si>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</si>
  <si>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</si>
  <si>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</si>
  <si>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</si>
  <si>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</si>
  <si>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</si>
  <si>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</si>
  <si>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</si>
  <si>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</si>
  <si>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</si>
  <si>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</si>
  <si>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</si>
  <si>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</si>
  <si>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</si>
  <si>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</si>
  <si>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</si>
  <si>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</si>
  <si>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</si>
  <si>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</si>
  <si>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</si>
  <si>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</si>
  <si>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</si>
  <si>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</si>
  <si>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</si>
  <si>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</si>
  <si>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</si>
  <si>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</si>
  <si>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</si>
  <si>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</si>
  <si>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</si>
  <si>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</si>
  <si>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</si>
  <si>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</si>
  <si>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</si>
  <si>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</si>
  <si>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</si>
  <si>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</si>
  <si>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</si>
  <si>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</si>
  <si>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</si>
  <si>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</si>
  <si>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</si>
  <si>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</si>
  <si>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</si>
  <si>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</si>
  <si>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</si>
  <si>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</si>
  <si>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</si>
  <si>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</si>
  <si>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</si>
  <si>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</si>
  <si>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</si>
  <si>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</si>
  <si>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</si>
  <si>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</si>
  <si>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</si>
  <si>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</si>
  <si>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</si>
  <si>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</si>
  <si>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</si>
  <si>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</si>
  <si>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</si>
  <si>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</si>
  <si>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</si>
  <si>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</si>
  <si>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</si>
  <si>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</si>
  <si>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</si>
  <si>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</si>
  <si>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</si>
  <si>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</si>
  <si>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</si>
  <si>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</si>
  <si>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</si>
  <si>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</si>
  <si>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</si>
  <si>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</si>
  <si>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</si>
  <si>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</si>
  <si>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</si>
  <si>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</si>
  <si>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</si>
  <si>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</si>
  <si>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</si>
  <si>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</si>
  <si>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</si>
  <si>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</si>
  <si>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</si>
  <si>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</si>
  <si>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</si>
  <si>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</si>
  <si>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</si>
  <si>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</si>
  <si>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</si>
  <si>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</si>
  <si>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</si>
  <si>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</si>
  <si>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</si>
  <si>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</si>
  <si>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</si>
  <si>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</si>
  <si>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</si>
  <si>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</si>
  <si>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</si>
  <si>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</si>
  <si>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</si>
  <si>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</si>
  <si>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</si>
  <si>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</si>
  <si>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</si>
  <si>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</si>
  <si>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</si>
  <si>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</si>
  <si>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</si>
  <si>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</si>
  <si>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</si>
  <si>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</si>
  <si>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</si>
  <si>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</si>
  <si>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</si>
  <si>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</si>
  <si>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</si>
  <si>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</si>
  <si>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</si>
  <si>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</si>
  <si>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</si>
  <si>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</si>
  <si>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</si>
  <si>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</si>
  <si>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</si>
  <si>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</si>
  <si>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</si>
  <si>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</si>
  <si>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</si>
  <si>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</si>
  <si>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</si>
  <si>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</si>
  <si>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</si>
  <si>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</si>
  <si>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</si>
  <si>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</si>
  <si>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</si>
  <si>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</si>
  <si>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</si>
  <si>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</si>
  <si>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</si>
  <si>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</si>
  <si>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</si>
  <si>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</si>
  <si>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</si>
  <si>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</si>
  <si>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</si>
  <si>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</si>
  <si>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</si>
  <si>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</si>
  <si>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</si>
  <si>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</si>
  <si>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</si>
  <si>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</si>
  <si>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</si>
  <si>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</si>
  <si>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</si>
  <si>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</si>
  <si>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</si>
  <si>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</si>
  <si>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</si>
  <si>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</si>
  <si>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</si>
  <si>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</si>
  <si>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</si>
  <si>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</si>
  <si>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</si>
  <si>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</si>
  <si>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</si>
  <si>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</si>
  <si>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</si>
  <si>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</si>
  <si>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</si>
  <si>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</si>
  <si>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</si>
  <si>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</si>
  <si>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</si>
  <si>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</si>
  <si>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</si>
  <si>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</si>
  <si>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</si>
  <si>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</si>
  <si>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</si>
  <si>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</si>
  <si>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</si>
  <si>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</si>
  <si>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</si>
  <si>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</si>
  <si>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</si>
  <si>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</si>
  <si>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</si>
  <si>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</si>
  <si>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</si>
  <si>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</si>
  <si>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</si>
  <si>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</si>
  <si>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</si>
  <si>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</si>
  <si>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</si>
  <si>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</si>
  <si>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</si>
  <si>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</si>
  <si>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</si>
  <si>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</si>
  <si>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</si>
  <si>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</si>
  <si>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</si>
  <si>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</si>
  <si>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</si>
  <si>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</si>
  <si>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</si>
  <si>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</si>
  <si>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</si>
  <si>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</si>
  <si>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</si>
  <si>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</si>
  <si>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</si>
  <si>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</si>
  <si>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</si>
  <si>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</si>
  <si>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</si>
  <si>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</si>
  <si>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</si>
  <si>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</si>
  <si>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</si>
  <si>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</si>
  <si>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</si>
  <si>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</si>
  <si>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</si>
  <si>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</si>
  <si>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</si>
  <si>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</si>
  <si>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</si>
  <si>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</si>
  <si>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</si>
  <si>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</si>
  <si>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</si>
  <si>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</si>
  <si>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</si>
  <si>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</si>
  <si>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</si>
  <si>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</si>
  <si>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</si>
  <si>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</si>
  <si>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</si>
  <si>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</si>
  <si>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</si>
  <si>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</si>
  <si>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</si>
  <si>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</si>
  <si>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</si>
  <si>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</si>
  <si>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</si>
  <si>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</si>
  <si>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</si>
  <si>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</si>
  <si>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</si>
  <si>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</si>
  <si>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</si>
  <si>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</si>
  <si>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</si>
  <si>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</si>
  <si>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</si>
  <si>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</si>
  <si>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</si>
  <si>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</si>
  <si>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</si>
  <si>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</si>
  <si>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</si>
  <si>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</si>
  <si>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</si>
  <si>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</si>
  <si>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</si>
  <si>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</si>
  <si>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</si>
  <si>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</si>
  <si>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</si>
  <si>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</si>
  <si>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</si>
  <si>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</si>
  <si>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</si>
  <si>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</si>
  <si>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</si>
  <si>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</si>
  <si>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</si>
  <si>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</si>
  <si>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</si>
  <si>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</si>
  <si>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</si>
  <si>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</si>
  <si>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</si>
  <si>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</si>
  <si>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</si>
  <si>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</si>
  <si>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</si>
  <si>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</si>
  <si>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</si>
  <si>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</si>
  <si>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</si>
  <si>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</si>
  <si>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</si>
  <si>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</si>
  <si>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</si>
  <si>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</si>
  <si>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</si>
  <si>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</si>
  <si>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</si>
  <si>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</si>
  <si>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</si>
  <si>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</si>
  <si>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</si>
  <si>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</si>
  <si>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</si>
  <si>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</si>
  <si>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</si>
  <si>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</si>
  <si>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</si>
  <si>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</si>
  <si>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</si>
  <si>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</si>
  <si>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</si>
  <si>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</si>
  <si>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</si>
  <si>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</si>
  <si>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</si>
  <si>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</si>
  <si>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</si>
  <si>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</si>
  <si>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</si>
  <si>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</si>
  <si>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</si>
  <si>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</si>
  <si>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</si>
  <si>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</si>
  <si>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</si>
  <si>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</si>
  <si>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</si>
  <si>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</si>
  <si>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</si>
  <si>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</si>
  <si>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</si>
  <si>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</si>
  <si>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</si>
  <si>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</si>
  <si>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</si>
  <si>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</si>
  <si>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</si>
  <si>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</si>
  <si>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</si>
  <si>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</si>
  <si>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</si>
  <si>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</si>
  <si>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</si>
  <si>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</si>
  <si>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</si>
  <si>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</si>
  <si>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</si>
  <si>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</si>
  <si>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</si>
  <si>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</si>
  <si>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</si>
  <si>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</si>
  <si>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</si>
  <si>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</si>
  <si>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</si>
  <si>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</si>
  <si>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</si>
  <si>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</si>
  <si>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</si>
  <si>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</si>
  <si>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</si>
  <si>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</si>
  <si>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</si>
  <si>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</si>
  <si>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</si>
  <si>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</si>
  <si>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</si>
  <si>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</si>
  <si>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</si>
  <si>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</si>
  <si>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</si>
  <si>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</si>
  <si>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</si>
  <si>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</si>
  <si>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</si>
  <si>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</si>
  <si>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</si>
  <si>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</si>
  <si>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</si>
  <si>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</si>
  <si>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</si>
  <si>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</si>
  <si>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</si>
  <si>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</si>
  <si>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</si>
  <si>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</si>
  <si>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</si>
  <si>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</si>
  <si>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</si>
  <si>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</si>
  <si>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</si>
  <si>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</si>
  <si>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</si>
  <si>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</si>
  <si>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</si>
  <si>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</si>
  <si>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</si>
  <si>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</si>
  <si>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</si>
  <si>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</si>
  <si>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</si>
  <si>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</si>
  <si>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</si>
  <si>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</si>
  <si>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</si>
  <si>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</si>
  <si>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</si>
  <si>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</si>
  <si>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</si>
  <si>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</si>
  <si>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</si>
  <si>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</si>
  <si>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</si>
  <si>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</si>
  <si>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</si>
  <si>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</si>
  <si>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</si>
  <si>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</si>
  <si>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</si>
  <si>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</si>
  <si>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</si>
  <si>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</si>
  <si>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</si>
  <si>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</si>
  <si>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</si>
  <si>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</si>
  <si>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</si>
  <si>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</si>
  <si>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</si>
  <si>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</si>
  <si>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</si>
  <si>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</si>
  <si>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</si>
  <si>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</si>
  <si>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</si>
  <si>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</si>
  <si>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</si>
  <si>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</si>
  <si>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</si>
  <si>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</si>
  <si>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</si>
  <si>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</si>
  <si>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</si>
  <si>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</si>
  <si>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</si>
  <si>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</si>
  <si>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</si>
  <si>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</si>
  <si>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</si>
  <si>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</si>
  <si>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</si>
  <si>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</si>
  <si>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</si>
  <si>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</si>
  <si>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</si>
  <si>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</si>
  <si>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</si>
  <si>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</si>
  <si>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</si>
  <si>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</si>
  <si>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</si>
  <si>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</si>
  <si>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</si>
  <si>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</si>
  <si>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</si>
  <si>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</si>
  <si>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</si>
  <si>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</si>
  <si>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</si>
  <si>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</si>
  <si>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</si>
  <si>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</si>
  <si>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</si>
  <si>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</si>
  <si>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</si>
  <si>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</si>
  <si>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</si>
  <si>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</si>
  <si>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</si>
  <si>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</si>
  <si>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</si>
  <si>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</si>
  <si>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</si>
  <si>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</si>
  <si>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</si>
  <si>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</si>
  <si>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</si>
  <si>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</si>
  <si>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</si>
  <si>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</si>
  <si>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</si>
  <si>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</si>
  <si>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</si>
  <si>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</si>
  <si>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</si>
  <si>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</si>
  <si>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</si>
  <si>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</si>
  <si>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</si>
  <si>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</si>
  <si>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</si>
  <si>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</si>
  <si>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</si>
  <si>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</si>
  <si>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</si>
  <si>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</si>
  <si>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</si>
  <si>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</si>
  <si>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</si>
  <si>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</si>
  <si>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</si>
  <si>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</si>
  <si>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</si>
  <si>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</si>
  <si>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</si>
  <si>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</si>
  <si>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</si>
  <si>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</si>
  <si>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</si>
  <si>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</si>
  <si>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</si>
  <si>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</si>
  <si>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</si>
  <si>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</si>
  <si>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</si>
  <si>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</si>
  <si>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</si>
  <si>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</si>
  <si>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</si>
  <si>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</si>
  <si>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</si>
  <si>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</si>
  <si>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</si>
  <si>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</si>
  <si>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</si>
  <si>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</si>
  <si>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</si>
  <si>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</si>
  <si>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</si>
  <si>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</si>
  <si>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</si>
  <si>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</si>
  <si>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</si>
  <si>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</si>
  <si>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</si>
  <si>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</si>
  <si>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</si>
  <si>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</si>
  <si>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</si>
  <si>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</si>
  <si>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</si>
  <si>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</si>
  <si>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</si>
  <si>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</si>
  <si>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</si>
  <si>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</si>
  <si>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</si>
  <si>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</si>
  <si>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</si>
  <si>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</si>
  <si>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</si>
  <si>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</si>
  <si>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</si>
  <si>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</si>
  <si>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</si>
  <si>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</si>
  <si>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</si>
  <si>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</si>
  <si>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</si>
  <si>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</si>
  <si>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</si>
  <si>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</si>
  <si>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</si>
  <si>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</si>
  <si>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</si>
  <si>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</si>
  <si>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</si>
  <si>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</si>
  <si>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</si>
  <si>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</si>
  <si>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</si>
  <si>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</si>
  <si>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</si>
  <si>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</si>
  <si>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</si>
  <si>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</si>
  <si>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</si>
  <si>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</si>
  <si>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</si>
  <si>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</si>
  <si>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</si>
  <si>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</si>
  <si>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</si>
  <si>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</si>
  <si>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</si>
  <si>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</si>
  <si>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</si>
  <si>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</si>
  <si>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</si>
  <si>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</si>
  <si>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</si>
  <si>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</si>
  <si>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</si>
  <si>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</si>
  <si>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</si>
  <si>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</si>
  <si>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</si>
  <si>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</si>
  <si>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</si>
  <si>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</si>
  <si>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</si>
  <si>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</si>
  <si>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</si>
  <si>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</si>
  <si>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</si>
  <si>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</si>
  <si>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</si>
  <si>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</si>
  <si>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</si>
  <si>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</si>
  <si>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</si>
  <si>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</si>
  <si>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</si>
  <si>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</si>
  <si>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</si>
  <si>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</si>
  <si>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</si>
  <si>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</si>
  <si>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</si>
  <si>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</si>
  <si>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</si>
  <si>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</si>
  <si>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</si>
  <si>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</si>
  <si>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</si>
  <si>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</si>
  <si>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</si>
  <si>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</si>
  <si>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</si>
  <si>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</si>
  <si>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</si>
  <si>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</si>
  <si>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</si>
  <si>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</si>
  <si>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</si>
  <si>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</si>
  <si>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</si>
  <si>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</si>
  <si>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</si>
  <si>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</si>
  <si>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</si>
  <si>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</si>
  <si>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</si>
  <si>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</si>
  <si>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</si>
  <si>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</si>
  <si>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</si>
  <si>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</si>
  <si>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</si>
  <si>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</si>
  <si>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</si>
  <si>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</si>
  <si>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</si>
  <si>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</si>
  <si>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</si>
  <si>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</si>
  <si>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</si>
  <si>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</si>
  <si>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</si>
  <si>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</si>
  <si>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</si>
  <si>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</si>
  <si>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</si>
  <si>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</si>
  <si>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</si>
  <si>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</si>
  <si>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</si>
  <si>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</si>
  <si>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</si>
  <si>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</si>
  <si>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</si>
  <si>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</si>
  <si>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</si>
  <si>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</si>
  <si>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</si>
  <si>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</si>
  <si>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</si>
  <si>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</si>
  <si>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</si>
  <si>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</si>
  <si>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</si>
  <si>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</si>
  <si>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</si>
  <si>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</si>
  <si>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</si>
  <si>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</si>
  <si>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</si>
  <si>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</si>
  <si>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</si>
  <si>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</si>
  <si>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</si>
  <si>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</si>
  <si>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</si>
  <si>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</si>
  <si>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</si>
  <si>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</si>
  <si>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</si>
  <si>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</si>
  <si>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</si>
  <si>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</si>
  <si>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</si>
  <si>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</si>
  <si>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</si>
  <si>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</si>
  <si>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</si>
  <si>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</si>
  <si>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</si>
  <si>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</si>
  <si>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</si>
  <si>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</si>
  <si>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</si>
  <si>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</si>
  <si>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</si>
  <si>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</si>
  <si>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</si>
  <si>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</si>
  <si>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</si>
  <si>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</si>
  <si>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</si>
  <si>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</si>
  <si>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</si>
  <si>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</si>
  <si>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</si>
  <si>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</si>
  <si>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</si>
  <si>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</si>
  <si>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</si>
  <si>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</si>
  <si>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</si>
  <si>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</si>
  <si>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</si>
  <si>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</si>
  <si>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</si>
  <si>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</si>
  <si>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</si>
  <si>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</si>
  <si>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</si>
  <si>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</si>
  <si>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</si>
  <si>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</si>
  <si>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</si>
  <si>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</si>
  <si>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</si>
  <si>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</si>
  <si>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</si>
  <si>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</si>
  <si>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</si>
  <si>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</si>
  <si>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</si>
  <si>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</si>
  <si>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</si>
  <si>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</si>
  <si>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</si>
  <si>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</si>
  <si>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</si>
  <si>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</si>
  <si>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</si>
  <si>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</si>
  <si>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</si>
  <si>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</si>
  <si>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</si>
  <si>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</si>
  <si>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</si>
  <si>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</si>
  <si>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</si>
  <si>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</si>
  <si>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</si>
  <si>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</si>
  <si>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</si>
  <si>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</si>
  <si>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</si>
  <si>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</si>
  <si>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</si>
  <si>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</si>
  <si>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</si>
  <si>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</si>
  <si>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</si>
  <si>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</si>
  <si>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</si>
  <si>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</si>
  <si>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</si>
  <si>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</si>
  <si>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</si>
  <si>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</si>
  <si>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</si>
  <si>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</si>
  <si>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</si>
  <si>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</si>
  <si>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</si>
  <si>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</si>
  <si>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</si>
  <si>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</si>
  <si>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</si>
  <si>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</si>
  <si>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</si>
  <si>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</si>
  <si>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</si>
  <si>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</si>
  <si>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</si>
  <si>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</si>
  <si>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</si>
  <si>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</si>
  <si>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</si>
  <si>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</si>
  <si>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</si>
  <si>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</si>
  <si>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</si>
  <si>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</si>
  <si>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</si>
  <si>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</si>
  <si>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</si>
  <si>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</si>
  <si>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</si>
  <si>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</si>
  <si>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</si>
  <si>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</si>
  <si>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</si>
  <si>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</si>
  <si>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</si>
  <si>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</si>
  <si>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</si>
  <si>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</si>
  <si>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</si>
  <si>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</si>
  <si>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</si>
  <si>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</si>
  <si>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</si>
  <si>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</si>
  <si>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</si>
  <si>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</si>
  <si>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</si>
  <si>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</si>
  <si>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</si>
  <si>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</si>
  <si>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</si>
  <si>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</si>
  <si>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</si>
  <si>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</si>
  <si>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</si>
  <si>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</si>
  <si>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</si>
  <si>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</si>
  <si>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</si>
  <si>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</si>
  <si>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</si>
  <si>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</si>
  <si>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</si>
  <si>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</si>
  <si>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</si>
  <si>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</si>
  <si>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</si>
  <si>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</si>
  <si>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</si>
  <si>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</si>
  <si>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</si>
  <si>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</si>
  <si>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</si>
  <si>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</si>
  <si>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</si>
  <si>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</si>
  <si>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</si>
  <si>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</si>
  <si>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</si>
  <si>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</si>
  <si>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</si>
  <si>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</si>
  <si>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</si>
  <si>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</si>
  <si>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</si>
  <si>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</si>
  <si>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</si>
  <si>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</si>
  <si>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</si>
  <si>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</si>
  <si>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</si>
  <si>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</si>
  <si>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</si>
  <si>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</si>
  <si>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</si>
  <si>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</si>
  <si>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</si>
  <si>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</si>
  <si>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</si>
  <si>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</si>
  <si>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</si>
  <si>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</si>
  <si>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</si>
  <si>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</si>
  <si>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</si>
  <si>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</si>
  <si>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</si>
  <si>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</si>
  <si>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</si>
  <si>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</si>
  <si>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</si>
  <si>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</si>
  <si>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</si>
  <si>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</si>
  <si>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</si>
  <si>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</si>
  <si>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</si>
  <si>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</si>
  <si>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</si>
  <si>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</si>
  <si>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</si>
  <si>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</si>
  <si>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</si>
  <si>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</si>
  <si>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</si>
  <si>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</si>
  <si>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</si>
  <si>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</si>
  <si>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</si>
  <si>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</si>
  <si>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</si>
  <si>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</si>
  <si>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</si>
  <si>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</si>
  <si>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</si>
  <si>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</si>
  <si>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</si>
  <si>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</si>
  <si>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</si>
  <si>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</si>
  <si>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</si>
  <si>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</si>
  <si>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</si>
  <si>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</si>
  <si>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</si>
  <si>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</si>
  <si>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</si>
  <si>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</si>
  <si>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</si>
  <si>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</si>
  <si>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</si>
  <si>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</si>
  <si>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</si>
  <si>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</si>
  <si>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</si>
  <si>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</si>
  <si>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</si>
  <si>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</si>
  <si>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</si>
  <si>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</si>
  <si>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</si>
  <si>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</si>
  <si>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</si>
  <si>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</si>
  <si>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</si>
  <si>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</si>
  <si>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</si>
  <si>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</si>
  <si>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</si>
  <si>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</si>
  <si>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</si>
  <si>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</si>
  <si>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</si>
  <si>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</si>
  <si>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</si>
  <si>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</si>
  <si>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</si>
  <si>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</si>
  <si>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</si>
  <si>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</si>
  <si>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</si>
  <si>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</si>
  <si>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</si>
  <si>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</si>
  <si>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</si>
  <si>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</si>
  <si>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</si>
  <si>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</si>
  <si>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</si>
  <si>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</si>
  <si>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</si>
  <si>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</si>
  <si>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</si>
  <si>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</si>
  <si>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</si>
  <si>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</si>
  <si>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</si>
  <si>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</si>
  <si>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</si>
  <si>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</si>
  <si>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</si>
  <si>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</si>
  <si>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</si>
  <si>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</si>
  <si>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</si>
  <si>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</si>
  <si>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</si>
  <si>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</si>
  <si>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</si>
  <si>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</si>
  <si>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</si>
  <si>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</si>
  <si>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</si>
  <si>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</si>
  <si>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</si>
  <si>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</si>
  <si>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</si>
  <si>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</si>
  <si>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</si>
  <si>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</si>
  <si>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</si>
  <si>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</si>
  <si>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</si>
  <si>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</si>
  <si>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</si>
  <si>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</si>
  <si>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</si>
  <si>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</si>
  <si>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</si>
  <si>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</si>
  <si>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</si>
  <si>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</si>
  <si>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</si>
  <si>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</si>
  <si>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</si>
  <si>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</si>
  <si>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</si>
  <si>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</si>
  <si>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</si>
  <si>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</si>
  <si>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</si>
  <si>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</si>
  <si>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</si>
  <si>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</si>
  <si>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</si>
  <si>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</si>
  <si>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</si>
  <si>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</si>
  <si>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</si>
  <si>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</si>
  <si>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</si>
  <si>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</si>
  <si>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</si>
  <si>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</si>
  <si>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</si>
  <si>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</si>
  <si>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</si>
  <si>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</si>
  <si>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</si>
  <si>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</si>
  <si>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</si>
  <si>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</si>
  <si>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</si>
  <si>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</si>
  <si>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</si>
  <si>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</si>
  <si>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</si>
  <si>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</si>
  <si>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</si>
  <si>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</si>
  <si>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</si>
  <si>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</si>
  <si>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</si>
  <si>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</si>
  <si>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</si>
  <si>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</si>
  <si>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</si>
  <si>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</si>
  <si>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</si>
  <si>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</si>
  <si>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</si>
  <si>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</si>
  <si>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</si>
  <si>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</si>
  <si>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</si>
  <si>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</si>
  <si>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</si>
  <si>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</si>
  <si>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</si>
  <si>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</si>
  <si>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</si>
  <si>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</si>
  <si>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</si>
  <si>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</si>
  <si>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</si>
  <si>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</si>
  <si>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</si>
  <si>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</si>
  <si>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</si>
  <si>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</si>
  <si>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</si>
  <si>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</si>
  <si>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</si>
  <si>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</si>
  <si>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</si>
  <si>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</si>
  <si>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</si>
  <si>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</si>
  <si>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</si>
  <si>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</si>
  <si>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</si>
  <si>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</si>
  <si>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</si>
  <si>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</si>
  <si>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</si>
  <si>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</si>
  <si>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</si>
  <si>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</si>
  <si>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</si>
  <si>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</si>
  <si>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</si>
  <si>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</si>
  <si>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</si>
  <si>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</si>
  <si>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</si>
  <si>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</si>
  <si>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</si>
  <si>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</si>
  <si>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</si>
  <si>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</si>
  <si>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</si>
  <si>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</si>
  <si>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</si>
  <si>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</si>
  <si>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</si>
  <si>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</si>
  <si>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</si>
  <si>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</si>
  <si>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</si>
  <si>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</si>
  <si>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</si>
  <si>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</si>
  <si>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</si>
  <si>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</si>
  <si>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</si>
  <si>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</si>
  <si>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</si>
  <si>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</si>
  <si>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</si>
  <si>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</si>
  <si>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</si>
  <si>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</si>
  <si>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</si>
  <si>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</si>
  <si>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</si>
  <si>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</si>
  <si>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</si>
  <si>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</si>
  <si>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</si>
  <si>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</si>
  <si>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</si>
  <si>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</si>
  <si>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</si>
  <si>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</si>
  <si>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</si>
  <si>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</si>
  <si>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</si>
  <si>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</si>
  <si>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</si>
  <si>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</si>
  <si>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</si>
  <si>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</si>
  <si>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</si>
  <si>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</si>
  <si>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</si>
  <si>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</si>
  <si>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</si>
  <si>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</si>
  <si>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</si>
  <si>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</si>
  <si>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</si>
  <si>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</si>
  <si>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</si>
  <si>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</si>
  <si>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</si>
  <si>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</si>
  <si>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</si>
  <si>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</si>
  <si>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</si>
  <si>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</si>
  <si>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</si>
  <si>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</si>
  <si>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</si>
  <si>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</si>
  <si>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</si>
  <si>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</si>
  <si>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</si>
  <si>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</si>
  <si>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</si>
  <si>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</si>
  <si>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</si>
  <si>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</si>
  <si>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</si>
  <si>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</si>
  <si>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</si>
  <si>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</si>
  <si>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</si>
  <si>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</si>
  <si>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</si>
  <si>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</si>
  <si>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</si>
  <si>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</si>
  <si>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</si>
  <si>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</si>
  <si>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</si>
  <si>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</si>
  <si>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</si>
  <si>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</si>
  <si>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</si>
  <si>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</si>
  <si>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</si>
  <si>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</si>
  <si>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</si>
  <si>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</si>
  <si>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</si>
  <si>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</si>
  <si>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</si>
  <si>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</si>
  <si>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</si>
  <si>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</si>
  <si>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</si>
  <si>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</si>
  <si>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</si>
  <si>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</si>
  <si>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</si>
  <si>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</si>
  <si>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</si>
  <si>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</si>
  <si>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</si>
  <si>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</si>
  <si>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</si>
  <si>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</si>
  <si>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</si>
  <si>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</si>
  <si>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</si>
  <si>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</si>
  <si>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</si>
  <si>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</si>
  <si>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</si>
  <si>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</si>
  <si>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</si>
  <si>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</si>
  <si>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</si>
  <si>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</si>
  <si>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</si>
  <si>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</si>
  <si>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</si>
  <si>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</si>
  <si>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</si>
  <si>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</si>
  <si>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</si>
  <si>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</si>
  <si>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</si>
  <si>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</si>
  <si>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</si>
  <si>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</si>
  <si>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</si>
  <si>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</si>
  <si>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</si>
  <si>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</si>
  <si>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</si>
  <si>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</si>
  <si>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</si>
  <si>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</si>
  <si>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</si>
  <si>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</si>
  <si>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</si>
  <si>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</si>
  <si>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</si>
  <si>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</si>
  <si>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</si>
  <si>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</si>
  <si>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</si>
  <si>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</si>
  <si>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</si>
  <si>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</si>
  <si>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</si>
  <si>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</si>
  <si>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</si>
  <si>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</si>
  <si>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</si>
  <si>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</si>
  <si>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</si>
  <si>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</si>
  <si>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</si>
  <si>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</si>
  <si>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</si>
  <si>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</si>
  <si>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</si>
  <si>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</si>
  <si>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</si>
  <si>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</si>
  <si>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</si>
  <si>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</si>
  <si>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</si>
  <si>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</si>
  <si>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</si>
  <si>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</si>
  <si>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</si>
  <si>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</si>
  <si>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</si>
  <si>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</si>
  <si>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</si>
  <si>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</si>
  <si>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</si>
  <si>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</si>
  <si>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</si>
  <si>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</si>
  <si>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</si>
  <si>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</si>
  <si>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</si>
  <si>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</si>
  <si>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</si>
  <si>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</si>
  <si>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</si>
  <si>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</si>
  <si>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</si>
  <si>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</si>
  <si>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</si>
  <si>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</si>
  <si>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</si>
  <si>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</si>
  <si>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</si>
  <si>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</si>
  <si>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</si>
  <si>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</si>
  <si>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</si>
  <si>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</si>
  <si>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</si>
  <si>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</si>
  <si>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</si>
  <si>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</si>
  <si>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</si>
  <si>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</si>
  <si>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</si>
  <si>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</si>
  <si>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</si>
  <si>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</si>
  <si>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</si>
  <si>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</si>
  <si>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</si>
  <si>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</si>
  <si>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</si>
  <si>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</si>
  <si>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</si>
  <si>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</si>
  <si>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</si>
  <si>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</si>
  <si>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</si>
  <si>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</si>
  <si>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</si>
  <si>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</si>
  <si>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</si>
  <si>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</si>
  <si>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</si>
  <si>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</si>
  <si>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</si>
  <si>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</si>
  <si>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</si>
  <si>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</si>
  <si>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</si>
  <si>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</si>
  <si>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</si>
  <si>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</si>
  <si>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</si>
  <si>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</si>
  <si>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</si>
  <si>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</si>
  <si>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</si>
  <si>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</si>
  <si>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</si>
  <si>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</si>
  <si>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</si>
  <si>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</si>
  <si>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</si>
  <si>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</si>
  <si>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</si>
  <si>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</si>
  <si>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</si>
  <si>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</si>
  <si>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</si>
  <si>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</si>
  <si>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</si>
  <si>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</si>
  <si>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</si>
  <si>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</si>
  <si>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</si>
  <si>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</si>
  <si>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</si>
  <si>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</si>
  <si>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</si>
  <si>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</si>
  <si>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</si>
  <si>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</si>
  <si>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</si>
  <si>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</si>
  <si>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</si>
  <si>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</si>
  <si>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</si>
  <si>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</si>
  <si>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</si>
  <si>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</si>
  <si>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</si>
  <si>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</si>
  <si>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</si>
  <si>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</si>
  <si>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</si>
  <si>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</si>
  <si>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</si>
  <si>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</si>
  <si>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</si>
  <si>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</si>
  <si>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</si>
  <si>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</si>
  <si>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</si>
  <si>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</si>
  <si>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</si>
  <si>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</si>
  <si>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</si>
  <si>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</si>
  <si>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</si>
  <si>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</si>
  <si>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</si>
  <si>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</si>
  <si>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</si>
  <si>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</si>
  <si>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</si>
  <si>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</si>
  <si>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</si>
  <si>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</si>
  <si>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</si>
  <si>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</si>
  <si>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</si>
  <si>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</si>
  <si>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</si>
  <si>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</si>
  <si>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</si>
  <si>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</si>
  <si>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</si>
  <si>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</si>
  <si>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</si>
  <si>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</si>
  <si>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</si>
  <si>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</si>
  <si>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</si>
  <si>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</si>
  <si>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</si>
  <si>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</si>
  <si>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</si>
  <si>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</si>
  <si>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</si>
  <si>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</si>
  <si>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</si>
  <si>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</si>
  <si>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</si>
  <si>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</si>
  <si>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</si>
  <si>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</si>
  <si>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</si>
  <si>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</si>
  <si>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</si>
  <si>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</si>
  <si>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</si>
  <si>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</si>
  <si>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</si>
  <si>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</si>
  <si>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</si>
  <si>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</si>
  <si>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</si>
  <si>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</si>
  <si>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</si>
  <si>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</si>
  <si>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</si>
  <si>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</si>
  <si>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</si>
  <si>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</si>
  <si>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</si>
  <si>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</si>
  <si>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</si>
  <si>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</si>
  <si>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</si>
  <si>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</si>
  <si>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</si>
  <si>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</si>
  <si>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</si>
  <si>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</si>
  <si>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</si>
  <si>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</si>
  <si>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</si>
  <si>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</si>
  <si>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</si>
  <si>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</si>
  <si>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</si>
  <si>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</si>
  <si>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</si>
  <si>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</si>
  <si>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</si>
  <si>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</si>
  <si>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</si>
  <si>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</si>
  <si>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</si>
  <si>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</si>
  <si>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</si>
  <si>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</si>
  <si>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</si>
  <si>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</si>
  <si>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</si>
  <si>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</si>
  <si>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</si>
  <si>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</si>
  <si>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</si>
  <si>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</si>
  <si>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</si>
  <si>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</si>
  <si>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</si>
  <si>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</si>
  <si>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</si>
  <si>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</si>
  <si>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</si>
  <si>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</si>
  <si>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</si>
  <si>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</si>
  <si>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</si>
  <si>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</si>
  <si>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</si>
  <si>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</si>
  <si>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</si>
  <si>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</si>
  <si>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</si>
  <si>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</si>
  <si>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</si>
  <si>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</si>
  <si>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</si>
  <si>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</si>
  <si>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</si>
  <si>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</si>
  <si>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</si>
  <si>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</si>
  <si>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</si>
  <si>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</si>
  <si>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</si>
  <si>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</si>
  <si>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</si>
  <si>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</si>
  <si>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</si>
  <si>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</si>
  <si>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</si>
  <si>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</si>
  <si>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</si>
  <si>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</si>
  <si>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</si>
  <si>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</si>
  <si>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</si>
  <si>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</si>
  <si>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</si>
  <si>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</si>
  <si>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</si>
  <si>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</si>
  <si>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</si>
  <si>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</si>
  <si>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</si>
  <si>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</si>
  <si>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</si>
  <si>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</si>
  <si>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</si>
  <si>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</si>
  <si>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</si>
  <si>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</si>
  <si>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</si>
  <si>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</si>
  <si>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</si>
  <si>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</si>
  <si>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</si>
  <si>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</si>
  <si>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</si>
  <si>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</si>
  <si>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</si>
  <si>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</si>
  <si>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</si>
  <si>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</si>
  <si>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</si>
  <si>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</si>
  <si>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</si>
  <si>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</si>
  <si>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</si>
  <si>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</si>
  <si>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</si>
  <si>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</si>
  <si>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</si>
  <si>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</si>
  <si>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</si>
  <si>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</si>
  <si>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</si>
  <si>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</si>
  <si>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</si>
  <si>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</si>
  <si>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</si>
  <si>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</si>
  <si>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</si>
  <si>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</si>
  <si>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</si>
  <si>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</si>
  <si>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</si>
  <si>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</si>
  <si>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</si>
  <si>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</si>
  <si>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</si>
  <si>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</si>
  <si>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</si>
  <si>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</si>
  <si>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</si>
  <si>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</si>
  <si>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</si>
  <si>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</si>
  <si>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</si>
  <si>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</si>
  <si>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</si>
  <si>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</si>
  <si>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</si>
  <si>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</si>
  <si>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</si>
  <si>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</si>
  <si>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</si>
  <si>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</si>
  <si>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</si>
  <si>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</si>
  <si>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</si>
  <si>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</si>
  <si>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</si>
  <si>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</si>
  <si>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</si>
  <si>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</si>
  <si>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</si>
  <si>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</si>
  <si>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</si>
  <si>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</si>
  <si>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</si>
  <si>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</si>
  <si>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</si>
  <si>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</si>
  <si>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</si>
  <si>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</si>
  <si>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</si>
  <si>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</si>
  <si>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</si>
  <si>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</si>
  <si>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</si>
  <si>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</si>
  <si>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</si>
  <si>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</si>
  <si>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</si>
  <si>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</si>
  <si>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</si>
  <si>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</si>
  <si>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</si>
  <si>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</si>
  <si>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</si>
  <si>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</si>
  <si>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</si>
  <si>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</si>
  <si>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</si>
  <si>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</si>
  <si>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</si>
  <si>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</si>
  <si>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</si>
  <si>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</si>
  <si>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</si>
  <si>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</si>
  <si>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</si>
  <si>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</si>
  <si>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</si>
  <si>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</si>
  <si>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</si>
  <si>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</si>
  <si>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</si>
  <si>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</si>
  <si>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</si>
  <si>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</si>
  <si>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</si>
  <si>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</si>
  <si>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</si>
  <si>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</si>
  <si>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</si>
  <si>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</si>
  <si>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DuPage County</t>
  </si>
  <si>
    <t>X</t>
  </si>
  <si>
    <t>Lauterbach &amp; Amen</t>
  </si>
  <si>
    <t>Matt Beran</t>
  </si>
  <si>
    <t>668 N. River Road</t>
  </si>
  <si>
    <t>Naperville</t>
  </si>
  <si>
    <t>IL</t>
  </si>
  <si>
    <t>7925 Janes Ave</t>
  </si>
  <si>
    <t xml:space="preserve">Woodridge </t>
  </si>
  <si>
    <t>saindonc@woodridge68.org</t>
  </si>
  <si>
    <t>mberan@lauterbachamen.com</t>
  </si>
  <si>
    <t>Transportation/Pupil Transportation Services/ Pupil Transportation</t>
  </si>
  <si>
    <t>American Taxi Dispatch, Inc.</t>
  </si>
  <si>
    <t>Ed/Regular Education/Software &amp; Licensing</t>
  </si>
  <si>
    <t>Amplify</t>
  </si>
  <si>
    <t>Aurora Naper Transportation</t>
  </si>
  <si>
    <t>Ed/Regular Education/Other Professional Services (Field Trip)</t>
  </si>
  <si>
    <t>Covenant Harbor</t>
  </si>
  <si>
    <t>Ed/Assessments/Software &amp; Licensing</t>
  </si>
  <si>
    <t>ECRA Group Incorporated</t>
  </si>
  <si>
    <t>First Student</t>
  </si>
  <si>
    <t>Ed/Board of Ed/Legal</t>
  </si>
  <si>
    <t>Franczek Radelet P.C.</t>
  </si>
  <si>
    <t>Tort/Board of Ed/Legal</t>
  </si>
  <si>
    <t>Ed/Staff Services/Software &amp; Licensing</t>
  </si>
  <si>
    <t>Frontline Technologies Group, LLC</t>
  </si>
  <si>
    <t>Ed/Improvement of Instruction/Workshops</t>
  </si>
  <si>
    <t>GoStrengths Inc.</t>
  </si>
  <si>
    <t>Tort/Worker's Comp/Insurance</t>
  </si>
  <si>
    <t>ISDLAF - School Employees Loss Fund</t>
  </si>
  <si>
    <t>Mindful Practices</t>
  </si>
  <si>
    <t>Panorama Education</t>
  </si>
  <si>
    <t>Ed/Food Services/Food Services</t>
  </si>
  <si>
    <t>Preferred Meals</t>
  </si>
  <si>
    <t>Septran, Inc.</t>
  </si>
  <si>
    <t>Ed/Data Services/Software &amp; Licensing</t>
  </si>
  <si>
    <t>Skyward, Inc.</t>
  </si>
  <si>
    <t>Tort/General/Admin</t>
  </si>
  <si>
    <t>Suburban School Coop. Insurance Pool</t>
  </si>
  <si>
    <t>Tort/Insurance/Insurance</t>
  </si>
  <si>
    <t>Tort/Property Insurance/Insurance</t>
  </si>
  <si>
    <t>Ed/Fiscal Services/Software &amp; Licensing</t>
  </si>
  <si>
    <t>Ed/Board of Ed/Audit</t>
  </si>
  <si>
    <t>Sunrise</t>
  </si>
  <si>
    <t>Tyler Technologies</t>
  </si>
  <si>
    <t>Wermer, Rogers, Doran &amp; Ruzon, LLC</t>
  </si>
  <si>
    <t>Patrick J. Broncato</t>
  </si>
  <si>
    <t>superintendent@woodridge68.org</t>
  </si>
  <si>
    <t>x</t>
  </si>
  <si>
    <t>Educational Benefit Cooperative</t>
  </si>
  <si>
    <t>Illinois Energy Consortium</t>
  </si>
  <si>
    <t>Open Kitchens/Preferred Meals</t>
  </si>
  <si>
    <t>Woodridge Park District</t>
  </si>
  <si>
    <t>IL School District Liquid Asset Fund</t>
  </si>
  <si>
    <t>Downers Grove/Woodridge Area Taxing Body Coalition</t>
  </si>
  <si>
    <t>School Association for Special Education in DuPage County</t>
  </si>
  <si>
    <t>Community High School District #99 and Downers Grove School District #58</t>
  </si>
  <si>
    <t>40-2550-300</t>
  </si>
  <si>
    <t>10-2640-300</t>
  </si>
  <si>
    <t>10-2560-300</t>
  </si>
  <si>
    <t>10-2660-300</t>
  </si>
  <si>
    <t>10-2520-300</t>
  </si>
  <si>
    <t>Installment Contract</t>
  </si>
  <si>
    <t>Installment contract</t>
  </si>
  <si>
    <t>Revenues (line 72): a la carte meal sales $10,049 (Ed Fund)</t>
  </si>
  <si>
    <t>Revenues (line 92): lost books $784 (Ed Fund)</t>
  </si>
  <si>
    <t>Revenues (line 107): internal university $31,658, other misc $22,384 (Ed Fund); other misc $30,254 (O&amp;M Fund)</t>
  </si>
  <si>
    <t>Revenues (line 203): Title I School Improvement $32,222 (Ed Fund)</t>
  </si>
  <si>
    <t>Revenues (line 265): Erate $52,378 (Ed Fund)</t>
  </si>
  <si>
    <t>Expenditures (line 41): bus duty and safety patrol $19,467 (Ed Fund)</t>
  </si>
  <si>
    <t>Expenditures (line 73): other admin costs $151,051 (Ed Fund)</t>
  </si>
  <si>
    <t>Expenditures (line 83): return of unused funds - PreK $3,303 (Ed Fund)</t>
  </si>
  <si>
    <t>Expenditures (line 128): misc supplies $2,265 (O&amp;M Fund)</t>
  </si>
  <si>
    <t>Expenditures (line 237): bus duty and safety patrol $781 (MR/SS Fund)</t>
  </si>
  <si>
    <t>Child Nutrition Cluster</t>
  </si>
  <si>
    <t>US Department of Agriculture</t>
  </si>
  <si>
    <t>Illinois State Board of Education</t>
  </si>
  <si>
    <t>2018-4220</t>
  </si>
  <si>
    <t>2019-4220</t>
  </si>
  <si>
    <t>2018-4210</t>
  </si>
  <si>
    <t>2019-4210</t>
  </si>
  <si>
    <t>Commodities (Non-Cash)</t>
  </si>
  <si>
    <t>N/A</t>
  </si>
  <si>
    <t>Total US Department of Agriculture</t>
  </si>
  <si>
    <t>Total Child Nutrition Cluster</t>
  </si>
  <si>
    <t>Special Education (IDEA) Cluster</t>
  </si>
  <si>
    <t>Department of Education</t>
  </si>
  <si>
    <t>School Association for Special Education in DuPage County:</t>
  </si>
  <si>
    <t>Special Education - Grants to States (IDEA Flow Through)</t>
  </si>
  <si>
    <t>2018-4620</t>
  </si>
  <si>
    <t>Special Education - Grants to States (IDEA Flow Through) (M)</t>
  </si>
  <si>
    <t>2019-4620</t>
  </si>
  <si>
    <t>IDEA Room &amp; Board</t>
  </si>
  <si>
    <t>2018-4625</t>
  </si>
  <si>
    <t>Special Education - Preschool Grants (IDEA Preschool)</t>
  </si>
  <si>
    <t>2018-4600</t>
  </si>
  <si>
    <t>Special Education - Preschool Grants (IDEA Preschool) (M)</t>
  </si>
  <si>
    <t>2019-4600</t>
  </si>
  <si>
    <t>Total Department of Education</t>
  </si>
  <si>
    <t>Total Special Education (IDEA) Cluster</t>
  </si>
  <si>
    <t>Other Programs</t>
  </si>
  <si>
    <t>2019-4300</t>
  </si>
  <si>
    <t>Title I - School Improvement</t>
  </si>
  <si>
    <t>2019-4331</t>
  </si>
  <si>
    <t>2019-4932</t>
  </si>
  <si>
    <t>Title III - Language Instruction</t>
  </si>
  <si>
    <t>2019-4905</t>
  </si>
  <si>
    <t>2019-4909</t>
  </si>
  <si>
    <t>Title IVa - Student Support and Academic Enrichment</t>
  </si>
  <si>
    <t>2019-4400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</si>
  <si>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</si>
  <si>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</si>
  <si>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</si>
  <si>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</si>
  <si>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</si>
  <si>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</si>
  <si>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r>
      <t xml:space="preserve">The accompanying Schedule of Expenditures of Federal Awards includes the federal grant activity of </t>
    </r>
    <r>
      <rPr>
        <b/>
        <sz val="9"/>
        <rFont val="Calibri"/>
        <family val="2"/>
        <scheme val="minor"/>
      </rPr>
      <t>Woodridge School District 68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</si>
  <si>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Unmodified</t>
  </si>
  <si>
    <t>84.027 / 84.173</t>
  </si>
  <si>
    <t>IDEA Cluster</t>
  </si>
  <si>
    <t>None</t>
  </si>
  <si>
    <t>Suburban Schools Cooperative Insurance Pool and School Employee Loss Fund</t>
  </si>
  <si>
    <t>Woodridge SD 68</t>
  </si>
  <si>
    <t>10-1000-300</t>
  </si>
  <si>
    <t>10-2200-300</t>
  </si>
  <si>
    <t>10-2300-300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</si>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</sst>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20">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19050</xdr:rowOff>
        </xdr:from>
        <xdr:to>
          <xdr:col>1</xdr:col>
          <xdr:colOff>914400</xdr:colOff>
          <xdr:row>5</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1</xdr:row>
          <xdr:rowOff>47625</xdr:rowOff>
        </xdr:from>
        <xdr:to>
          <xdr:col>1</xdr:col>
          <xdr:colOff>1895475</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1</xdr:row>
          <xdr:rowOff>47625</xdr:rowOff>
        </xdr:from>
        <xdr:to>
          <xdr:col>1</xdr:col>
          <xdr:colOff>2933700</xdr:colOff>
          <xdr:row>5</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304800</xdr:colOff>
          <xdr:row>45</xdr:row>
          <xdr:rowOff>123825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104775</xdr:rowOff>
        </xdr:from>
        <xdr:to>
          <xdr:col>1</xdr:col>
          <xdr:colOff>923925</xdr:colOff>
          <xdr:row>10</xdr:row>
          <xdr:rowOff>66675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5</xdr:row>
          <xdr:rowOff>152400</xdr:rowOff>
        </xdr:from>
        <xdr:to>
          <xdr:col>1</xdr:col>
          <xdr:colOff>1924050</xdr:colOff>
          <xdr:row>10</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5</xdr:row>
          <xdr:rowOff>133350</xdr:rowOff>
        </xdr:from>
        <xdr:to>
          <xdr:col>1</xdr:col>
          <xdr:colOff>2943225</xdr:colOff>
          <xdr:row>10</xdr:row>
          <xdr:rowOff>85725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85" zoomScaleNormal="85"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30" t="s">
        <v>405</v>
      </c>
      <c r="J1" s="2031"/>
      <c r="K1" s="2031"/>
      <c r="L1" s="2031"/>
      <c r="M1" s="2031"/>
      <c r="N1" s="2031"/>
      <c r="O1" s="2031"/>
      <c r="P1" s="2031"/>
      <c r="Q1" s="2031"/>
      <c r="R1" s="2031"/>
      <c r="S1" s="2031"/>
    </row>
    <row r="2" spans="1:28" ht="12" customHeight="1" x14ac:dyDescent="0.2">
      <c r="A2" s="47" t="s">
        <v>1992</v>
      </c>
      <c r="D2" s="48"/>
      <c r="I2" s="2032" t="s">
        <v>979</v>
      </c>
      <c r="J2" s="2031"/>
      <c r="K2" s="2031"/>
      <c r="L2" s="2031"/>
      <c r="M2" s="2031"/>
      <c r="N2" s="2031"/>
      <c r="O2" s="2031"/>
      <c r="P2" s="2031"/>
      <c r="Q2" s="2031"/>
      <c r="R2" s="2031"/>
      <c r="S2" s="2031"/>
    </row>
    <row r="3" spans="1:28" ht="12" customHeight="1" x14ac:dyDescent="0.2">
      <c r="A3" s="155" t="s">
        <v>1944</v>
      </c>
      <c r="B3" s="156"/>
      <c r="C3" s="156"/>
      <c r="D3" s="157"/>
      <c r="I3" s="2032" t="s">
        <v>52</v>
      </c>
      <c r="J3" s="2031"/>
      <c r="K3" s="2031"/>
      <c r="L3" s="2031"/>
      <c r="M3" s="2031"/>
      <c r="N3" s="2031"/>
      <c r="O3" s="2031"/>
      <c r="P3" s="2031"/>
      <c r="Q3" s="2031"/>
      <c r="R3" s="2031"/>
      <c r="S3" s="2031"/>
    </row>
    <row r="4" spans="1:28" ht="12" customHeight="1" x14ac:dyDescent="0.2">
      <c r="A4" s="37"/>
      <c r="I4" s="2032" t="s">
        <v>524</v>
      </c>
      <c r="J4" s="2031"/>
      <c r="K4" s="2031"/>
      <c r="L4" s="2031"/>
      <c r="M4" s="2031"/>
      <c r="N4" s="2031"/>
      <c r="O4" s="2031"/>
      <c r="P4" s="2031"/>
      <c r="Q4" s="2031"/>
      <c r="R4" s="2031"/>
      <c r="S4" s="2031"/>
    </row>
    <row r="5" spans="1:28" ht="14.1" customHeight="1" x14ac:dyDescent="0.2">
      <c r="B5" s="104" t="s">
        <v>2064</v>
      </c>
      <c r="C5" s="26" t="s">
        <v>910</v>
      </c>
      <c r="D5" s="84"/>
      <c r="E5" s="84"/>
      <c r="H5" s="38"/>
      <c r="I5" s="2039" t="s">
        <v>680</v>
      </c>
      <c r="J5" s="1984"/>
      <c r="K5" s="1984"/>
      <c r="L5" s="1984"/>
      <c r="M5" s="1984"/>
      <c r="N5" s="1984"/>
      <c r="O5" s="1984"/>
      <c r="P5" s="1984"/>
      <c r="Q5" s="1984"/>
      <c r="R5" s="1984"/>
      <c r="S5" s="1984"/>
    </row>
    <row r="6" spans="1:28" ht="14.1" customHeight="1" x14ac:dyDescent="0.2">
      <c r="B6" s="104"/>
      <c r="C6" s="26" t="s">
        <v>911</v>
      </c>
      <c r="D6" s="84"/>
      <c r="E6" s="84"/>
      <c r="I6" s="2038" t="s">
        <v>883</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x14ac:dyDescent="0.2">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955</v>
      </c>
      <c r="B11" s="1993"/>
      <c r="C11" s="1993"/>
      <c r="D11" s="1993"/>
      <c r="E11" s="1993"/>
      <c r="F11" s="1993"/>
      <c r="G11" s="1993"/>
      <c r="H11" s="1994"/>
      <c r="I11" s="27"/>
      <c r="J11" s="74"/>
      <c r="K11" s="27"/>
      <c r="O11" s="148"/>
      <c r="P11" s="100" t="s">
        <v>201</v>
      </c>
      <c r="Q11" s="30"/>
      <c r="R11" s="28"/>
      <c r="S11" s="27"/>
      <c r="T11" s="1986"/>
      <c r="U11" s="1987"/>
      <c r="V11" s="1987"/>
      <c r="W11" s="1987"/>
      <c r="X11" s="1987"/>
      <c r="Y11" s="1987"/>
      <c r="Z11" s="1987"/>
      <c r="AA11" s="1988"/>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00">
        <v>19022068002</v>
      </c>
      <c r="B13" s="2001"/>
      <c r="C13" s="2001"/>
      <c r="D13" s="2001"/>
      <c r="E13" s="2001"/>
      <c r="F13" s="2001"/>
      <c r="G13" s="2001"/>
      <c r="H13" s="2002"/>
      <c r="I13" s="31"/>
      <c r="J13" s="30"/>
      <c r="K13" s="28"/>
      <c r="L13" s="30"/>
      <c r="M13" s="30"/>
      <c r="N13" s="30"/>
      <c r="O13" s="30"/>
      <c r="P13" s="30"/>
      <c r="Q13" s="30"/>
      <c r="R13" s="30"/>
      <c r="S13" s="30"/>
      <c r="T13" s="2005" t="s">
        <v>2065</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8" t="s">
        <v>2063</v>
      </c>
      <c r="B15" s="2003"/>
      <c r="C15" s="2003"/>
      <c r="D15" s="2003"/>
      <c r="E15" s="2003"/>
      <c r="F15" s="2003"/>
      <c r="G15" s="2003"/>
      <c r="H15" s="2004"/>
      <c r="T15" s="1966" t="s">
        <v>2066</v>
      </c>
      <c r="U15" s="1967"/>
      <c r="V15" s="1967"/>
      <c r="W15" s="1967"/>
      <c r="X15" s="196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8" t="s">
        <v>2185</v>
      </c>
      <c r="B17" s="2028"/>
      <c r="C17" s="2028"/>
      <c r="D17" s="2028"/>
      <c r="E17" s="2028"/>
      <c r="F17" s="2028"/>
      <c r="G17" s="2028"/>
      <c r="H17" s="2029"/>
      <c r="T17" s="2015" t="s">
        <v>2067</v>
      </c>
      <c r="U17" s="2016"/>
      <c r="V17" s="2016"/>
      <c r="W17" s="2016"/>
      <c r="X17" s="2016"/>
      <c r="Y17" s="2016"/>
      <c r="Z17" s="2016"/>
      <c r="AA17" s="2017"/>
    </row>
    <row r="18" spans="1:27" ht="13.5" customHeight="1" x14ac:dyDescent="0.2">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x14ac:dyDescent="0.2">
      <c r="A19" s="1998" t="s">
        <v>2070</v>
      </c>
      <c r="B19" s="1999"/>
      <c r="C19" s="1999"/>
      <c r="D19" s="1999"/>
      <c r="E19" s="1999"/>
      <c r="F19" s="1999"/>
      <c r="G19" s="1999"/>
      <c r="H19" s="1997"/>
      <c r="I19" s="30"/>
      <c r="J19" s="99"/>
      <c r="K19" s="40"/>
      <c r="L19" s="38"/>
      <c r="M19" s="112" t="s">
        <v>315</v>
      </c>
      <c r="P19" s="27"/>
      <c r="Q19" s="27"/>
      <c r="R19" s="27"/>
      <c r="S19" s="31"/>
      <c r="T19" s="1998" t="s">
        <v>2068</v>
      </c>
      <c r="U19" s="1996"/>
      <c r="V19" s="1996"/>
      <c r="W19" s="1997"/>
      <c r="X19" s="2013" t="s">
        <v>2069</v>
      </c>
      <c r="Y19" s="2014"/>
      <c r="Z19" s="2011">
        <v>60563</v>
      </c>
      <c r="AA19" s="201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5" t="s">
        <v>2071</v>
      </c>
      <c r="B21" s="1996"/>
      <c r="C21" s="1996"/>
      <c r="D21" s="1996"/>
      <c r="E21" s="1996"/>
      <c r="F21" s="1996"/>
      <c r="G21" s="1996"/>
      <c r="H21" s="1997"/>
      <c r="I21" s="2021" t="s">
        <v>678</v>
      </c>
      <c r="J21" s="1984"/>
      <c r="K21" s="1984"/>
      <c r="L21" s="1984"/>
      <c r="M21" s="1984"/>
      <c r="N21" s="1984"/>
      <c r="O21" s="1984"/>
      <c r="P21" s="1984"/>
      <c r="Q21" s="1984"/>
      <c r="R21" s="1984"/>
      <c r="S21" s="1985"/>
      <c r="T21" s="1963">
        <v>6303931483</v>
      </c>
      <c r="U21" s="1964"/>
      <c r="V21" s="1964"/>
      <c r="W21" s="1964"/>
      <c r="X21" s="1977">
        <v>6303932516</v>
      </c>
      <c r="Y21" s="1978"/>
      <c r="Z21" s="1978"/>
      <c r="AA21" s="1979"/>
    </row>
    <row r="22" spans="1:27" ht="13.5" customHeight="1" x14ac:dyDescent="0.2">
      <c r="A22" s="87" t="s">
        <v>531</v>
      </c>
      <c r="B22" s="59"/>
      <c r="C22" s="59"/>
      <c r="D22" s="59"/>
      <c r="E22" s="59"/>
      <c r="F22" s="59"/>
      <c r="G22" s="59"/>
      <c r="H22" s="60"/>
      <c r="I22" s="2022" t="s">
        <v>1429</v>
      </c>
      <c r="J22" s="2023"/>
      <c r="K22" s="2023"/>
      <c r="L22" s="2023"/>
      <c r="M22" s="2023"/>
      <c r="N22" s="2023"/>
      <c r="O22" s="2023"/>
      <c r="P22" s="2023"/>
      <c r="Q22" s="2023"/>
      <c r="R22" s="2023"/>
      <c r="S22" s="2024"/>
      <c r="T22" s="85" t="s">
        <v>1516</v>
      </c>
      <c r="U22" s="51"/>
      <c r="V22" s="72"/>
      <c r="W22" s="51"/>
      <c r="X22" s="160" t="s">
        <v>1318</v>
      </c>
      <c r="Z22" s="45"/>
      <c r="AA22" s="46"/>
    </row>
    <row r="23" spans="1:27" ht="13.5" customHeight="1" x14ac:dyDescent="0.2">
      <c r="A23" s="2018" t="s">
        <v>2072</v>
      </c>
      <c r="B23" s="2019"/>
      <c r="C23" s="2019"/>
      <c r="D23" s="2019"/>
      <c r="E23" s="2019"/>
      <c r="F23" s="2019"/>
      <c r="G23" s="2019"/>
      <c r="H23" s="2020"/>
      <c r="T23" s="1958">
        <v>65033233</v>
      </c>
      <c r="U23" s="1959"/>
      <c r="V23" s="1959"/>
      <c r="W23" s="1959"/>
      <c r="X23" s="1974">
        <v>44469</v>
      </c>
      <c r="Y23" s="1975"/>
      <c r="Z23" s="1975"/>
      <c r="AA23" s="1976"/>
    </row>
    <row r="24" spans="1:27" ht="14.1" customHeight="1" x14ac:dyDescent="0.2">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x14ac:dyDescent="0.2">
      <c r="A25" s="1995">
        <v>60517</v>
      </c>
      <c r="B25" s="1996"/>
      <c r="C25" s="1996"/>
      <c r="D25" s="1996"/>
      <c r="E25" s="1996"/>
      <c r="F25" s="1996"/>
      <c r="G25" s="1996"/>
      <c r="H25" s="1997"/>
      <c r="I25" s="113"/>
      <c r="J25" s="2062"/>
      <c r="K25" s="2062"/>
      <c r="L25" s="2062"/>
      <c r="M25" s="2062"/>
      <c r="N25" s="2062"/>
      <c r="O25" s="2062"/>
      <c r="P25" s="2062"/>
      <c r="Q25" s="2062"/>
      <c r="R25" s="2062"/>
      <c r="S25" s="2063"/>
      <c r="T25" s="1955" t="s">
        <v>2073</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3" t="s">
        <v>1511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t="s">
        <v>2064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2064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8" t="s">
        <v>2109</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x14ac:dyDescent="0.2">
      <c r="A40" s="2054" t="s">
        <v>2110</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4">
        <v>6309672034</v>
      </c>
      <c r="B42" s="2045"/>
      <c r="C42" s="2046"/>
      <c r="D42" s="2059">
        <v>6309102060</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I42" sqref="I42:O4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7" t="s">
        <v>1801</v>
      </c>
      <c r="B2" s="1466" t="s">
        <v>1950</v>
      </c>
      <c r="C2" s="714" t="s">
        <v>1951</v>
      </c>
      <c r="D2" s="714" t="s">
        <v>1952</v>
      </c>
      <c r="E2" s="714" t="s">
        <v>1953</v>
      </c>
      <c r="F2" s="714" t="s">
        <v>1954</v>
      </c>
    </row>
    <row r="3" spans="1:6" ht="12" customHeight="1" x14ac:dyDescent="0.2">
      <c r="A3" s="2198"/>
      <c r="B3" s="1463"/>
      <c r="C3" s="1464"/>
      <c r="D3" s="1465" t="s">
        <v>256</v>
      </c>
      <c r="E3" s="1464"/>
      <c r="F3" s="1465" t="s">
        <v>257</v>
      </c>
    </row>
    <row r="4" spans="1:6" ht="13.7" customHeight="1" x14ac:dyDescent="0.2">
      <c r="A4" s="715" t="s">
        <v>1155</v>
      </c>
      <c r="B4" s="1686">
        <f>'Revenues 9-14'!C5</f>
        <v>27526133</v>
      </c>
      <c r="C4" s="1462">
        <v>14603675</v>
      </c>
      <c r="D4" s="1689">
        <f>B4-C4</f>
        <v>12922458</v>
      </c>
      <c r="E4" s="1462">
        <v>28705529</v>
      </c>
      <c r="F4" s="1689">
        <f>E4-C4</f>
        <v>14101854</v>
      </c>
    </row>
    <row r="5" spans="1:6" ht="13.7" customHeight="1" x14ac:dyDescent="0.2">
      <c r="A5" s="715" t="s">
        <v>870</v>
      </c>
      <c r="B5" s="1687">
        <f>'Revenues 9-14'!D5</f>
        <v>2915691</v>
      </c>
      <c r="C5" s="585">
        <v>2016583</v>
      </c>
      <c r="D5" s="1690">
        <f t="shared" ref="D5:D18" si="0">B5-C5</f>
        <v>899108</v>
      </c>
      <c r="E5" s="585">
        <v>3963871</v>
      </c>
      <c r="F5" s="1690">
        <f>E5-C5</f>
        <v>1947288</v>
      </c>
    </row>
    <row r="6" spans="1:6" ht="13.7" customHeight="1" x14ac:dyDescent="0.2">
      <c r="A6" s="715" t="s">
        <v>411</v>
      </c>
      <c r="B6" s="1687">
        <f>'Revenues 9-14'!E5</f>
        <v>0</v>
      </c>
      <c r="C6" s="585"/>
      <c r="D6" s="1690">
        <f t="shared" si="0"/>
        <v>0</v>
      </c>
      <c r="E6" s="585"/>
      <c r="F6" s="1690">
        <f t="shared" ref="F6:F18" si="1">E6-C6</f>
        <v>0</v>
      </c>
    </row>
    <row r="7" spans="1:6" ht="13.7" customHeight="1" x14ac:dyDescent="0.2">
      <c r="A7" s="715" t="s">
        <v>155</v>
      </c>
      <c r="B7" s="1687">
        <f>'Revenues 9-14'!F5</f>
        <v>1129205</v>
      </c>
      <c r="C7" s="585">
        <v>504361</v>
      </c>
      <c r="D7" s="1690">
        <f t="shared" si="0"/>
        <v>624844</v>
      </c>
      <c r="E7" s="585">
        <v>991390</v>
      </c>
      <c r="F7" s="1690">
        <f t="shared" si="1"/>
        <v>487029</v>
      </c>
    </row>
    <row r="8" spans="1:6" ht="13.7" customHeight="1" x14ac:dyDescent="0.2">
      <c r="A8" s="715" t="s">
        <v>1179</v>
      </c>
      <c r="B8" s="1687">
        <f>'Revenues 9-14'!G5</f>
        <v>847985</v>
      </c>
      <c r="C8" s="585">
        <v>7740</v>
      </c>
      <c r="D8" s="1690">
        <f t="shared" si="0"/>
        <v>840245</v>
      </c>
      <c r="E8" s="585">
        <v>15213</v>
      </c>
      <c r="F8" s="1690">
        <f t="shared" si="1"/>
        <v>7473</v>
      </c>
    </row>
    <row r="9" spans="1:6" ht="13.7" customHeight="1" x14ac:dyDescent="0.2">
      <c r="A9" s="715" t="s">
        <v>408</v>
      </c>
      <c r="B9" s="1687">
        <f>'Revenues 9-14'!H5</f>
        <v>0</v>
      </c>
      <c r="C9" s="585"/>
      <c r="D9" s="1690">
        <f t="shared" si="0"/>
        <v>0</v>
      </c>
      <c r="E9" s="585"/>
      <c r="F9" s="1690">
        <f t="shared" si="1"/>
        <v>0</v>
      </c>
    </row>
    <row r="10" spans="1:6" ht="13.7" customHeight="1" x14ac:dyDescent="0.2">
      <c r="A10" s="715" t="s">
        <v>407</v>
      </c>
      <c r="B10" s="1687">
        <f>'Revenues 9-14'!I5</f>
        <v>15361</v>
      </c>
      <c r="C10" s="585">
        <v>7740</v>
      </c>
      <c r="D10" s="1690">
        <f t="shared" si="0"/>
        <v>7621</v>
      </c>
      <c r="E10" s="585">
        <v>15213</v>
      </c>
      <c r="F10" s="1690">
        <f t="shared" si="1"/>
        <v>7473</v>
      </c>
    </row>
    <row r="11" spans="1:6" x14ac:dyDescent="0.2">
      <c r="A11" s="715" t="s">
        <v>409</v>
      </c>
      <c r="B11" s="1687">
        <f>'Revenues 9-14'!J5</f>
        <v>199290</v>
      </c>
      <c r="C11" s="585">
        <v>202088</v>
      </c>
      <c r="D11" s="1690">
        <f t="shared" si="0"/>
        <v>-2798</v>
      </c>
      <c r="E11" s="585">
        <v>397232</v>
      </c>
      <c r="F11" s="1690">
        <f t="shared" si="1"/>
        <v>195144</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936</v>
      </c>
      <c r="B13" s="1687">
        <f>SUM('Revenues 9-14'!C6:D6)</f>
        <v>0</v>
      </c>
      <c r="C13" s="585"/>
      <c r="D13" s="1690">
        <f t="shared" si="0"/>
        <v>0</v>
      </c>
      <c r="E13" s="585"/>
      <c r="F13" s="1690">
        <f t="shared" si="1"/>
        <v>0</v>
      </c>
    </row>
    <row r="14" spans="1:6" ht="13.7" customHeight="1" x14ac:dyDescent="0.2">
      <c r="A14" s="715" t="s">
        <v>410</v>
      </c>
      <c r="B14" s="1687">
        <f>SUM('Revenues 9-14'!C7:D7,'Revenues 9-14'!F7:H7)</f>
        <v>2888328</v>
      </c>
      <c r="C14" s="585">
        <v>1512652</v>
      </c>
      <c r="D14" s="1690">
        <f t="shared" si="0"/>
        <v>1375676</v>
      </c>
      <c r="E14" s="585">
        <v>2973326</v>
      </c>
      <c r="F14" s="1690">
        <f t="shared" si="1"/>
        <v>1460674</v>
      </c>
    </row>
    <row r="15" spans="1:6" ht="13.7" customHeight="1" x14ac:dyDescent="0.2">
      <c r="A15" s="715" t="s">
        <v>1158</v>
      </c>
      <c r="B15" s="1687">
        <f>SUM('Revenues 9-14'!D9:E9,'Revenues 9-14'!H9)</f>
        <v>0</v>
      </c>
      <c r="C15" s="585"/>
      <c r="D15" s="1690">
        <f t="shared" si="0"/>
        <v>0</v>
      </c>
      <c r="E15" s="585"/>
      <c r="F15" s="1690">
        <f t="shared" si="1"/>
        <v>0</v>
      </c>
    </row>
    <row r="16" spans="1:6" ht="13.7" customHeight="1" x14ac:dyDescent="0.2">
      <c r="A16" s="715" t="s">
        <v>1159</v>
      </c>
      <c r="B16" s="1687">
        <f>'Revenues 9-14'!G8</f>
        <v>0</v>
      </c>
      <c r="C16" s="585">
        <v>428685</v>
      </c>
      <c r="D16" s="1690">
        <f t="shared" si="0"/>
        <v>-428685</v>
      </c>
      <c r="E16" s="585">
        <v>842640</v>
      </c>
      <c r="F16" s="1690">
        <f t="shared" si="1"/>
        <v>413955</v>
      </c>
    </row>
    <row r="17" spans="1:6" ht="13.7" customHeight="1" x14ac:dyDescent="0.2">
      <c r="A17" s="715" t="s">
        <v>1160</v>
      </c>
      <c r="B17" s="1687">
        <f>'Revenues 9-14'!C10</f>
        <v>0</v>
      </c>
      <c r="C17" s="585"/>
      <c r="D17" s="1690">
        <f t="shared" si="0"/>
        <v>0</v>
      </c>
      <c r="E17" s="585"/>
      <c r="F17" s="1690">
        <f t="shared" si="1"/>
        <v>0</v>
      </c>
    </row>
    <row r="18" spans="1:6" ht="13.7" customHeight="1" x14ac:dyDescent="0.2">
      <c r="A18" s="715" t="s">
        <v>762</v>
      </c>
      <c r="B18" s="1687">
        <f>SUM('Revenues 9-14'!C11:K11)</f>
        <v>0</v>
      </c>
      <c r="C18" s="585"/>
      <c r="D18" s="1690">
        <f t="shared" si="0"/>
        <v>0</v>
      </c>
      <c r="E18" s="585"/>
      <c r="F18" s="1690">
        <f t="shared" si="1"/>
        <v>0</v>
      </c>
    </row>
    <row r="19" spans="1:6" ht="13.7" customHeight="1" thickBot="1" x14ac:dyDescent="0.25">
      <c r="A19" s="1691" t="s">
        <v>1161</v>
      </c>
      <c r="B19" s="1688">
        <f>SUM(B4:B18)</f>
        <v>35521993</v>
      </c>
      <c r="C19" s="1688">
        <f>SUM(C4:C18)</f>
        <v>19283524</v>
      </c>
      <c r="D19" s="1688">
        <f>SUM(D4:D18)</f>
        <v>16238469</v>
      </c>
      <c r="E19" s="1688">
        <f>SUM(E4:E18)</f>
        <v>37904414</v>
      </c>
      <c r="F19" s="1688">
        <f>SUM(F4:F18)</f>
        <v>18620890</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I42" sqref="I42:O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4"/>
      <c r="C1" s="721"/>
    </row>
    <row r="2" spans="1:7" ht="33.75" x14ac:dyDescent="0.2">
      <c r="A2" s="2212" t="s">
        <v>1801</v>
      </c>
      <c r="B2" s="2213"/>
      <c r="C2" s="1821" t="s">
        <v>1955</v>
      </c>
      <c r="D2" s="723" t="s">
        <v>1956</v>
      </c>
      <c r="E2" s="723" t="s">
        <v>1957</v>
      </c>
      <c r="F2" s="1821" t="s">
        <v>1958</v>
      </c>
    </row>
    <row r="3" spans="1:7" ht="15.75" customHeight="1" x14ac:dyDescent="0.2">
      <c r="A3" s="2216" t="s">
        <v>1114</v>
      </c>
      <c r="B3" s="2217"/>
      <c r="C3" s="2205"/>
      <c r="D3" s="2206"/>
      <c r="E3" s="2206"/>
      <c r="F3" s="2207"/>
    </row>
    <row r="4" spans="1:7" ht="12.75" customHeight="1" thickBot="1" x14ac:dyDescent="0.25">
      <c r="A4" s="2214" t="s">
        <v>630</v>
      </c>
      <c r="B4" s="2215"/>
      <c r="C4" s="581"/>
      <c r="D4" s="581"/>
      <c r="E4" s="581"/>
      <c r="F4" s="1692">
        <f>SUM(C4+D4)-E4</f>
        <v>0</v>
      </c>
    </row>
    <row r="5" spans="1:7" ht="15.75" customHeight="1" thickTop="1" x14ac:dyDescent="0.2">
      <c r="A5" s="2199" t="s">
        <v>1110</v>
      </c>
      <c r="B5" s="2200"/>
      <c r="C5" s="2208"/>
      <c r="D5" s="2209"/>
      <c r="E5" s="2209"/>
      <c r="F5" s="2210"/>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508</v>
      </c>
      <c r="B8" s="725"/>
      <c r="C8" s="726"/>
      <c r="D8" s="585"/>
      <c r="E8" s="726"/>
      <c r="F8" s="1692">
        <f t="shared" si="0"/>
        <v>0</v>
      </c>
    </row>
    <row r="9" spans="1:7" ht="12.75" customHeight="1" thickTop="1" thickBot="1" x14ac:dyDescent="0.25">
      <c r="A9" s="724" t="s">
        <v>509</v>
      </c>
      <c r="B9" s="725"/>
      <c r="C9" s="726"/>
      <c r="D9" s="585"/>
      <c r="E9" s="726"/>
      <c r="F9" s="1692">
        <f t="shared" si="0"/>
        <v>0</v>
      </c>
    </row>
    <row r="10" spans="1:7" ht="12.75" customHeight="1" thickTop="1" thickBot="1" x14ac:dyDescent="0.25">
      <c r="A10" s="724" t="s">
        <v>510</v>
      </c>
      <c r="B10" s="725"/>
      <c r="C10" s="726"/>
      <c r="D10" s="585"/>
      <c r="E10" s="726"/>
      <c r="F10" s="1692">
        <f t="shared" si="0"/>
        <v>0</v>
      </c>
    </row>
    <row r="11" spans="1:7" ht="12.75" customHeight="1" thickTop="1" thickBot="1" x14ac:dyDescent="0.25">
      <c r="A11" s="724" t="s">
        <v>341</v>
      </c>
      <c r="B11" s="725"/>
      <c r="C11" s="726"/>
      <c r="D11" s="585"/>
      <c r="E11" s="726"/>
      <c r="F11" s="1692">
        <f t="shared" si="0"/>
        <v>0</v>
      </c>
    </row>
    <row r="12" spans="1:7" ht="12.75" customHeight="1" thickTop="1" thickBot="1" x14ac:dyDescent="0.25">
      <c r="A12" s="724" t="s">
        <v>1157</v>
      </c>
      <c r="B12" s="725"/>
      <c r="C12" s="726"/>
      <c r="D12" s="585"/>
      <c r="E12" s="726"/>
      <c r="F12" s="1692">
        <f t="shared" si="0"/>
        <v>0</v>
      </c>
    </row>
    <row r="13" spans="1:7" ht="12.75" customHeight="1" thickTop="1" thickBot="1" x14ac:dyDescent="0.25">
      <c r="A13" s="724" t="s">
        <v>388</v>
      </c>
      <c r="B13" s="725"/>
      <c r="C13" s="726"/>
      <c r="D13" s="585"/>
      <c r="E13" s="726"/>
      <c r="F13" s="1692">
        <f t="shared" si="0"/>
        <v>0</v>
      </c>
    </row>
    <row r="14" spans="1:7" ht="12.75" customHeight="1" thickTop="1" thickBot="1" x14ac:dyDescent="0.25">
      <c r="A14" s="724" t="s">
        <v>448</v>
      </c>
      <c r="B14" s="725"/>
      <c r="C14" s="726"/>
      <c r="D14" s="585"/>
      <c r="E14" s="726"/>
      <c r="F14" s="1692">
        <f t="shared" si="0"/>
        <v>0</v>
      </c>
    </row>
    <row r="15" spans="1:7" ht="14.25" thickTop="1" thickBot="1" x14ac:dyDescent="0.25">
      <c r="A15" s="2201" t="s">
        <v>631</v>
      </c>
      <c r="B15" s="2202"/>
      <c r="C15" s="1692">
        <f>SUM(C6:C14)</f>
        <v>0</v>
      </c>
      <c r="D15" s="1692">
        <f>SUM(D6:D14)</f>
        <v>0</v>
      </c>
      <c r="E15" s="1692">
        <f>SUM(E6:E14)</f>
        <v>0</v>
      </c>
      <c r="F15" s="1692">
        <f>SUM(F6:F14)</f>
        <v>0</v>
      </c>
      <c r="G15" s="552"/>
    </row>
    <row r="16" spans="1:7" s="202" customFormat="1" ht="15.75" customHeight="1" thickTop="1" x14ac:dyDescent="0.2">
      <c r="A16" s="2211" t="s">
        <v>1111</v>
      </c>
      <c r="B16" s="2200"/>
      <c r="C16" s="2208"/>
      <c r="D16" s="2209"/>
      <c r="E16" s="2209"/>
      <c r="F16" s="2210"/>
    </row>
    <row r="17" spans="1:11" ht="12.75" customHeight="1" thickBot="1" x14ac:dyDescent="0.25">
      <c r="A17" s="2224" t="s">
        <v>64</v>
      </c>
      <c r="B17" s="2225"/>
      <c r="C17" s="726"/>
      <c r="D17" s="585"/>
      <c r="E17" s="726"/>
      <c r="F17" s="1692">
        <f>SUM(C17+D17)-E17</f>
        <v>0</v>
      </c>
    </row>
    <row r="18" spans="1:11" ht="12.75" customHeight="1" thickTop="1" thickBot="1" x14ac:dyDescent="0.25">
      <c r="A18" s="2224" t="s">
        <v>6</v>
      </c>
      <c r="B18" s="2225"/>
      <c r="C18" s="726"/>
      <c r="D18" s="585"/>
      <c r="E18" s="726"/>
      <c r="F18" s="1692">
        <f>SUM(C18+D18)-E18</f>
        <v>0</v>
      </c>
    </row>
    <row r="19" spans="1:11" ht="12.75" customHeight="1" thickTop="1" thickBot="1" x14ac:dyDescent="0.25">
      <c r="A19" s="2224" t="s">
        <v>388</v>
      </c>
      <c r="B19" s="2225"/>
      <c r="C19" s="726"/>
      <c r="D19" s="585"/>
      <c r="E19" s="726"/>
      <c r="F19" s="1692">
        <f>SUM(C19+D19)-E19</f>
        <v>0</v>
      </c>
    </row>
    <row r="20" spans="1:11" ht="12.75" customHeight="1" thickTop="1" thickBot="1" x14ac:dyDescent="0.25">
      <c r="A20" s="2224" t="s">
        <v>448</v>
      </c>
      <c r="B20" s="2225"/>
      <c r="C20" s="726"/>
      <c r="D20" s="585"/>
      <c r="E20" s="726"/>
      <c r="F20" s="1692">
        <f>SUM(C20+D20)-E20</f>
        <v>0</v>
      </c>
    </row>
    <row r="21" spans="1:11" ht="14.25" thickTop="1" thickBot="1" x14ac:dyDescent="0.25">
      <c r="A21" s="2201" t="s">
        <v>632</v>
      </c>
      <c r="B21" s="2202"/>
      <c r="C21" s="1692">
        <f>SUM(C17:C20)</f>
        <v>0</v>
      </c>
      <c r="D21" s="1692">
        <f>SUM(D17:D20)</f>
        <v>0</v>
      </c>
      <c r="E21" s="1692">
        <f>SUM(E17:E20)</f>
        <v>0</v>
      </c>
      <c r="F21" s="1692">
        <f>SUM(F17:F20)</f>
        <v>0</v>
      </c>
      <c r="G21" s="552"/>
    </row>
    <row r="22" spans="1:11" ht="15.75" customHeight="1" thickTop="1" x14ac:dyDescent="0.2">
      <c r="A22" s="2226" t="s">
        <v>1112</v>
      </c>
      <c r="B22" s="2200"/>
      <c r="C22" s="2208"/>
      <c r="D22" s="2209"/>
      <c r="E22" s="2209"/>
      <c r="F22" s="2210"/>
    </row>
    <row r="23" spans="1:11" ht="13.5" thickBot="1" x14ac:dyDescent="0.25">
      <c r="A23" s="2214" t="s">
        <v>633</v>
      </c>
      <c r="B23" s="2215"/>
      <c r="C23" s="581"/>
      <c r="D23" s="581"/>
      <c r="E23" s="581"/>
      <c r="F23" s="1692">
        <f>SUM(C23+D23)-E23</f>
        <v>0</v>
      </c>
      <c r="G23" s="552"/>
    </row>
    <row r="24" spans="1:11" ht="15.75" customHeight="1" thickTop="1" x14ac:dyDescent="0.2">
      <c r="A24" s="2226" t="s">
        <v>1113</v>
      </c>
      <c r="B24" s="2200"/>
      <c r="C24" s="2208"/>
      <c r="D24" s="2209"/>
      <c r="E24" s="2209"/>
      <c r="F24" s="2210"/>
    </row>
    <row r="25" spans="1:11" ht="13.5" thickBot="1" x14ac:dyDescent="0.25">
      <c r="A25" s="2214" t="s">
        <v>634</v>
      </c>
      <c r="B25" s="2215"/>
      <c r="C25" s="581"/>
      <c r="D25" s="581"/>
      <c r="E25" s="581"/>
      <c r="F25" s="1692">
        <f>SUM(C25+D25)-E25</f>
        <v>0</v>
      </c>
      <c r="G25" s="552"/>
    </row>
    <row r="26" spans="1:11" ht="15.75" customHeight="1" thickTop="1" x14ac:dyDescent="0.2">
      <c r="A26" s="2199" t="s">
        <v>657</v>
      </c>
      <c r="B26" s="2200"/>
      <c r="C26" s="727"/>
      <c r="D26" s="727"/>
      <c r="E26" s="727"/>
      <c r="F26" s="728"/>
    </row>
    <row r="27" spans="1:11" ht="13.5" thickBot="1" x14ac:dyDescent="0.25">
      <c r="A27" s="2201" t="s">
        <v>1070</v>
      </c>
      <c r="B27" s="2202"/>
      <c r="C27" s="585"/>
      <c r="D27" s="585"/>
      <c r="E27" s="585"/>
      <c r="F27" s="1692">
        <f>SUM(C27+D27)-E27</f>
        <v>0</v>
      </c>
      <c r="G27" s="552"/>
    </row>
    <row r="28" spans="1:11" ht="7.5" customHeight="1" thickTop="1" x14ac:dyDescent="0.2">
      <c r="A28" s="593"/>
    </row>
    <row r="29" spans="1:11" ht="23.25" customHeight="1" x14ac:dyDescent="0.2">
      <c r="A29" s="2227" t="s">
        <v>582</v>
      </c>
      <c r="B29" s="2204"/>
      <c r="C29" s="729"/>
      <c r="D29" s="729"/>
      <c r="E29" s="729"/>
      <c r="F29" s="729"/>
      <c r="G29" s="729"/>
      <c r="H29" s="729"/>
      <c r="I29" s="729"/>
      <c r="J29" s="729"/>
    </row>
    <row r="30" spans="1:11" ht="33.75" x14ac:dyDescent="0.2">
      <c r="A30" s="1467" t="s">
        <v>1071</v>
      </c>
      <c r="B30" s="730" t="s">
        <v>1124</v>
      </c>
      <c r="C30" s="1822" t="s">
        <v>583</v>
      </c>
      <c r="D30" s="1822" t="s">
        <v>1673</v>
      </c>
      <c r="E30" s="1822" t="s">
        <v>1959</v>
      </c>
      <c r="F30" s="1822" t="s">
        <v>1960</v>
      </c>
      <c r="G30" s="1822" t="s">
        <v>1910</v>
      </c>
      <c r="H30" s="1822" t="s">
        <v>1961</v>
      </c>
      <c r="I30" s="1822" t="s">
        <v>1962</v>
      </c>
      <c r="J30" s="1823" t="s">
        <v>2</v>
      </c>
      <c r="K30" s="731"/>
    </row>
    <row r="31" spans="1:11" ht="12" customHeight="1" x14ac:dyDescent="0.2">
      <c r="A31" s="732" t="s">
        <v>2125</v>
      </c>
      <c r="B31" s="733">
        <v>43249</v>
      </c>
      <c r="C31" s="734">
        <v>432720</v>
      </c>
      <c r="D31" s="735">
        <v>7</v>
      </c>
      <c r="E31" s="734">
        <v>432720</v>
      </c>
      <c r="F31" s="734"/>
      <c r="G31" s="734"/>
      <c r="H31" s="734">
        <v>86544</v>
      </c>
      <c r="I31" s="1693">
        <f>((E31+F31)-H31)+G31</f>
        <v>346176</v>
      </c>
      <c r="J31" s="734">
        <f>I31-'Acct Summary 7-8'!E81</f>
        <v>328413</v>
      </c>
      <c r="K31" s="736"/>
    </row>
    <row r="32" spans="1:11" ht="12" customHeight="1" x14ac:dyDescent="0.2">
      <c r="A32" s="732"/>
      <c r="B32" s="733"/>
      <c r="C32" s="734"/>
      <c r="D32" s="735"/>
      <c r="E32" s="734"/>
      <c r="F32" s="734"/>
      <c r="G32" s="734"/>
      <c r="H32" s="734"/>
      <c r="I32" s="1693">
        <f>((E32+F32)-H32)+G32</f>
        <v>0</v>
      </c>
      <c r="J32" s="734"/>
      <c r="K32" s="736"/>
    </row>
    <row r="33" spans="1:11" ht="12" customHeight="1" x14ac:dyDescent="0.2">
      <c r="A33" s="732"/>
      <c r="B33" s="733"/>
      <c r="C33" s="734"/>
      <c r="D33" s="735"/>
      <c r="E33" s="734"/>
      <c r="F33" s="734"/>
      <c r="G33" s="734"/>
      <c r="H33" s="734"/>
      <c r="I33" s="1693">
        <f t="shared" ref="I33:I48" si="1">((E33+F33)-H33)+G33</f>
        <v>0</v>
      </c>
      <c r="J33" s="734"/>
      <c r="K33" s="736"/>
    </row>
    <row r="34" spans="1:11" ht="12" customHeight="1" x14ac:dyDescent="0.2">
      <c r="A34" s="732"/>
      <c r="B34" s="733"/>
      <c r="C34" s="734"/>
      <c r="D34" s="735"/>
      <c r="E34" s="734"/>
      <c r="F34" s="734"/>
      <c r="G34" s="734"/>
      <c r="H34" s="734"/>
      <c r="I34" s="1693">
        <f t="shared" si="1"/>
        <v>0</v>
      </c>
      <c r="J34" s="734"/>
      <c r="K34" s="737"/>
    </row>
    <row r="35" spans="1:11" ht="12" customHeight="1" x14ac:dyDescent="0.2">
      <c r="A35" s="732"/>
      <c r="B35" s="733"/>
      <c r="C35" s="738"/>
      <c r="D35" s="735"/>
      <c r="E35" s="738"/>
      <c r="F35" s="738"/>
      <c r="G35" s="738"/>
      <c r="H35" s="738"/>
      <c r="I35" s="1693">
        <f t="shared" si="1"/>
        <v>0</v>
      </c>
      <c r="J35" s="738"/>
      <c r="K35" s="737"/>
    </row>
    <row r="36" spans="1:11" ht="12" customHeight="1" x14ac:dyDescent="0.2">
      <c r="A36" s="732"/>
      <c r="B36" s="733"/>
      <c r="C36" s="734"/>
      <c r="D36" s="735"/>
      <c r="E36" s="734"/>
      <c r="F36" s="734"/>
      <c r="G36" s="734"/>
      <c r="H36" s="734"/>
      <c r="I36" s="1693">
        <f t="shared" si="1"/>
        <v>0</v>
      </c>
      <c r="J36" s="734"/>
      <c r="K36" s="739"/>
    </row>
    <row r="37" spans="1:11" ht="12" customHeight="1" x14ac:dyDescent="0.2">
      <c r="A37" s="732"/>
      <c r="B37" s="733"/>
      <c r="C37" s="467"/>
      <c r="D37" s="740"/>
      <c r="E37" s="467"/>
      <c r="F37" s="467"/>
      <c r="G37" s="467"/>
      <c r="H37" s="467"/>
      <c r="I37" s="1693">
        <f t="shared" si="1"/>
        <v>0</v>
      </c>
      <c r="J37" s="467"/>
      <c r="K37" s="737"/>
    </row>
    <row r="38" spans="1:11" ht="12" customHeight="1" x14ac:dyDescent="0.2">
      <c r="A38" s="732"/>
      <c r="B38" s="733"/>
      <c r="C38" s="734"/>
      <c r="D38" s="741"/>
      <c r="E38" s="742"/>
      <c r="F38" s="742"/>
      <c r="G38" s="742"/>
      <c r="H38" s="742"/>
      <c r="I38" s="1693">
        <f t="shared" si="1"/>
        <v>0</v>
      </c>
      <c r="J38" s="743" t="s">
        <v>264</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432720</v>
      </c>
      <c r="D49" s="745"/>
      <c r="E49" s="1693">
        <f t="shared" ref="E49:J49" si="2">SUM(E31:E48)</f>
        <v>432720</v>
      </c>
      <c r="F49" s="1693">
        <f t="shared" si="2"/>
        <v>0</v>
      </c>
      <c r="G49" s="1693">
        <f t="shared" si="2"/>
        <v>0</v>
      </c>
      <c r="H49" s="1693">
        <f t="shared" si="2"/>
        <v>86544</v>
      </c>
      <c r="I49" s="1693">
        <f t="shared" si="2"/>
        <v>346176</v>
      </c>
      <c r="J49" s="1693">
        <f t="shared" si="2"/>
        <v>328413</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t="s">
        <v>2126</v>
      </c>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I42" sqref="I42:O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856</v>
      </c>
      <c r="B1" s="2253"/>
      <c r="C1" s="2253"/>
      <c r="D1" s="2253"/>
      <c r="E1" s="2253"/>
      <c r="F1" s="2253"/>
      <c r="G1" s="2254"/>
      <c r="H1" s="1468"/>
      <c r="I1" s="760"/>
      <c r="J1" s="433"/>
    </row>
    <row r="2" spans="1:11" ht="26.25" x14ac:dyDescent="0.2">
      <c r="A2" s="2231" t="s">
        <v>1677</v>
      </c>
      <c r="B2" s="2232"/>
      <c r="C2" s="2232"/>
      <c r="D2" s="2232"/>
      <c r="E2" s="2233"/>
      <c r="F2" s="761" t="s">
        <v>904</v>
      </c>
      <c r="G2" s="762" t="s">
        <v>1674</v>
      </c>
      <c r="H2" s="762" t="s">
        <v>410</v>
      </c>
      <c r="I2" s="762" t="s">
        <v>1158</v>
      </c>
      <c r="J2" s="762" t="s">
        <v>1811</v>
      </c>
      <c r="K2" s="762" t="s">
        <v>138</v>
      </c>
    </row>
    <row r="3" spans="1:11" x14ac:dyDescent="0.2">
      <c r="A3" s="2234" t="s">
        <v>1963</v>
      </c>
      <c r="B3" s="2235"/>
      <c r="C3" s="2235"/>
      <c r="D3" s="2235"/>
      <c r="E3" s="2236"/>
      <c r="F3" s="763"/>
      <c r="G3" s="764"/>
      <c r="H3" s="764"/>
      <c r="I3" s="764"/>
      <c r="J3" s="765"/>
      <c r="K3" s="765"/>
    </row>
    <row r="4" spans="1:11" x14ac:dyDescent="0.2">
      <c r="A4" s="2237" t="s">
        <v>369</v>
      </c>
      <c r="B4" s="2238"/>
      <c r="C4" s="2238"/>
      <c r="D4" s="2238"/>
      <c r="E4" s="2219"/>
      <c r="F4" s="766"/>
      <c r="G4" s="767"/>
      <c r="H4" s="768"/>
      <c r="I4" s="767"/>
      <c r="J4" s="769"/>
      <c r="K4" s="769"/>
    </row>
    <row r="5" spans="1:11" x14ac:dyDescent="0.2">
      <c r="A5" s="2255" t="s">
        <v>1069</v>
      </c>
      <c r="B5" s="2228"/>
      <c r="C5" s="2228"/>
      <c r="D5" s="2228"/>
      <c r="E5" s="2256"/>
      <c r="F5" s="770" t="s">
        <v>848</v>
      </c>
      <c r="G5" s="771"/>
      <c r="H5" s="764">
        <v>1375712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5" t="s">
        <v>1812</v>
      </c>
      <c r="B10" s="2228"/>
      <c r="C10" s="2228"/>
      <c r="D10" s="2228"/>
      <c r="E10" s="2257"/>
      <c r="F10" s="783" t="s">
        <v>862</v>
      </c>
      <c r="G10" s="782"/>
      <c r="H10" s="784"/>
      <c r="I10" s="764"/>
      <c r="J10" s="765"/>
      <c r="K10" s="765"/>
    </row>
    <row r="11" spans="1:11" x14ac:dyDescent="0.2">
      <c r="A11" s="2255" t="s">
        <v>160</v>
      </c>
      <c r="B11" s="2228"/>
      <c r="C11" s="2228"/>
      <c r="D11" s="2228"/>
      <c r="E11" s="2256"/>
      <c r="F11" s="770" t="s">
        <v>852</v>
      </c>
      <c r="G11" s="771"/>
      <c r="H11" s="764"/>
      <c r="I11" s="764"/>
      <c r="J11" s="765"/>
      <c r="K11" s="773"/>
    </row>
    <row r="12" spans="1:11" ht="13.5" thickBot="1" x14ac:dyDescent="0.25">
      <c r="A12" s="2245" t="s">
        <v>905</v>
      </c>
      <c r="B12" s="2246"/>
      <c r="C12" s="2246"/>
      <c r="D12" s="2246"/>
      <c r="E12" s="2247"/>
      <c r="F12" s="1694"/>
      <c r="G12" s="1695">
        <f>SUM(G5:G11)</f>
        <v>0</v>
      </c>
      <c r="H12" s="1695">
        <f>SUM(H5:H11)</f>
        <v>1375712</v>
      </c>
      <c r="I12" s="1695">
        <f>SUM(I5:I11)</f>
        <v>0</v>
      </c>
      <c r="J12" s="1695">
        <f>SUM(J5:J11)</f>
        <v>0</v>
      </c>
      <c r="K12" s="1695">
        <f>SUM(K5:K11)</f>
        <v>0</v>
      </c>
    </row>
    <row r="13" spans="1:11" ht="13.5" thickTop="1" x14ac:dyDescent="0.2">
      <c r="A13" s="2239" t="s">
        <v>370</v>
      </c>
      <c r="B13" s="2240"/>
      <c r="C13" s="2240"/>
      <c r="D13" s="2240"/>
      <c r="E13" s="2241"/>
      <c r="F13" s="785"/>
      <c r="G13" s="786"/>
      <c r="H13" s="787"/>
      <c r="I13" s="788"/>
      <c r="J13" s="788"/>
      <c r="K13" s="788"/>
    </row>
    <row r="14" spans="1:11" x14ac:dyDescent="0.2">
      <c r="A14" s="2261" t="s">
        <v>456</v>
      </c>
      <c r="B14" s="2261"/>
      <c r="C14" s="2261"/>
      <c r="D14" s="2261"/>
      <c r="E14" s="2262"/>
      <c r="F14" s="789" t="s">
        <v>854</v>
      </c>
      <c r="G14" s="782"/>
      <c r="H14" s="764">
        <v>1375712</v>
      </c>
      <c r="I14" s="771"/>
      <c r="J14" s="773"/>
      <c r="K14" s="765"/>
    </row>
    <row r="15" spans="1:11" x14ac:dyDescent="0.2">
      <c r="A15" s="2228" t="s">
        <v>4</v>
      </c>
      <c r="B15" s="2228"/>
      <c r="C15" s="2228"/>
      <c r="D15" s="2228"/>
      <c r="E15" s="2256"/>
      <c r="F15" s="789" t="s">
        <v>855</v>
      </c>
      <c r="G15" s="771"/>
      <c r="H15" s="764"/>
      <c r="I15" s="764"/>
      <c r="J15" s="765"/>
      <c r="K15" s="765"/>
    </row>
    <row r="16" spans="1:11" x14ac:dyDescent="0.2">
      <c r="A16" s="2228" t="s">
        <v>298</v>
      </c>
      <c r="B16" s="2228"/>
      <c r="C16" s="2228"/>
      <c r="D16" s="2228"/>
      <c r="E16" s="2256"/>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63" t="s">
        <v>1808</v>
      </c>
      <c r="B19" s="2263"/>
      <c r="C19" s="2263"/>
      <c r="D19" s="2263"/>
      <c r="E19" s="2264"/>
      <c r="F19" s="789" t="s">
        <v>933</v>
      </c>
      <c r="G19" s="782"/>
      <c r="H19" s="782"/>
      <c r="I19" s="782"/>
      <c r="J19" s="765"/>
      <c r="K19" s="795"/>
    </row>
    <row r="20" spans="1:11" x14ac:dyDescent="0.2">
      <c r="A20" s="2242" t="s">
        <v>1813</v>
      </c>
      <c r="B20" s="2243"/>
      <c r="C20" s="2243"/>
      <c r="D20" s="2243"/>
      <c r="E20" s="2244"/>
      <c r="F20" s="789" t="s">
        <v>934</v>
      </c>
      <c r="G20" s="782"/>
      <c r="H20" s="782"/>
      <c r="I20" s="782"/>
      <c r="J20" s="765"/>
      <c r="K20" s="795"/>
    </row>
    <row r="21" spans="1:11" ht="13.5" thickBot="1" x14ac:dyDescent="0.25">
      <c r="A21" s="2248" t="s">
        <v>638</v>
      </c>
      <c r="B21" s="2248"/>
      <c r="C21" s="2248"/>
      <c r="D21" s="2248"/>
      <c r="E21" s="2248"/>
      <c r="F21" s="1696"/>
      <c r="G21" s="792"/>
      <c r="H21" s="796"/>
      <c r="I21" s="796"/>
      <c r="J21" s="1697">
        <f>SUM(J18:J20)</f>
        <v>0</v>
      </c>
      <c r="K21" s="793"/>
    </row>
    <row r="22" spans="1:11" ht="13.5" thickTop="1" x14ac:dyDescent="0.2">
      <c r="A22" s="2228" t="s">
        <v>1814</v>
      </c>
      <c r="B22" s="2228"/>
      <c r="C22" s="2228"/>
      <c r="D22" s="2228"/>
      <c r="E22" s="2256"/>
      <c r="F22" s="789" t="s">
        <v>862</v>
      </c>
      <c r="G22" s="782"/>
      <c r="H22" s="764"/>
      <c r="I22" s="764"/>
      <c r="J22" s="797"/>
      <c r="K22" s="765"/>
    </row>
    <row r="23" spans="1:11" ht="13.5" thickBot="1" x14ac:dyDescent="0.25">
      <c r="A23" s="2249" t="s">
        <v>906</v>
      </c>
      <c r="B23" s="2248"/>
      <c r="C23" s="2248"/>
      <c r="D23" s="2248"/>
      <c r="E23" s="2248"/>
      <c r="F23" s="1698"/>
      <c r="G23" s="1695">
        <f>SUM(G14:G16,G21,G22)</f>
        <v>0</v>
      </c>
      <c r="H23" s="1695">
        <f>SUM(H14:H16,H21,H22)</f>
        <v>1375712</v>
      </c>
      <c r="I23" s="1695">
        <f>SUM(I14:I16,I21,I22)</f>
        <v>0</v>
      </c>
      <c r="J23" s="1695">
        <f>SUM(J14:J16,J21,J22)</f>
        <v>0</v>
      </c>
      <c r="K23" s="1695">
        <f>SUM(K14:K16,K21,K22)</f>
        <v>0</v>
      </c>
    </row>
    <row r="24" spans="1:11" ht="14.25" thickTop="1" thickBot="1" x14ac:dyDescent="0.25">
      <c r="A24" s="2249" t="s">
        <v>1964</v>
      </c>
      <c r="B24" s="2248"/>
      <c r="C24" s="2248"/>
      <c r="D24" s="2248"/>
      <c r="E24" s="2248"/>
      <c r="F24" s="1699"/>
      <c r="G24" s="1700">
        <f>SUM(G3,G12)-G23</f>
        <v>0</v>
      </c>
      <c r="H24" s="1700">
        <f>SUM(H3,H12)-H23</f>
        <v>0</v>
      </c>
      <c r="I24" s="1700">
        <f>SUM(I3,I12)-I23</f>
        <v>0</v>
      </c>
      <c r="J24" s="1700">
        <f>SUM(J3,J12)-J23</f>
        <v>0</v>
      </c>
      <c r="K24" s="170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1909</v>
      </c>
      <c r="B28" s="1818"/>
      <c r="C28" s="1818"/>
      <c r="D28" s="1818"/>
      <c r="E28" s="181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8"/>
      <c r="I31" s="2259"/>
      <c r="J31" s="2259"/>
      <c r="K31" s="2259"/>
    </row>
    <row r="32" spans="1:11" x14ac:dyDescent="0.2">
      <c r="A32" s="809"/>
      <c r="B32" s="237"/>
      <c r="C32" s="237"/>
      <c r="D32" s="237"/>
      <c r="E32" s="805"/>
      <c r="F32" s="811" t="s">
        <v>540</v>
      </c>
      <c r="G32" s="764"/>
      <c r="H32" s="2260"/>
      <c r="I32" s="2259"/>
      <c r="J32" s="2259"/>
      <c r="K32" s="2259"/>
    </row>
    <row r="33" spans="1:11" ht="1.5" customHeight="1" x14ac:dyDescent="0.2">
      <c r="A33" s="812" t="s">
        <v>1169</v>
      </c>
      <c r="B33" s="364"/>
      <c r="C33" s="364"/>
      <c r="D33" s="364"/>
      <c r="E33" s="364"/>
      <c r="F33" s="364"/>
      <c r="G33" s="813"/>
      <c r="H33" s="2260"/>
      <c r="I33" s="2259"/>
      <c r="J33" s="2259"/>
      <c r="K33" s="2259"/>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9" t="s">
        <v>1809</v>
      </c>
      <c r="B46" s="408" t="s">
        <v>1675</v>
      </c>
    </row>
    <row r="47" spans="1:11" s="823" customFormat="1" ht="12.75" customHeight="1" x14ac:dyDescent="0.2">
      <c r="A47" s="821"/>
      <c r="B47" s="822" t="s">
        <v>1676</v>
      </c>
      <c r="E47" s="822"/>
      <c r="K47" s="824"/>
    </row>
    <row r="48" spans="1:11" ht="12.75" customHeight="1" x14ac:dyDescent="0.2">
      <c r="A48" s="1470" t="s">
        <v>1810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42" sqref="I42:O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1908</v>
      </c>
      <c r="B1" s="2268"/>
      <c r="C1" s="2269"/>
      <c r="D1" s="826"/>
      <c r="E1" s="827"/>
      <c r="F1" s="827"/>
      <c r="G1" s="828"/>
      <c r="H1" s="829"/>
      <c r="I1" s="830"/>
      <c r="J1" s="2265"/>
      <c r="K1" s="2266"/>
      <c r="L1" s="2266"/>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567" t="s">
        <v>892</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893</v>
      </c>
      <c r="B5" s="840">
        <v>221</v>
      </c>
      <c r="C5" s="841">
        <v>168728</v>
      </c>
      <c r="D5" s="841"/>
      <c r="E5" s="841"/>
      <c r="F5" s="1697">
        <f>(C5+D5)-E5</f>
        <v>168728</v>
      </c>
      <c r="G5" s="837"/>
      <c r="H5" s="842"/>
      <c r="I5" s="842"/>
      <c r="J5" s="842"/>
      <c r="K5" s="793"/>
      <c r="L5" s="1706">
        <f>F5-K5</f>
        <v>168728</v>
      </c>
    </row>
    <row r="6" spans="1:14" ht="14.25" thickTop="1" thickBot="1" x14ac:dyDescent="0.25">
      <c r="A6" s="778" t="s">
        <v>1117</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1118</v>
      </c>
      <c r="B8" s="840">
        <v>231</v>
      </c>
      <c r="C8" s="844">
        <v>34135363</v>
      </c>
      <c r="D8" s="844">
        <v>2752669</v>
      </c>
      <c r="E8" s="844"/>
      <c r="F8" s="1697">
        <f>(C8+D8)-E8</f>
        <v>36888032</v>
      </c>
      <c r="G8" s="843">
        <v>50</v>
      </c>
      <c r="H8" s="765">
        <v>10915348</v>
      </c>
      <c r="I8" s="765">
        <v>983879</v>
      </c>
      <c r="J8" s="765"/>
      <c r="K8" s="1706">
        <f>(H8+I8)-J8</f>
        <v>11899227</v>
      </c>
      <c r="L8" s="1706">
        <f>F8-K8</f>
        <v>24988805</v>
      </c>
    </row>
    <row r="9" spans="1:14" ht="14.25" thickTop="1" thickBot="1" x14ac:dyDescent="0.25">
      <c r="A9" s="778" t="s">
        <v>1119</v>
      </c>
      <c r="B9" s="840">
        <v>232</v>
      </c>
      <c r="C9" s="765"/>
      <c r="D9" s="765"/>
      <c r="E9" s="765"/>
      <c r="F9" s="1697">
        <f>(C9+D9)-E9</f>
        <v>0</v>
      </c>
      <c r="G9" s="843">
        <v>20</v>
      </c>
      <c r="H9" s="765"/>
      <c r="I9" s="765"/>
      <c r="J9" s="765"/>
      <c r="K9" s="1706">
        <f>(H9+I9)-J9</f>
        <v>0</v>
      </c>
      <c r="L9" s="1706">
        <f>F9-K9</f>
        <v>0</v>
      </c>
    </row>
    <row r="10" spans="1:14" ht="24" thickTop="1" thickBot="1" x14ac:dyDescent="0.25">
      <c r="A10" s="845" t="s">
        <v>1120</v>
      </c>
      <c r="B10" s="840">
        <v>240</v>
      </c>
      <c r="C10" s="846"/>
      <c r="D10" s="846"/>
      <c r="E10" s="846"/>
      <c r="F10" s="1701">
        <f>(C10+D10)-E10</f>
        <v>0</v>
      </c>
      <c r="G10" s="843">
        <v>20</v>
      </c>
      <c r="H10" s="847"/>
      <c r="I10" s="847"/>
      <c r="J10" s="847"/>
      <c r="K10" s="1706">
        <f>(H10+I10)-J10</f>
        <v>0</v>
      </c>
      <c r="L10" s="1706">
        <f>F10-K10</f>
        <v>0</v>
      </c>
    </row>
    <row r="11" spans="1:14" ht="13.5" thickTop="1" x14ac:dyDescent="0.2">
      <c r="A11" s="1570" t="s">
        <v>1136</v>
      </c>
      <c r="B11" s="1568">
        <v>250</v>
      </c>
      <c r="C11" s="781"/>
      <c r="D11" s="781"/>
      <c r="E11" s="781"/>
      <c r="F11" s="773"/>
      <c r="G11" s="843"/>
      <c r="H11" s="781"/>
      <c r="I11" s="781"/>
      <c r="J11" s="781"/>
      <c r="K11" s="773"/>
      <c r="L11" s="773"/>
    </row>
    <row r="12" spans="1:14" ht="13.5" thickBot="1" x14ac:dyDescent="0.25">
      <c r="A12" s="848" t="s">
        <v>1121</v>
      </c>
      <c r="B12" s="840">
        <v>251</v>
      </c>
      <c r="C12" s="844">
        <v>2227286</v>
      </c>
      <c r="D12" s="844">
        <v>281912</v>
      </c>
      <c r="E12" s="844"/>
      <c r="F12" s="1697">
        <f>(C12+D12)-E12</f>
        <v>2509198</v>
      </c>
      <c r="G12" s="843">
        <v>10</v>
      </c>
      <c r="H12" s="765">
        <v>773461</v>
      </c>
      <c r="I12" s="765">
        <v>178297</v>
      </c>
      <c r="J12" s="765"/>
      <c r="K12" s="1706">
        <f>(H12+I12)-J12</f>
        <v>951758</v>
      </c>
      <c r="L12" s="1706">
        <f>F12-K12</f>
        <v>1557440</v>
      </c>
    </row>
    <row r="13" spans="1:14" ht="14.25" thickTop="1" thickBot="1" x14ac:dyDescent="0.25">
      <c r="A13" s="848" t="s">
        <v>1122</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528</v>
      </c>
      <c r="B15" s="1568">
        <v>260</v>
      </c>
      <c r="C15" s="844">
        <v>71915</v>
      </c>
      <c r="D15" s="844">
        <v>2068234</v>
      </c>
      <c r="E15" s="844">
        <v>71915</v>
      </c>
      <c r="F15" s="1697">
        <f>(C15+D15)-E15</f>
        <v>2068234</v>
      </c>
      <c r="G15" s="849" t="s">
        <v>862</v>
      </c>
      <c r="H15" s="781"/>
      <c r="I15" s="781"/>
      <c r="J15" s="781"/>
      <c r="K15" s="781"/>
      <c r="L15" s="1706">
        <f>F15-K15</f>
        <v>2068234</v>
      </c>
    </row>
    <row r="16" spans="1:14" ht="15" customHeight="1" thickTop="1" thickBot="1" x14ac:dyDescent="0.25">
      <c r="A16" s="1702" t="s">
        <v>643</v>
      </c>
      <c r="B16" s="1703">
        <v>200</v>
      </c>
      <c r="C16" s="1697">
        <f>SUM(C3,C5:C6,C8:C10,C12:C15)</f>
        <v>36603292</v>
      </c>
      <c r="D16" s="1697">
        <f>SUM(D3,D5:D6,D8:D10,D12:D15)</f>
        <v>5102815</v>
      </c>
      <c r="E16" s="1697">
        <f>SUM(E3,E5:E6,E8:E10,E12:E15)</f>
        <v>71915</v>
      </c>
      <c r="F16" s="1697">
        <f>SUM(F3,F5:F6,F8:F10,F12:F15)</f>
        <v>41634192</v>
      </c>
      <c r="G16" s="843"/>
      <c r="H16" s="1697">
        <f>SUM(H3,H6,H8:H10,H12:H14,)</f>
        <v>11688809</v>
      </c>
      <c r="I16" s="1697">
        <f>SUM(I3,I6,I8:I10,I12:I14,)</f>
        <v>1162176</v>
      </c>
      <c r="J16" s="1697">
        <f>SUM(J3,J6,J8:J10,J12:J14,)</f>
        <v>0</v>
      </c>
      <c r="K16" s="1697">
        <f>(H16+I16)-J16</f>
        <v>12850985</v>
      </c>
      <c r="L16" s="1697">
        <f>F16-K16</f>
        <v>28783207</v>
      </c>
    </row>
    <row r="17" spans="1:12" ht="15" customHeight="1" thickTop="1" thickBot="1" x14ac:dyDescent="0.25">
      <c r="A17" s="1571" t="s">
        <v>291</v>
      </c>
      <c r="B17" s="1568">
        <v>700</v>
      </c>
      <c r="C17" s="769"/>
      <c r="D17" s="769"/>
      <c r="E17" s="769"/>
      <c r="F17" s="1697">
        <f>SUM('Expenditures 15-22'!I114,'Expenditures 15-22'!I151,'Expenditures 15-22'!I210,'Expenditures 15-22'!I312,'Expenditures 15-22'!I342,'Expenditures 15-22'!I367)</f>
        <v>333649</v>
      </c>
      <c r="G17" s="837">
        <v>10</v>
      </c>
      <c r="H17" s="769"/>
      <c r="I17" s="1706">
        <f>F17/G17</f>
        <v>33364.9</v>
      </c>
      <c r="J17" s="769"/>
      <c r="K17" s="795"/>
      <c r="L17" s="795"/>
    </row>
    <row r="18" spans="1:12" ht="14.25" thickTop="1" thickBot="1" x14ac:dyDescent="0.25">
      <c r="A18" s="1704" t="s">
        <v>685</v>
      </c>
      <c r="B18" s="1705"/>
      <c r="C18" s="771"/>
      <c r="D18" s="771"/>
      <c r="E18" s="771"/>
      <c r="F18" s="850"/>
      <c r="G18" s="851"/>
      <c r="H18" s="773"/>
      <c r="I18" s="1697">
        <f>SUM(I16,I17)</f>
        <v>1195540.8999999999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I42" sqref="I42:O42"/>
      <selection pane="bottomLeft" activeCell="I42" sqref="I42:O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1974</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45">
        <f>'Expenditures 15-22'!K114</f>
        <v>35659879</v>
      </c>
      <c r="G8" s="865"/>
    </row>
    <row r="9" spans="1:7" x14ac:dyDescent="0.2">
      <c r="A9" s="869" t="s">
        <v>460</v>
      </c>
      <c r="B9" s="870" t="s">
        <v>1876</v>
      </c>
      <c r="C9" s="871"/>
      <c r="D9" s="869" t="s">
        <v>501</v>
      </c>
      <c r="E9" s="868"/>
      <c r="F9" s="1846">
        <f>'Expenditures 15-22'!K151</f>
        <v>2898047</v>
      </c>
      <c r="G9" s="872"/>
    </row>
    <row r="10" spans="1:7" x14ac:dyDescent="0.2">
      <c r="A10" s="869" t="s">
        <v>499</v>
      </c>
      <c r="B10" s="870" t="s">
        <v>1877</v>
      </c>
      <c r="C10" s="871"/>
      <c r="D10" s="869" t="s">
        <v>501</v>
      </c>
      <c r="E10" s="868"/>
      <c r="F10" s="1846">
        <f>'Expenditures 15-22'!K174</f>
        <v>86544</v>
      </c>
      <c r="G10" s="872"/>
    </row>
    <row r="11" spans="1:7" x14ac:dyDescent="0.2">
      <c r="A11" s="869" t="s">
        <v>461</v>
      </c>
      <c r="B11" s="870" t="s">
        <v>1878</v>
      </c>
      <c r="C11" s="871"/>
      <c r="D11" s="869" t="s">
        <v>501</v>
      </c>
      <c r="E11" s="868"/>
      <c r="F11" s="1846">
        <f>'Expenditures 15-22'!K210</f>
        <v>2489335</v>
      </c>
      <c r="G11" s="872"/>
    </row>
    <row r="12" spans="1:7" x14ac:dyDescent="0.2">
      <c r="A12" s="869" t="s">
        <v>462</v>
      </c>
      <c r="B12" s="870" t="s">
        <v>1879</v>
      </c>
      <c r="C12" s="871"/>
      <c r="D12" s="869" t="s">
        <v>501</v>
      </c>
      <c r="E12" s="868"/>
      <c r="F12" s="1846">
        <f>'Expenditures 15-22'!K295</f>
        <v>1523343</v>
      </c>
      <c r="G12" s="872"/>
    </row>
    <row r="13" spans="1:7" x14ac:dyDescent="0.2">
      <c r="A13" s="869" t="s">
        <v>106</v>
      </c>
      <c r="B13" s="870" t="s">
        <v>1880</v>
      </c>
      <c r="C13" s="871"/>
      <c r="D13" s="869" t="s">
        <v>501</v>
      </c>
      <c r="E13" s="868"/>
      <c r="F13" s="1846">
        <f>'Expenditures 15-22'!K342</f>
        <v>261475</v>
      </c>
      <c r="G13" s="873"/>
    </row>
    <row r="14" spans="1:7" ht="12" customHeight="1" thickBot="1" x14ac:dyDescent="0.25">
      <c r="A14" s="1707"/>
      <c r="B14" s="1708"/>
      <c r="C14" s="1709"/>
      <c r="D14" s="1710" t="s">
        <v>501</v>
      </c>
      <c r="E14" s="1711" t="s">
        <v>958</v>
      </c>
      <c r="F14" s="1712">
        <f>SUM(F8:F13)</f>
        <v>42918623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7">
        <f>'Revenues 9-14'!F43</f>
        <v>118139</v>
      </c>
      <c r="G18" s="865"/>
    </row>
    <row r="19" spans="1:7" x14ac:dyDescent="0.2">
      <c r="A19" s="869" t="s">
        <v>461</v>
      </c>
      <c r="B19" s="870" t="s">
        <v>1011</v>
      </c>
      <c r="C19" s="877">
        <f>'Revenues 9-14'!B47</f>
        <v>1421</v>
      </c>
      <c r="D19" s="878" t="str">
        <f>'Revenues 9-14'!A47</f>
        <v>Summer Sch - Transp. Fees from Pupils or Parents (In State)</v>
      </c>
      <c r="E19" s="879"/>
      <c r="F19" s="1848">
        <f>'Revenues 9-14'!F47</f>
        <v>0</v>
      </c>
      <c r="G19" s="865"/>
    </row>
    <row r="20" spans="1:7" x14ac:dyDescent="0.2">
      <c r="A20" s="869" t="s">
        <v>461</v>
      </c>
      <c r="B20" s="870" t="s">
        <v>1012</v>
      </c>
      <c r="C20" s="875">
        <f>'Revenues 9-14'!B48</f>
        <v>1422</v>
      </c>
      <c r="D20" s="876" t="str">
        <f>'Revenues 9-14'!A48</f>
        <v>Summer Sch - Transp. Fees from Other Districts (In State)</v>
      </c>
      <c r="E20" s="868"/>
      <c r="F20" s="1849">
        <f>'Revenues 9-14'!F48</f>
        <v>0</v>
      </c>
      <c r="G20" s="865"/>
    </row>
    <row r="21" spans="1:7" x14ac:dyDescent="0.2">
      <c r="A21" s="869" t="s">
        <v>461</v>
      </c>
      <c r="B21" s="870" t="s">
        <v>1013</v>
      </c>
      <c r="C21" s="877">
        <f>'Revenues 9-14'!B49</f>
        <v>1423</v>
      </c>
      <c r="D21" s="876" t="str">
        <f>'Revenues 9-14'!A49</f>
        <v>Summer Sch - Transp. Fees from Other Sources (In State)</v>
      </c>
      <c r="E21" s="868"/>
      <c r="F21" s="1850">
        <f>'Revenues 9-14'!F49</f>
        <v>0</v>
      </c>
      <c r="G21" s="865"/>
    </row>
    <row r="22" spans="1:7" x14ac:dyDescent="0.2">
      <c r="A22" s="869" t="s">
        <v>461</v>
      </c>
      <c r="B22" s="870" t="s">
        <v>1014</v>
      </c>
      <c r="C22" s="877">
        <f>'Revenues 9-14'!B50</f>
        <v>1424</v>
      </c>
      <c r="D22" s="876" t="str">
        <f>'Revenues 9-14'!A50</f>
        <v>Summer Sch - Transp. Fees from Other Sources (Out of State)</v>
      </c>
      <c r="E22" s="868"/>
      <c r="F22" s="1850">
        <f>'Revenues 9-14'!F50</f>
        <v>0</v>
      </c>
      <c r="G22" s="865"/>
    </row>
    <row r="23" spans="1:7" x14ac:dyDescent="0.2">
      <c r="A23" s="869" t="s">
        <v>461</v>
      </c>
      <c r="B23" s="870" t="s">
        <v>1015</v>
      </c>
      <c r="C23" s="875">
        <f>'Revenues 9-14'!B52</f>
        <v>1432</v>
      </c>
      <c r="D23" s="876" t="str">
        <f>'Revenues 9-14'!A52</f>
        <v>CTE - Transp Fees from Other Districts (In State)</v>
      </c>
      <c r="E23" s="868"/>
      <c r="F23" s="1850">
        <f>'Revenues 9-14'!F52</f>
        <v>0</v>
      </c>
      <c r="G23" s="865"/>
    </row>
    <row r="24" spans="1:7" x14ac:dyDescent="0.2">
      <c r="A24" s="869" t="s">
        <v>461</v>
      </c>
      <c r="B24" s="870" t="s">
        <v>1016</v>
      </c>
      <c r="C24" s="875">
        <f>'Revenues 9-14'!B56</f>
        <v>1442</v>
      </c>
      <c r="D24" s="876" t="str">
        <f>'Revenues 9-14'!A56</f>
        <v>Special Ed - Transp Fees from Other Districts (In State)</v>
      </c>
      <c r="E24" s="868"/>
      <c r="F24" s="1850">
        <f>'Revenues 9-14'!F56</f>
        <v>0</v>
      </c>
      <c r="G24" s="865"/>
    </row>
    <row r="25" spans="1:7" x14ac:dyDescent="0.2">
      <c r="A25" s="869" t="s">
        <v>461</v>
      </c>
      <c r="B25" s="870" t="s">
        <v>1017</v>
      </c>
      <c r="C25" s="875">
        <f>'Revenues 9-14'!B59</f>
        <v>1451</v>
      </c>
      <c r="D25" s="876" t="str">
        <f>'Revenues 9-14'!A59</f>
        <v>Adult - Transp Fees from Pupils or Parents (In State)</v>
      </c>
      <c r="E25" s="868"/>
      <c r="F25" s="1850">
        <f>'Revenues 9-14'!F59</f>
        <v>0</v>
      </c>
      <c r="G25" s="865"/>
    </row>
    <row r="26" spans="1:7" x14ac:dyDescent="0.2">
      <c r="A26" s="869" t="s">
        <v>461</v>
      </c>
      <c r="B26" s="870" t="s">
        <v>1018</v>
      </c>
      <c r="C26" s="875">
        <f>'Revenues 9-14'!B60</f>
        <v>1452</v>
      </c>
      <c r="D26" s="876" t="str">
        <f>'Revenues 9-14'!A60</f>
        <v>Adult - Transp Fees from Other Districts (In State)</v>
      </c>
      <c r="E26" s="868"/>
      <c r="F26" s="1850">
        <f>'Revenues 9-14'!F60</f>
        <v>0</v>
      </c>
      <c r="G26" s="865"/>
    </row>
    <row r="27" spans="1:7" x14ac:dyDescent="0.2">
      <c r="A27" s="869" t="s">
        <v>461</v>
      </c>
      <c r="B27" s="870" t="s">
        <v>1019</v>
      </c>
      <c r="C27" s="875">
        <f>'Revenues 9-14'!B61</f>
        <v>1453</v>
      </c>
      <c r="D27" s="876" t="str">
        <f>'Revenues 9-14'!A61</f>
        <v>Adult - Transp Fees from Other Sources (In State)</v>
      </c>
      <c r="E27" s="868"/>
      <c r="F27" s="1850">
        <f>'Revenues 9-14'!F61</f>
        <v>0</v>
      </c>
      <c r="G27" s="865"/>
    </row>
    <row r="28" spans="1:7" x14ac:dyDescent="0.2">
      <c r="A28" s="869" t="s">
        <v>461</v>
      </c>
      <c r="B28" s="870" t="s">
        <v>1020</v>
      </c>
      <c r="C28" s="875">
        <f>'Revenues 9-14'!B62</f>
        <v>1454</v>
      </c>
      <c r="D28" s="876" t="str">
        <f>'Revenues 9-14'!A62</f>
        <v>Adult - Transp Fees from Other Sources (Out of State)</v>
      </c>
      <c r="E28" s="868"/>
      <c r="F28" s="1850">
        <f>'Revenues 9-14'!F62</f>
        <v>0</v>
      </c>
      <c r="G28" s="865"/>
    </row>
    <row r="29" spans="1:7" x14ac:dyDescent="0.2">
      <c r="A29" s="869" t="s">
        <v>1097</v>
      </c>
      <c r="B29" s="870" t="s">
        <v>810</v>
      </c>
      <c r="C29" s="880">
        <f>'Revenues 9-14'!B149</f>
        <v>3410</v>
      </c>
      <c r="D29" s="881" t="str">
        <f>'Revenues 9-14'!A149</f>
        <v>Adult Ed (from ICCB)</v>
      </c>
      <c r="E29" s="868"/>
      <c r="F29" s="185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85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85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850">
        <f>SUM('Revenues 9-14'!D212,'Revenues 9-14'!F212)</f>
        <v>0</v>
      </c>
      <c r="G32" s="865"/>
    </row>
    <row r="33" spans="1:7" x14ac:dyDescent="0.2">
      <c r="A33" s="869" t="s">
        <v>460</v>
      </c>
      <c r="B33" s="870" t="s">
        <v>2001</v>
      </c>
      <c r="C33" s="875">
        <f>'Revenues 9-14'!B222</f>
        <v>4810</v>
      </c>
      <c r="D33" s="883" t="str">
        <f>'Revenues 9-14'!A222</f>
        <v>Federal - Adult Education</v>
      </c>
      <c r="E33" s="868"/>
      <c r="F33" s="1850">
        <f>'Revenues 9-14'!D222</f>
        <v>0</v>
      </c>
      <c r="G33" s="865"/>
    </row>
    <row r="34" spans="1:7" x14ac:dyDescent="0.2">
      <c r="A34" s="869" t="s">
        <v>459</v>
      </c>
      <c r="B34" s="869" t="s">
        <v>1469</v>
      </c>
      <c r="C34" s="886" t="str">
        <f>'Expenditures 15-22'!B7</f>
        <v>1125</v>
      </c>
      <c r="D34" s="887" t="str">
        <f>'Expenditures 15-22'!A7</f>
        <v>Pre-K Programs</v>
      </c>
      <c r="E34" s="868"/>
      <c r="F34" s="1850">
        <f>'Expenditures 15-22'!K7-SUM('Expenditures 15-22'!G7,'Expenditures 15-22'!I7)</f>
        <v>520600</v>
      </c>
      <c r="G34" s="865"/>
    </row>
    <row r="35" spans="1:7" x14ac:dyDescent="0.2">
      <c r="A35" s="869" t="s">
        <v>459</v>
      </c>
      <c r="B35" s="869" t="s">
        <v>1470</v>
      </c>
      <c r="C35" s="886" t="str">
        <f>'Expenditures 15-22'!B9</f>
        <v>1225</v>
      </c>
      <c r="D35" s="887" t="str">
        <f>'Expenditures 15-22'!A9</f>
        <v>Special Education Programs Pre-K</v>
      </c>
      <c r="E35" s="868"/>
      <c r="F35" s="1850">
        <f>'Expenditures 15-22'!K9-SUM('Expenditures 15-22'!G9+'Expenditures 15-22'!I9)</f>
        <v>241941</v>
      </c>
      <c r="G35" s="865"/>
    </row>
    <row r="36" spans="1:7" x14ac:dyDescent="0.2">
      <c r="A36" s="869" t="s">
        <v>459</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50">
        <f>'Expenditures 15-22'!K20</f>
        <v>0</v>
      </c>
      <c r="G39" s="865"/>
    </row>
    <row r="40" spans="1:7" x14ac:dyDescent="0.2">
      <c r="A40" s="869" t="s">
        <v>459</v>
      </c>
      <c r="B40" s="869" t="s">
        <v>118</v>
      </c>
      <c r="C40" s="886" t="str">
        <f>'Expenditures 15-22'!B21</f>
        <v>1911</v>
      </c>
      <c r="D40" s="888" t="str">
        <f>'Expenditures 15-22'!A21</f>
        <v>Regular K-12 Programs - Private Tuition</v>
      </c>
      <c r="E40" s="868"/>
      <c r="F40" s="1850">
        <f>'Expenditures 15-22'!K21</f>
        <v>20075</v>
      </c>
      <c r="G40" s="865"/>
    </row>
    <row r="41" spans="1:7" x14ac:dyDescent="0.2">
      <c r="A41" s="869" t="s">
        <v>459</v>
      </c>
      <c r="B41" s="869" t="s">
        <v>119</v>
      </c>
      <c r="C41" s="886" t="str">
        <f>'Expenditures 15-22'!B22</f>
        <v>1912</v>
      </c>
      <c r="D41" s="888" t="str">
        <f>'Expenditures 15-22'!A22</f>
        <v>Special Education Programs K-12 - Private Tuition</v>
      </c>
      <c r="E41" s="868"/>
      <c r="F41" s="1850">
        <f>'Expenditures 15-22'!K22</f>
        <v>1037356</v>
      </c>
      <c r="G41" s="865"/>
    </row>
    <row r="42" spans="1:7" x14ac:dyDescent="0.2">
      <c r="A42" s="869" t="s">
        <v>459</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459</v>
      </c>
      <c r="B46" s="869" t="s">
        <v>124</v>
      </c>
      <c r="C46" s="886" t="str">
        <f>'Expenditures 15-22'!B27</f>
        <v>1917</v>
      </c>
      <c r="D46" s="888" t="str">
        <f>'Expenditures 15-22'!A27</f>
        <v>CTE Programs - Private Tuition</v>
      </c>
      <c r="E46" s="868"/>
      <c r="F46" s="185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459</v>
      </c>
      <c r="B49" s="869" t="s">
        <v>127</v>
      </c>
      <c r="C49" s="886" t="str">
        <f>'Expenditures 15-22'!B30</f>
        <v>1920</v>
      </c>
      <c r="D49" s="888" t="str">
        <f>'Expenditures 15-22'!A30</f>
        <v>Gifted Programs - Private Tuition</v>
      </c>
      <c r="E49" s="868"/>
      <c r="F49" s="1850">
        <f>'Expenditures 15-22'!K30</f>
        <v>0</v>
      </c>
      <c r="G49" s="865"/>
    </row>
    <row r="50" spans="1:7" x14ac:dyDescent="0.2">
      <c r="A50" s="869" t="s">
        <v>459</v>
      </c>
      <c r="B50" s="869" t="s">
        <v>128</v>
      </c>
      <c r="C50" s="886" t="str">
        <f>'Expenditures 15-22'!B31</f>
        <v>1921</v>
      </c>
      <c r="D50" s="888" t="str">
        <f>'Expenditures 15-22'!A31</f>
        <v>Bilingual Programs - Private Tuition</v>
      </c>
      <c r="E50" s="868"/>
      <c r="F50" s="185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0">
        <f>'Expenditures 15-22'!K32</f>
        <v>0</v>
      </c>
      <c r="G51" s="865"/>
    </row>
    <row r="52" spans="1:7" x14ac:dyDescent="0.2">
      <c r="A52" s="869" t="s">
        <v>459</v>
      </c>
      <c r="B52" s="869" t="s">
        <v>1474</v>
      </c>
      <c r="C52" s="889" t="str">
        <f>'Expenditures 15-22'!B75</f>
        <v>3000</v>
      </c>
      <c r="D52" s="888" t="s">
        <v>449</v>
      </c>
      <c r="E52" s="868"/>
      <c r="F52" s="1850">
        <f>'Expenditures 15-22'!K75-SUM('Expenditures 15-22'!G75,'Expenditures 15-22'!I75)</f>
        <v>83214</v>
      </c>
      <c r="G52" s="865"/>
    </row>
    <row r="53" spans="1:7" x14ac:dyDescent="0.2">
      <c r="A53" s="869" t="s">
        <v>459</v>
      </c>
      <c r="B53" s="869" t="s">
        <v>1475</v>
      </c>
      <c r="C53" s="889">
        <f>'Expenditures 15-22'!B102</f>
        <v>4000</v>
      </c>
      <c r="D53" s="888" t="str">
        <f>'Expenditures 15-22'!A102</f>
        <v>Total Payments to Other Govt Units</v>
      </c>
      <c r="E53" s="868"/>
      <c r="F53" s="1850">
        <f>'Expenditures 15-22'!K102</f>
        <v>1063812</v>
      </c>
      <c r="G53" s="865"/>
    </row>
    <row r="54" spans="1:7" x14ac:dyDescent="0.2">
      <c r="A54" s="869" t="s">
        <v>459</v>
      </c>
      <c r="B54" s="869" t="s">
        <v>1476</v>
      </c>
      <c r="C54" s="889" t="s">
        <v>982</v>
      </c>
      <c r="D54" s="885" t="s">
        <v>1095</v>
      </c>
      <c r="E54" s="868"/>
      <c r="F54" s="1850">
        <f>'Expenditures 15-22'!G114</f>
        <v>40128</v>
      </c>
      <c r="G54" s="865"/>
    </row>
    <row r="55" spans="1:7" x14ac:dyDescent="0.2">
      <c r="A55" s="869" t="s">
        <v>459</v>
      </c>
      <c r="B55" s="869" t="s">
        <v>1477</v>
      </c>
      <c r="C55" s="889" t="s">
        <v>982</v>
      </c>
      <c r="D55" s="885" t="s">
        <v>291</v>
      </c>
      <c r="E55" s="868"/>
      <c r="F55" s="1850">
        <f>'Expenditures 15-22'!I114</f>
        <v>239634</v>
      </c>
      <c r="G55" s="865"/>
    </row>
    <row r="56" spans="1:7" x14ac:dyDescent="0.2">
      <c r="A56" s="869" t="s">
        <v>460</v>
      </c>
      <c r="B56" s="869" t="s">
        <v>1478</v>
      </c>
      <c r="C56" s="886" t="str">
        <f>'Expenditures 15-22'!B130</f>
        <v>3000</v>
      </c>
      <c r="D56" s="892" t="s">
        <v>449</v>
      </c>
      <c r="E56" s="868"/>
      <c r="F56" s="1850">
        <f>'Expenditures 15-22'!K130-SUM('Expenditures 15-22'!G130+'Expenditures 15-22'!I130)</f>
        <v>162</v>
      </c>
      <c r="G56" s="865"/>
    </row>
    <row r="57" spans="1:7" x14ac:dyDescent="0.2">
      <c r="A57" s="869" t="s">
        <v>460</v>
      </c>
      <c r="B57" s="869" t="s">
        <v>1881</v>
      </c>
      <c r="C57" s="889">
        <f>'Expenditures 15-22'!B139</f>
        <v>4000</v>
      </c>
      <c r="D57" s="887" t="str">
        <f>'Expenditures 15-22'!A139</f>
        <v>Total Payments to Other Govt Units</v>
      </c>
      <c r="E57" s="868"/>
      <c r="F57" s="1850">
        <f>'Expenditures 15-22'!K139</f>
        <v>0</v>
      </c>
      <c r="G57" s="865"/>
    </row>
    <row r="58" spans="1:7" x14ac:dyDescent="0.2">
      <c r="A58" s="869" t="s">
        <v>460</v>
      </c>
      <c r="B58" s="869" t="s">
        <v>1882</v>
      </c>
      <c r="C58" s="886" t="s">
        <v>982</v>
      </c>
      <c r="D58" s="885" t="s">
        <v>1095</v>
      </c>
      <c r="E58" s="868"/>
      <c r="F58" s="1852">
        <f>'Expenditures 15-22'!G151</f>
        <v>168806</v>
      </c>
      <c r="G58" s="865"/>
    </row>
    <row r="59" spans="1:7" x14ac:dyDescent="0.2">
      <c r="A59" s="893" t="s">
        <v>460</v>
      </c>
      <c r="B59" s="856" t="s">
        <v>1883</v>
      </c>
      <c r="C59" s="894" t="s">
        <v>982</v>
      </c>
      <c r="D59" s="856" t="s">
        <v>291</v>
      </c>
      <c r="F59" s="1853">
        <f>'Expenditures 15-22'!I151</f>
        <v>75857</v>
      </c>
      <c r="G59" s="865"/>
    </row>
    <row r="60" spans="1:7" x14ac:dyDescent="0.2">
      <c r="A60" s="893" t="s">
        <v>499</v>
      </c>
      <c r="B60" s="856" t="s">
        <v>1884</v>
      </c>
      <c r="C60" s="894">
        <v>4000</v>
      </c>
      <c r="D60" s="856" t="s">
        <v>312</v>
      </c>
      <c r="F60" s="1851">
        <f>'Expenditures 15-22'!K160</f>
        <v>0</v>
      </c>
      <c r="G60" s="865"/>
    </row>
    <row r="61" spans="1:7" x14ac:dyDescent="0.2">
      <c r="A61" s="895" t="s">
        <v>499</v>
      </c>
      <c r="B61" s="895" t="s">
        <v>1885</v>
      </c>
      <c r="C61" s="896" t="str">
        <f>'Expenditures 15-22'!B170</f>
        <v>5300</v>
      </c>
      <c r="D61" s="897" t="s">
        <v>311</v>
      </c>
      <c r="E61" s="879"/>
      <c r="F61" s="1850">
        <f>'Expenditures 15-22'!K170</f>
        <v>86544</v>
      </c>
      <c r="G61" s="865"/>
    </row>
    <row r="62" spans="1:7" x14ac:dyDescent="0.2">
      <c r="A62" s="869" t="s">
        <v>461</v>
      </c>
      <c r="B62" s="869" t="s">
        <v>1886</v>
      </c>
      <c r="C62" s="886">
        <f>'Expenditures 15-22'!B185</f>
        <v>3000</v>
      </c>
      <c r="D62" s="876" t="s">
        <v>449</v>
      </c>
      <c r="E62" s="868"/>
      <c r="F62" s="185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850">
        <f>'Expenditures 15-22'!K196</f>
        <v>0</v>
      </c>
      <c r="G63" s="865"/>
    </row>
    <row r="64" spans="1:7" x14ac:dyDescent="0.2">
      <c r="A64" s="895" t="s">
        <v>461</v>
      </c>
      <c r="B64" s="895" t="s">
        <v>1888</v>
      </c>
      <c r="C64" s="896" t="str">
        <f>'Expenditures 15-22'!B206</f>
        <v>5300</v>
      </c>
      <c r="D64" s="892" t="s">
        <v>311</v>
      </c>
      <c r="E64" s="868"/>
      <c r="F64" s="1850">
        <f>'Expenditures 15-22'!K206</f>
        <v>0</v>
      </c>
      <c r="G64" s="865"/>
    </row>
    <row r="65" spans="1:8" x14ac:dyDescent="0.2">
      <c r="A65" s="869" t="s">
        <v>461</v>
      </c>
      <c r="B65" s="869" t="s">
        <v>1889</v>
      </c>
      <c r="C65" s="886" t="s">
        <v>982</v>
      </c>
      <c r="D65" s="885" t="s">
        <v>1095</v>
      </c>
      <c r="E65" s="868"/>
      <c r="F65" s="1850">
        <f>'Expenditures 15-22'!G210</f>
        <v>0</v>
      </c>
      <c r="G65" s="865"/>
    </row>
    <row r="66" spans="1:8" x14ac:dyDescent="0.2">
      <c r="A66" s="869" t="s">
        <v>461</v>
      </c>
      <c r="B66" s="869" t="s">
        <v>1890</v>
      </c>
      <c r="C66" s="886" t="s">
        <v>982</v>
      </c>
      <c r="D66" s="885" t="s">
        <v>291</v>
      </c>
      <c r="E66" s="868"/>
      <c r="F66" s="1850">
        <f>'Expenditures 15-22'!I210</f>
        <v>0</v>
      </c>
      <c r="G66" s="865"/>
    </row>
    <row r="67" spans="1:8" x14ac:dyDescent="0.2">
      <c r="A67" s="869" t="s">
        <v>462</v>
      </c>
      <c r="B67" s="869" t="s">
        <v>1891</v>
      </c>
      <c r="C67" s="886" t="str">
        <f>'Expenditures 15-22'!B216</f>
        <v>1125</v>
      </c>
      <c r="D67" s="892" t="str">
        <f>'Expenditures 15-22'!A216</f>
        <v>Pre-K Programs</v>
      </c>
      <c r="E67" s="868"/>
      <c r="F67" s="1850">
        <f>'Expenditures 15-22'!K216</f>
        <v>29440</v>
      </c>
      <c r="G67" s="865"/>
    </row>
    <row r="68" spans="1:8" x14ac:dyDescent="0.2">
      <c r="A68" s="869" t="s">
        <v>462</v>
      </c>
      <c r="B68" s="869" t="s">
        <v>1479</v>
      </c>
      <c r="C68" s="886" t="str">
        <f>'Expenditures 15-22'!B218</f>
        <v>1225</v>
      </c>
      <c r="D68" s="892" t="str">
        <f>'Expenditures 15-22'!A218</f>
        <v>Special Education Programs - Pre-K</v>
      </c>
      <c r="E68" s="868"/>
      <c r="F68" s="1850">
        <f>'Expenditures 15-22'!K218</f>
        <v>33242</v>
      </c>
      <c r="G68" s="865"/>
    </row>
    <row r="69" spans="1:8" x14ac:dyDescent="0.2">
      <c r="A69" s="869" t="s">
        <v>462</v>
      </c>
      <c r="B69" s="869" t="s">
        <v>1892</v>
      </c>
      <c r="C69" s="886" t="str">
        <f>'Expenditures 15-22'!B220</f>
        <v>1275</v>
      </c>
      <c r="D69" s="892" t="str">
        <f>'Expenditures 15-22'!A220</f>
        <v>Remedial and Supplemental Programs - Pre-K</v>
      </c>
      <c r="E69" s="868"/>
      <c r="F69" s="1850">
        <f>'Expenditures 15-22'!K220</f>
        <v>0</v>
      </c>
      <c r="G69" s="865"/>
    </row>
    <row r="70" spans="1:8" x14ac:dyDescent="0.2">
      <c r="A70" s="869" t="s">
        <v>462</v>
      </c>
      <c r="B70" s="869" t="s">
        <v>1893</v>
      </c>
      <c r="C70" s="886">
        <f>'Expenditures 15-22'!B221</f>
        <v>1300</v>
      </c>
      <c r="D70" s="887" t="str">
        <f>'Expenditures 15-22'!A221</f>
        <v>Adult/Continuing Education Programs</v>
      </c>
      <c r="E70" s="868"/>
      <c r="F70" s="1850">
        <f>'Expenditures 15-22'!K221</f>
        <v>0</v>
      </c>
      <c r="G70" s="865"/>
    </row>
    <row r="71" spans="1:8" x14ac:dyDescent="0.2">
      <c r="A71" s="869" t="s">
        <v>462</v>
      </c>
      <c r="B71" s="869" t="s">
        <v>1894</v>
      </c>
      <c r="C71" s="886">
        <f>'Expenditures 15-22'!B224</f>
        <v>1600</v>
      </c>
      <c r="D71" s="887" t="str">
        <f>'Expenditures 15-22'!A224</f>
        <v>Summer School Programs</v>
      </c>
      <c r="E71" s="868"/>
      <c r="F71" s="1850">
        <f>'Expenditures 15-22'!K224</f>
        <v>0</v>
      </c>
      <c r="G71" s="865"/>
    </row>
    <row r="72" spans="1:8" x14ac:dyDescent="0.2">
      <c r="A72" s="869" t="s">
        <v>462</v>
      </c>
      <c r="B72" s="869" t="s">
        <v>1895</v>
      </c>
      <c r="C72" s="886">
        <f>'Expenditures 15-22'!B280</f>
        <v>3000</v>
      </c>
      <c r="D72" s="876" t="s">
        <v>449</v>
      </c>
      <c r="E72" s="868"/>
      <c r="F72" s="1850">
        <f>'Expenditures 15-22'!K280</f>
        <v>14557</v>
      </c>
      <c r="G72" s="865"/>
    </row>
    <row r="73" spans="1:8" x14ac:dyDescent="0.2">
      <c r="A73" s="869" t="s">
        <v>462</v>
      </c>
      <c r="B73" s="869" t="s">
        <v>1896</v>
      </c>
      <c r="C73" s="886" t="str">
        <f>'Expenditures 15-22'!B285</f>
        <v>4000</v>
      </c>
      <c r="D73" s="887" t="str">
        <f>'Expenditures 15-22'!A285</f>
        <v>Total Payments to Other Govt Units</v>
      </c>
      <c r="E73" s="868"/>
      <c r="F73" s="1850">
        <f>'Expenditures 15-22'!K285</f>
        <v>0</v>
      </c>
      <c r="G73" s="865"/>
    </row>
    <row r="74" spans="1:8" x14ac:dyDescent="0.2">
      <c r="A74" s="869" t="s">
        <v>436</v>
      </c>
      <c r="B74" s="869" t="s">
        <v>1897</v>
      </c>
      <c r="C74" s="886" t="s">
        <v>860</v>
      </c>
      <c r="D74" s="887" t="s">
        <v>1487</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1898</v>
      </c>
      <c r="E76" s="1711" t="s">
        <v>958</v>
      </c>
      <c r="F76" s="1715">
        <f>SUM(F18:F74)</f>
        <v>3773507</v>
      </c>
      <c r="G76" s="865"/>
    </row>
    <row r="77" spans="1:8" s="893" customFormat="1" ht="12" customHeight="1" thickTop="1" thickBot="1" x14ac:dyDescent="0.25">
      <c r="A77" s="1716"/>
      <c r="B77" s="1713"/>
      <c r="C77" s="1709"/>
      <c r="D77" s="1714" t="s">
        <v>1899</v>
      </c>
      <c r="E77" s="1711"/>
      <c r="F77" s="1717">
        <f>(F14-F76)</f>
        <v>39145116</v>
      </c>
      <c r="G77" s="869"/>
    </row>
    <row r="78" spans="1:8" s="893" customFormat="1" ht="12" customHeight="1" thickTop="1" x14ac:dyDescent="0.2">
      <c r="A78" s="1718"/>
      <c r="B78" s="1713"/>
      <c r="C78" s="1709"/>
      <c r="D78" s="1714" t="s">
        <v>2061</v>
      </c>
      <c r="E78" s="1711"/>
      <c r="F78" s="898">
        <v>2859.9</v>
      </c>
      <c r="G78" s="899"/>
      <c r="H78" s="869"/>
    </row>
    <row r="79" spans="1:8" s="893" customFormat="1" ht="12" customHeight="1" thickBot="1" x14ac:dyDescent="0.25">
      <c r="A79" s="1719"/>
      <c r="B79" s="1713"/>
      <c r="C79" s="1709"/>
      <c r="D79" s="1714" t="s">
        <v>1900</v>
      </c>
      <c r="E79" s="1711" t="s">
        <v>958</v>
      </c>
      <c r="F79" s="1720">
        <f>IF(F78&gt;0,F77/F78," Complete Line 78")</f>
        <v>13687.582083289624</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4">
        <f>'Revenues 9-14'!F42</f>
        <v>1039</v>
      </c>
      <c r="G84" s="912"/>
    </row>
    <row r="85" spans="1:7" x14ac:dyDescent="0.2">
      <c r="A85" s="908" t="s">
        <v>461</v>
      </c>
      <c r="B85" s="908" t="s">
        <v>183</v>
      </c>
      <c r="C85" s="913">
        <f>'Revenues 9-14'!B44</f>
        <v>1413</v>
      </c>
      <c r="D85" s="911" t="str">
        <f>'Revenues 9-14'!A44</f>
        <v>Regular - Transp Fees from Other Sources (In State)</v>
      </c>
      <c r="E85" s="906"/>
      <c r="F85" s="172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461</v>
      </c>
      <c r="B87" s="908" t="s">
        <v>167</v>
      </c>
      <c r="C87" s="910">
        <v>1416</v>
      </c>
      <c r="D87" s="911" t="str">
        <f>'Revenues 9-14'!A46</f>
        <v>Regular Transp Fees from Other Sources (Out of State)</v>
      </c>
      <c r="E87" s="906"/>
      <c r="F87" s="1726">
        <f>'Revenues 9-14'!F46</f>
        <v>0</v>
      </c>
      <c r="G87" s="914"/>
    </row>
    <row r="88" spans="1:7" x14ac:dyDescent="0.2">
      <c r="A88" s="908" t="s">
        <v>461</v>
      </c>
      <c r="B88" s="908" t="s">
        <v>168</v>
      </c>
      <c r="C88" s="910">
        <f>'Revenues 9-14'!B51</f>
        <v>1431</v>
      </c>
      <c r="D88" s="911" t="str">
        <f>'Revenues 9-14'!A51</f>
        <v>CTE - Transp Fees from Pupils or Parents (In State)</v>
      </c>
      <c r="E88" s="906"/>
      <c r="F88" s="1726">
        <f>'Revenues 9-14'!F51</f>
        <v>0</v>
      </c>
      <c r="G88" s="914"/>
    </row>
    <row r="89" spans="1:7" x14ac:dyDescent="0.2">
      <c r="A89" s="908" t="s">
        <v>461</v>
      </c>
      <c r="B89" s="908" t="s">
        <v>169</v>
      </c>
      <c r="C89" s="910">
        <f>'Revenues 9-14'!B53</f>
        <v>1433</v>
      </c>
      <c r="D89" s="911" t="str">
        <f>'Revenues 9-14'!A53</f>
        <v>CTE - Transp Fees from Other Sources (In State)</v>
      </c>
      <c r="E89" s="906"/>
      <c r="F89" s="1726">
        <f>'Revenues 9-14'!F53</f>
        <v>0</v>
      </c>
      <c r="G89" s="914"/>
    </row>
    <row r="90" spans="1:7" x14ac:dyDescent="0.2">
      <c r="A90" s="908" t="s">
        <v>461</v>
      </c>
      <c r="B90" s="908" t="s">
        <v>170</v>
      </c>
      <c r="C90" s="910">
        <f>'Revenues 9-14'!B54</f>
        <v>1434</v>
      </c>
      <c r="D90" s="911" t="str">
        <f>'Revenues 9-14'!A54</f>
        <v>CTE - Transp Fees from Other Sources (Out of State)</v>
      </c>
      <c r="E90" s="906"/>
      <c r="F90" s="1726">
        <f>'Revenues 9-14'!F54</f>
        <v>0</v>
      </c>
      <c r="G90" s="914"/>
    </row>
    <row r="91" spans="1:7" x14ac:dyDescent="0.2">
      <c r="A91" s="908" t="s">
        <v>461</v>
      </c>
      <c r="B91" s="908" t="s">
        <v>171</v>
      </c>
      <c r="C91" s="915">
        <f>'Revenues 9-14'!B55</f>
        <v>1441</v>
      </c>
      <c r="D91" s="911" t="str">
        <f>'Revenues 9-14'!A55</f>
        <v>Special Ed - Transp Fees from Pupils or Parents (In State)</v>
      </c>
      <c r="E91" s="906"/>
      <c r="F91" s="1726">
        <f>'Revenues 9-14'!F55</f>
        <v>0</v>
      </c>
      <c r="G91" s="914"/>
    </row>
    <row r="92" spans="1:7" x14ac:dyDescent="0.2">
      <c r="A92" s="908" t="s">
        <v>461</v>
      </c>
      <c r="B92" s="908" t="s">
        <v>172</v>
      </c>
      <c r="C92" s="910">
        <f>'Revenues 9-14'!B57</f>
        <v>1443</v>
      </c>
      <c r="D92" s="911" t="str">
        <f>'Revenues 9-14'!A57</f>
        <v>Special Ed - Transp Fees from Other Sources (In State)</v>
      </c>
      <c r="E92" s="906"/>
      <c r="F92" s="1726">
        <f>'Revenues 9-14'!F57</f>
        <v>0</v>
      </c>
      <c r="G92" s="916"/>
    </row>
    <row r="93" spans="1:7" x14ac:dyDescent="0.2">
      <c r="A93" s="908" t="s">
        <v>461</v>
      </c>
      <c r="B93" s="908" t="s">
        <v>173</v>
      </c>
      <c r="C93" s="910">
        <f>'Revenues 9-14'!B58</f>
        <v>1444</v>
      </c>
      <c r="D93" s="911" t="str">
        <f>'Revenues 9-14'!A58</f>
        <v>Special Ed - Transp Fees from Other Sources (Out of State)</v>
      </c>
      <c r="E93" s="906"/>
      <c r="F93" s="1726">
        <f>'Revenues 9-14'!F58</f>
        <v>0</v>
      </c>
      <c r="G93" s="916"/>
    </row>
    <row r="94" spans="1:7" x14ac:dyDescent="0.2">
      <c r="A94" s="908" t="s">
        <v>459</v>
      </c>
      <c r="B94" s="908" t="s">
        <v>174</v>
      </c>
      <c r="C94" s="910">
        <v>1600</v>
      </c>
      <c r="D94" s="917" t="str">
        <f>'Revenues 9-14'!A75</f>
        <v>Total Food Service</v>
      </c>
      <c r="E94" s="906"/>
      <c r="F94" s="1726">
        <f>'Revenues 9-14'!C75</f>
        <v>204392</v>
      </c>
      <c r="G94" s="912"/>
    </row>
    <row r="95" spans="1:7" x14ac:dyDescent="0.2">
      <c r="A95" s="908" t="s">
        <v>140</v>
      </c>
      <c r="B95" s="908" t="s">
        <v>175</v>
      </c>
      <c r="C95" s="910">
        <v>1700</v>
      </c>
      <c r="D95" s="918" t="str">
        <f>'Revenues 9-14'!A82</f>
        <v>Total District/School Activity Income</v>
      </c>
      <c r="E95" s="906"/>
      <c r="F95" s="1726">
        <f>SUM('Revenues 9-14'!C82,'Revenues 9-14'!D82)</f>
        <v>15280</v>
      </c>
      <c r="G95" s="912"/>
    </row>
    <row r="96" spans="1:7" x14ac:dyDescent="0.2">
      <c r="A96" s="908" t="s">
        <v>459</v>
      </c>
      <c r="B96" s="908" t="s">
        <v>176</v>
      </c>
      <c r="C96" s="910">
        <f>'Revenues 9-14'!B84</f>
        <v>1811</v>
      </c>
      <c r="D96" s="911" t="str">
        <f>'Revenues 9-14'!A84</f>
        <v>Rentals - Regular Textbooks</v>
      </c>
      <c r="E96" s="906"/>
      <c r="F96" s="1726">
        <f>'Revenues 9-14'!C84</f>
        <v>226667</v>
      </c>
      <c r="G96" s="912"/>
    </row>
    <row r="97" spans="1:7" x14ac:dyDescent="0.2">
      <c r="A97" s="908" t="s">
        <v>459</v>
      </c>
      <c r="B97" s="908" t="s">
        <v>177</v>
      </c>
      <c r="C97" s="910">
        <f>'Revenues 9-14'!B87</f>
        <v>1819</v>
      </c>
      <c r="D97" s="911" t="str">
        <f>'Revenues 9-14'!A87</f>
        <v>Rentals - Other (Describe &amp; Itemize)</v>
      </c>
      <c r="E97" s="906"/>
      <c r="F97" s="1726">
        <f>'Revenues 9-14'!C87</f>
        <v>0</v>
      </c>
      <c r="G97" s="912"/>
    </row>
    <row r="98" spans="1:7" x14ac:dyDescent="0.2">
      <c r="A98" s="908" t="s">
        <v>459</v>
      </c>
      <c r="B98" s="908" t="s">
        <v>178</v>
      </c>
      <c r="C98" s="910">
        <f>'Revenues 9-14'!B88</f>
        <v>1821</v>
      </c>
      <c r="D98" s="911" t="str">
        <f>'Revenues 9-14'!A88</f>
        <v>Sales - Regular Textbooks</v>
      </c>
      <c r="E98" s="906"/>
      <c r="F98" s="1726">
        <f>'Revenues 9-14'!C88</f>
        <v>0</v>
      </c>
      <c r="G98" s="912"/>
    </row>
    <row r="99" spans="1:7" x14ac:dyDescent="0.2">
      <c r="A99" s="908" t="s">
        <v>459</v>
      </c>
      <c r="B99" s="908" t="s">
        <v>179</v>
      </c>
      <c r="C99" s="910">
        <f>'Revenues 9-14'!B91</f>
        <v>1829</v>
      </c>
      <c r="D99" s="911" t="str">
        <f>'Revenues 9-14'!A91</f>
        <v>Sales - Other (Describe &amp; Itemize)</v>
      </c>
      <c r="E99" s="906"/>
      <c r="F99" s="1726">
        <f>'Revenues 9-14'!C91</f>
        <v>0</v>
      </c>
      <c r="G99" s="912"/>
    </row>
    <row r="100" spans="1:7" x14ac:dyDescent="0.2">
      <c r="A100" s="908" t="s">
        <v>459</v>
      </c>
      <c r="B100" s="908" t="s">
        <v>180</v>
      </c>
      <c r="C100" s="910">
        <f>'Revenues 9-14'!B92</f>
        <v>1890</v>
      </c>
      <c r="D100" s="911" t="str">
        <f>'Revenues 9-14'!A92</f>
        <v>Other (Describe &amp; Itemize)</v>
      </c>
      <c r="E100" s="906"/>
      <c r="F100" s="1726">
        <f>'Revenues 9-14'!C92</f>
        <v>784</v>
      </c>
      <c r="G100" s="912"/>
    </row>
    <row r="101" spans="1:7" x14ac:dyDescent="0.2">
      <c r="A101" s="908" t="s">
        <v>140</v>
      </c>
      <c r="B101" s="908" t="s">
        <v>181</v>
      </c>
      <c r="C101" s="910">
        <f>'Revenues 9-14'!B95</f>
        <v>1910</v>
      </c>
      <c r="D101" s="911" t="str">
        <f>'Revenues 9-14'!A95</f>
        <v>Rentals</v>
      </c>
      <c r="E101" s="906"/>
      <c r="F101" s="1726">
        <f>SUM('Revenues 9-14'!C95:D95)</f>
        <v>513</v>
      </c>
      <c r="G101" s="912"/>
    </row>
    <row r="102" spans="1:7" x14ac:dyDescent="0.2">
      <c r="A102" s="908" t="s">
        <v>503</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6">
        <f>('Revenues 9-14'!C106)</f>
        <v>0</v>
      </c>
      <c r="G104" s="912"/>
    </row>
    <row r="105" spans="1:7" x14ac:dyDescent="0.2">
      <c r="A105" s="908" t="s">
        <v>503</v>
      </c>
      <c r="B105" s="908" t="s">
        <v>2002</v>
      </c>
      <c r="C105" s="913">
        <v>3100</v>
      </c>
      <c r="D105" s="919" t="str">
        <f>'Revenues 9-14'!A132</f>
        <v>Total Special Education</v>
      </c>
      <c r="E105" s="906"/>
      <c r="F105" s="1726">
        <f>SUM('Revenues 9-14'!C132:D132,'Revenues 9-14'!F132)</f>
        <v>289304</v>
      </c>
      <c r="G105" s="912"/>
    </row>
    <row r="106" spans="1:7" x14ac:dyDescent="0.2">
      <c r="A106" s="908" t="s">
        <v>673</v>
      </c>
      <c r="B106" s="908" t="s">
        <v>2003</v>
      </c>
      <c r="C106" s="920">
        <v>3200</v>
      </c>
      <c r="D106" s="911" t="str">
        <f>'Revenues 9-14'!A141</f>
        <v>Total Career and Technical Education</v>
      </c>
      <c r="E106" s="906"/>
      <c r="F106" s="1726">
        <f>SUM('Revenues 9-14'!C141,'Revenues 9-14'!D141,'Revenues 9-14'!G141)</f>
        <v>0</v>
      </c>
      <c r="G106" s="912"/>
    </row>
    <row r="107" spans="1:7" x14ac:dyDescent="0.2">
      <c r="A107" s="921" t="s">
        <v>664</v>
      </c>
      <c r="B107" s="908" t="s">
        <v>2004</v>
      </c>
      <c r="C107" s="920">
        <v>3300</v>
      </c>
      <c r="D107" s="911" t="str">
        <f>'Revenues 9-14'!A145</f>
        <v>Total Bilingual Ed</v>
      </c>
      <c r="E107" s="906"/>
      <c r="F107" s="1726">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26">
        <f>'Revenues 9-14'!C146</f>
        <v>8967</v>
      </c>
      <c r="G108" s="912"/>
    </row>
    <row r="109" spans="1:7" x14ac:dyDescent="0.2">
      <c r="A109" s="908" t="s">
        <v>673</v>
      </c>
      <c r="B109" s="908" t="s">
        <v>2006</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26">
        <f>SUM('Revenues 9-14'!C148,'Revenues 9-14'!D148)</f>
        <v>0</v>
      </c>
      <c r="G110" s="912"/>
    </row>
    <row r="111" spans="1:7" x14ac:dyDescent="0.2">
      <c r="A111" s="908" t="s">
        <v>668</v>
      </c>
      <c r="B111" s="908" t="s">
        <v>2008</v>
      </c>
      <c r="C111" s="922">
        <v>3500</v>
      </c>
      <c r="D111" s="911" t="str">
        <f>'Revenues 9-14'!A155</f>
        <v>Total Transportation</v>
      </c>
      <c r="E111" s="906"/>
      <c r="F111" s="1726">
        <f>SUM('Revenues 9-14'!C155,'Revenues 9-14'!D155,'Revenues 9-14'!F155,'Revenues 9-14'!G155)</f>
        <v>810066</v>
      </c>
      <c r="G111" s="912"/>
    </row>
    <row r="112" spans="1:7" x14ac:dyDescent="0.2">
      <c r="A112" s="908" t="s">
        <v>459</v>
      </c>
      <c r="B112" s="908" t="s">
        <v>2009</v>
      </c>
      <c r="C112" s="920">
        <f>'Revenues 9-14'!B156</f>
        <v>3610</v>
      </c>
      <c r="D112" s="911" t="str">
        <f>'Revenues 9-14'!A156</f>
        <v>Learning Improvement - Change Grants</v>
      </c>
      <c r="E112" s="906"/>
      <c r="F112" s="1726">
        <f>'Revenues 9-14'!C156</f>
        <v>0</v>
      </c>
      <c r="G112" s="912"/>
    </row>
    <row r="113" spans="1:7" x14ac:dyDescent="0.2">
      <c r="A113" s="908" t="s">
        <v>668</v>
      </c>
      <c r="B113" s="908" t="s">
        <v>2010</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844">
        <f>SUM('Revenues 9-14'!C163:G163)</f>
        <v>0</v>
      </c>
      <c r="G118" s="912"/>
    </row>
    <row r="119" spans="1:7" x14ac:dyDescent="0.2">
      <c r="A119" s="923" t="s">
        <v>504</v>
      </c>
      <c r="B119" s="923" t="s">
        <v>2016</v>
      </c>
      <c r="C119" s="924">
        <f>'Revenues 9-14'!B164</f>
        <v>3815</v>
      </c>
      <c r="D119" s="925" t="str">
        <f>'Revenues 9-14'!A164</f>
        <v>State Charter Schools</v>
      </c>
      <c r="E119" s="906"/>
      <c r="F119" s="184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26">
        <f>'Revenues 9-14'!D167</f>
        <v>0</v>
      </c>
      <c r="G120" s="930"/>
    </row>
    <row r="121" spans="1:7" x14ac:dyDescent="0.2">
      <c r="A121" s="927" t="s">
        <v>500</v>
      </c>
      <c r="B121" s="927" t="s">
        <v>2018</v>
      </c>
      <c r="C121" s="928">
        <f>'Revenues 9-14'!B168</f>
        <v>3999</v>
      </c>
      <c r="D121" s="929" t="s">
        <v>543</v>
      </c>
      <c r="E121" s="931"/>
      <c r="F121" s="1726">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26">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668</v>
      </c>
      <c r="B124" s="927" t="s">
        <v>2021</v>
      </c>
      <c r="C124" s="932">
        <v>4100</v>
      </c>
      <c r="D124" s="933" t="str">
        <f>'Revenues 9-14'!A188</f>
        <v>Total Title V</v>
      </c>
      <c r="E124" s="906"/>
      <c r="F124" s="1726">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26">
        <f>SUM('Revenues 9-14'!C198,'Revenues 9-14'!G198)</f>
        <v>471990</v>
      </c>
      <c r="G125" s="930"/>
    </row>
    <row r="126" spans="1:7" x14ac:dyDescent="0.2">
      <c r="A126" s="927" t="s">
        <v>668</v>
      </c>
      <c r="B126" s="927" t="s">
        <v>2023</v>
      </c>
      <c r="C126" s="932">
        <v>4300</v>
      </c>
      <c r="D126" s="933" t="str">
        <f>'Revenues 9-14'!A204</f>
        <v>Total Title I</v>
      </c>
      <c r="E126" s="906"/>
      <c r="F126" s="1726">
        <f>SUM('Revenues 9-14'!C204,'Revenues 9-14'!D204,'Revenues 9-14'!F204,'Revenues 9-14'!G204)</f>
        <v>421680</v>
      </c>
      <c r="G126" s="930"/>
    </row>
    <row r="127" spans="1:7" x14ac:dyDescent="0.2">
      <c r="A127" s="927" t="s">
        <v>668</v>
      </c>
      <c r="B127" s="927" t="s">
        <v>2024</v>
      </c>
      <c r="C127" s="932">
        <v>4400</v>
      </c>
      <c r="D127" s="933" t="str">
        <f>'Revenues 9-14'!A209</f>
        <v>Total Title IV</v>
      </c>
      <c r="E127" s="906"/>
      <c r="F127" s="1726">
        <f>SUM('Revenues 9-14'!C209,'Revenues 9-14'!D209,'Revenues 9-14'!F209,'Revenues 9-14'!G209)</f>
        <v>33175</v>
      </c>
      <c r="G127" s="930"/>
    </row>
    <row r="128" spans="1:7" x14ac:dyDescent="0.2">
      <c r="A128" s="927" t="s">
        <v>668</v>
      </c>
      <c r="B128" s="927" t="s">
        <v>2025</v>
      </c>
      <c r="C128" s="932">
        <f>'Revenues 9-14'!B213</f>
        <v>4620</v>
      </c>
      <c r="D128" s="933" t="str">
        <f>'Revenues 9-14'!A213</f>
        <v>Fed - Spec Education - IDEA - Flow Through</v>
      </c>
      <c r="E128" s="906"/>
      <c r="F128" s="1726">
        <f>SUM('Revenues 9-14'!C213:D213,'Revenues 9-14'!F213:G213)</f>
        <v>652551</v>
      </c>
      <c r="G128" s="930"/>
    </row>
    <row r="129" spans="1:7" x14ac:dyDescent="0.2">
      <c r="A129" s="927" t="s">
        <v>668</v>
      </c>
      <c r="B129" s="927" t="s">
        <v>2026</v>
      </c>
      <c r="C129" s="932">
        <f>'Revenues 9-14'!B214</f>
        <v>4625</v>
      </c>
      <c r="D129" s="933" t="str">
        <f>'Revenues 9-14'!A214</f>
        <v>Fed - Spec Education - IDEA - Room &amp; Board</v>
      </c>
      <c r="E129" s="906"/>
      <c r="F129" s="1726">
        <f>SUM('Revenues 9-14'!C214,'Revenues 9-14'!D214,'Revenues 9-14'!F214,'Revenues 9-14'!G214)</f>
        <v>30611</v>
      </c>
      <c r="G129" s="930"/>
    </row>
    <row r="130" spans="1:7" x14ac:dyDescent="0.2">
      <c r="A130" s="927" t="s">
        <v>668</v>
      </c>
      <c r="B130" s="927" t="s">
        <v>2027</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673</v>
      </c>
      <c r="B132" s="927" t="s">
        <v>2028</v>
      </c>
      <c r="C132" s="932">
        <v>4700</v>
      </c>
      <c r="D132" s="929" t="str">
        <f>'Revenues 9-14'!A221</f>
        <v>Total CTE - Perkins</v>
      </c>
      <c r="E132" s="906"/>
      <c r="F132" s="1726">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26">
        <v>0</v>
      </c>
      <c r="G138" s="905"/>
    </row>
    <row r="139" spans="1:7" s="867" customFormat="1" hidden="1" x14ac:dyDescent="0.2">
      <c r="A139" s="934" t="s">
        <v>206</v>
      </c>
      <c r="B139" s="934" t="s">
        <v>2035</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1417</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500</v>
      </c>
      <c r="B157" s="939" t="s">
        <v>2043</v>
      </c>
      <c r="C157" s="940" t="s">
        <v>841</v>
      </c>
      <c r="D157" s="941" t="s">
        <v>777</v>
      </c>
      <c r="E157" s="942"/>
      <c r="F157" s="1726">
        <f>SUM(F133:F156)</f>
        <v>0</v>
      </c>
      <c r="G157" s="905"/>
    </row>
    <row r="158" spans="1:7" s="867" customFormat="1" x14ac:dyDescent="0.2">
      <c r="A158" s="938" t="s">
        <v>459</v>
      </c>
      <c r="B158" s="939" t="s">
        <v>2044</v>
      </c>
      <c r="C158" s="940" t="s">
        <v>1427</v>
      </c>
      <c r="D158" s="941" t="s">
        <v>1428</v>
      </c>
      <c r="E158" s="942"/>
      <c r="F158" s="1726">
        <f>SUM('Revenues 9-14'!C253)</f>
        <v>0</v>
      </c>
      <c r="G158" s="905"/>
    </row>
    <row r="159" spans="1:7" s="867" customFormat="1" x14ac:dyDescent="0.2">
      <c r="A159" s="938" t="s">
        <v>500</v>
      </c>
      <c r="B159" s="939" t="s">
        <v>2045</v>
      </c>
      <c r="C159" s="940" t="s">
        <v>1466</v>
      </c>
      <c r="D159" s="941" t="s">
        <v>1467</v>
      </c>
      <c r="E159" s="942"/>
      <c r="F159" s="1726">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26">
        <f>SUM('Revenues 9-14'!C255,'Revenues 9-14'!F255,'Revenues 9-14'!G255)</f>
        <v>5978</v>
      </c>
      <c r="G160" s="943">
        <v>6306</v>
      </c>
    </row>
    <row r="161" spans="1:7" x14ac:dyDescent="0.2">
      <c r="A161" s="927" t="s">
        <v>5</v>
      </c>
      <c r="B161" s="927" t="s">
        <v>2047</v>
      </c>
      <c r="C161" s="932">
        <f>'Revenues 9-14'!B256</f>
        <v>4909</v>
      </c>
      <c r="D161" s="929" t="str">
        <f>'Revenues 9-14'!A256</f>
        <v>Title III - Language Inst Program - Limited Eng (LIPLEP)</v>
      </c>
      <c r="E161" s="906"/>
      <c r="F161" s="1726">
        <f>SUM('Revenues 9-14'!C256,'Revenues 9-14'!F256,'Revenues 9-14'!G256)</f>
        <v>55209</v>
      </c>
      <c r="G161" s="943"/>
    </row>
    <row r="162" spans="1:7" x14ac:dyDescent="0.2">
      <c r="A162" s="927" t="s">
        <v>668</v>
      </c>
      <c r="B162" s="927" t="s">
        <v>2048</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844">
        <f>SUM('Revenues 9-14'!C259,'Revenues 9-14'!D259,'Revenues 9-14'!F259,'Revenues 9-14'!G259)</f>
        <v>81309</v>
      </c>
      <c r="G164" s="930"/>
    </row>
    <row r="165" spans="1:7" x14ac:dyDescent="0.2">
      <c r="A165" s="927" t="s">
        <v>668</v>
      </c>
      <c r="B165" s="927" t="s">
        <v>2051</v>
      </c>
      <c r="C165" s="932">
        <f>'Revenues 9-14'!B260</f>
        <v>4960</v>
      </c>
      <c r="D165" s="929" t="str">
        <f>'Revenues 9-14'!A260</f>
        <v>Federal Charter Schools</v>
      </c>
      <c r="E165" s="906"/>
      <c r="F165" s="1726">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26">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26">
        <f>SUM('Revenues 9-14'!C263:D263,'Revenues 9-14'!F263:G263)</f>
        <v>58080</v>
      </c>
      <c r="G168" s="947">
        <v>6320</v>
      </c>
    </row>
    <row r="169" spans="1:7" x14ac:dyDescent="0.2">
      <c r="A169" s="927" t="s">
        <v>668</v>
      </c>
      <c r="B169" s="927" t="s">
        <v>2053</v>
      </c>
      <c r="C169" s="932">
        <f>'Revenues 9-14'!B264</f>
        <v>4992</v>
      </c>
      <c r="D169" s="933" t="str">
        <f>'Revenues 9-14'!A264</f>
        <v>Medicaid Matching Funds - Fee-for-Service Program</v>
      </c>
      <c r="E169" s="906"/>
      <c r="F169" s="1726">
        <f>SUM('Revenues 9-14'!C264:D264,'Revenues 9-14'!F264:G264)</f>
        <v>363723</v>
      </c>
      <c r="G169" s="947"/>
    </row>
    <row r="170" spans="1:7" x14ac:dyDescent="0.2">
      <c r="A170" s="948" t="s">
        <v>668</v>
      </c>
      <c r="B170" s="944" t="s">
        <v>2054</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1919</v>
      </c>
      <c r="C171" s="1857">
        <v>3100</v>
      </c>
      <c r="D171" s="1858" t="s">
        <v>1921</v>
      </c>
      <c r="E171" s="906"/>
      <c r="F171" s="1843">
        <v>1014260.89</v>
      </c>
      <c r="G171" s="927"/>
    </row>
    <row r="172" spans="1:7" x14ac:dyDescent="0.2">
      <c r="A172" s="1855" t="s">
        <v>664</v>
      </c>
      <c r="B172" s="1856" t="s">
        <v>1919</v>
      </c>
      <c r="C172" s="1857">
        <v>3300</v>
      </c>
      <c r="D172" s="1858" t="s">
        <v>1922</v>
      </c>
      <c r="E172" s="906"/>
      <c r="F172" s="1843">
        <v>163818.54999999999</v>
      </c>
      <c r="G172" s="927"/>
    </row>
    <row r="173" spans="1:7" ht="6" customHeight="1" x14ac:dyDescent="0.2">
      <c r="A173" s="927"/>
      <c r="B173" s="927"/>
      <c r="C173" s="949"/>
      <c r="D173" s="927"/>
      <c r="E173" s="906"/>
      <c r="F173" s="950"/>
      <c r="G173" s="947"/>
    </row>
    <row r="174" spans="1:7" x14ac:dyDescent="0.2">
      <c r="A174" s="1707"/>
      <c r="B174" s="1721"/>
      <c r="C174" s="1722"/>
      <c r="D174" s="1723" t="s">
        <v>2055</v>
      </c>
      <c r="E174" s="1724" t="s">
        <v>958</v>
      </c>
      <c r="F174" s="1725">
        <f>SUM(F84:F132,F157:F172)</f>
        <v>4909397.4399999995</v>
      </c>
    </row>
    <row r="175" spans="1:7" ht="12" customHeight="1" x14ac:dyDescent="0.2">
      <c r="A175" s="1707"/>
      <c r="B175" s="1721"/>
      <c r="C175" s="1722"/>
      <c r="D175" s="1723" t="s">
        <v>2056</v>
      </c>
      <c r="E175" s="1724"/>
      <c r="F175" s="1726">
        <f>'PCTC-OEPP 27-28'!F77-F174</f>
        <v>34235718.560000002</v>
      </c>
    </row>
    <row r="176" spans="1:7" ht="12" customHeight="1" x14ac:dyDescent="0.2">
      <c r="A176" s="1707"/>
      <c r="B176" s="1721"/>
      <c r="C176" s="1722"/>
      <c r="D176" s="1723" t="s">
        <v>1816</v>
      </c>
      <c r="E176" s="1724"/>
      <c r="F176" s="1726">
        <f>'Cap Outlay Deprec 26'!I18</f>
        <v>1195540.8999999999</v>
      </c>
    </row>
    <row r="177" spans="1:7" ht="12" customHeight="1" x14ac:dyDescent="0.2">
      <c r="A177" s="1707"/>
      <c r="B177" s="1721"/>
      <c r="C177" s="1722"/>
      <c r="D177" s="1723" t="s">
        <v>2057</v>
      </c>
      <c r="E177" s="1724"/>
      <c r="F177" s="1726">
        <f>F175+F176</f>
        <v>35431259.460000001</v>
      </c>
    </row>
    <row r="178" spans="1:7" ht="12" customHeight="1" x14ac:dyDescent="0.2">
      <c r="A178" s="1707"/>
      <c r="B178" s="1727"/>
      <c r="C178" s="1722"/>
      <c r="D178" s="1723" t="str">
        <f>D78</f>
        <v>9 Month ADA from District Average Daily Attendance/Prior General State Aid Inquiry 2018-2019</v>
      </c>
      <c r="E178" s="1724"/>
      <c r="F178" s="1728">
        <f>'PCTC-OEPP 27-28'!F78</f>
        <v>2859.9</v>
      </c>
      <c r="G178" s="930"/>
    </row>
    <row r="179" spans="1:7" ht="12" customHeight="1" thickBot="1" x14ac:dyDescent="0.25">
      <c r="A179" s="1707"/>
      <c r="B179" s="1727"/>
      <c r="C179" s="1722"/>
      <c r="D179" s="1723" t="s">
        <v>2058</v>
      </c>
      <c r="E179" s="1724" t="s">
        <v>1545</v>
      </c>
      <c r="F179" s="1729">
        <f>F177/F178</f>
        <v>12388.985440050352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859" customFormat="1" ht="12.2" customHeight="1" x14ac:dyDescent="0.2">
      <c r="A182" s="1859" t="s">
        <v>1993</v>
      </c>
      <c r="B182" s="1860"/>
      <c r="C182" s="1861"/>
      <c r="D182" s="1860"/>
      <c r="E182" s="1861"/>
      <c r="F182" s="1860"/>
      <c r="G182" s="1860"/>
    </row>
    <row r="183" spans="1:7" s="1859" customFormat="1" ht="12.2" customHeight="1" x14ac:dyDescent="0.2">
      <c r="A183" s="1862" t="s">
        <v>1995</v>
      </c>
      <c r="C183" s="1861"/>
      <c r="D183" s="1860"/>
      <c r="E183" s="1861"/>
      <c r="F183" s="1860"/>
      <c r="G183" s="1860"/>
    </row>
    <row r="184" spans="1:7" ht="12" customHeight="1" x14ac:dyDescent="0.2">
      <c r="C184" s="949"/>
      <c r="D184" s="930"/>
      <c r="E184" s="949"/>
      <c r="F184" s="930"/>
      <c r="G184" s="930"/>
    </row>
    <row r="185" spans="1:7" x14ac:dyDescent="0.2">
      <c r="A185" s="1863" t="s">
        <v>1924</v>
      </c>
      <c r="B185" s="186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 zoomScale="90" zoomScaleNormal="90" workbookViewId="0">
      <selection activeCell="B46" sqref="B46"/>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1831</v>
      </c>
      <c r="B1" s="1598"/>
      <c r="C1" s="1598"/>
      <c r="D1" s="1598"/>
      <c r="E1" s="1598"/>
      <c r="F1" s="1598"/>
      <c r="G1" s="1598"/>
    </row>
    <row r="2" spans="1:7" x14ac:dyDescent="0.25">
      <c r="A2" s="1595"/>
      <c r="B2" s="1595"/>
      <c r="C2" s="1596" t="s">
        <v>979</v>
      </c>
      <c r="D2" s="1595"/>
      <c r="E2" s="1595"/>
      <c r="F2" s="1595"/>
      <c r="G2" s="1595"/>
    </row>
    <row r="3" spans="1:7" ht="5.25" customHeight="1" x14ac:dyDescent="0.25">
      <c r="A3" s="1483"/>
      <c r="B3" s="1483"/>
      <c r="C3" s="1483"/>
      <c r="D3" s="1483"/>
      <c r="E3" s="1483"/>
      <c r="F3" s="1483"/>
      <c r="G3" s="1483"/>
    </row>
    <row r="4" spans="1:7" ht="18.75" customHeight="1" x14ac:dyDescent="0.25">
      <c r="A4" s="2284" t="s">
        <v>1817</v>
      </c>
      <c r="B4" s="2285"/>
      <c r="C4" s="2285"/>
      <c r="D4" s="2285"/>
      <c r="E4" s="2285"/>
      <c r="F4" s="2285"/>
      <c r="G4" s="2286"/>
    </row>
    <row r="5" spans="1:7" x14ac:dyDescent="0.25">
      <c r="A5" s="2287"/>
      <c r="B5" s="2288"/>
      <c r="C5" s="2288"/>
      <c r="D5" s="2288"/>
      <c r="E5" s="2288"/>
      <c r="F5" s="2288"/>
      <c r="G5" s="2289"/>
    </row>
    <row r="6" spans="1:7" ht="18.75" x14ac:dyDescent="0.25">
      <c r="A6" s="1472" t="s">
        <v>1818</v>
      </c>
      <c r="B6" s="1473"/>
      <c r="C6" s="1473"/>
      <c r="D6" s="1473"/>
      <c r="E6" s="1473"/>
      <c r="F6" s="1473"/>
      <c r="G6" s="1474"/>
    </row>
    <row r="7" spans="1:7" ht="30.75" customHeight="1" x14ac:dyDescent="0.25">
      <c r="A7" s="2290" t="s">
        <v>1931</v>
      </c>
      <c r="B7" s="2291"/>
      <c r="C7" s="2291"/>
      <c r="D7" s="2291"/>
      <c r="E7" s="2291"/>
      <c r="F7" s="2291"/>
      <c r="G7" s="2292"/>
    </row>
    <row r="8" spans="1:7" ht="15.75" customHeight="1" x14ac:dyDescent="0.25">
      <c r="A8" s="2293" t="s">
        <v>1906</v>
      </c>
      <c r="B8" s="2294"/>
      <c r="C8" s="2294"/>
      <c r="D8" s="2294"/>
      <c r="E8" s="2294"/>
      <c r="F8" s="2294"/>
      <c r="G8" s="2295"/>
    </row>
    <row r="9" spans="1:7" ht="35.25" customHeight="1" x14ac:dyDescent="0.25">
      <c r="A9" s="2290" t="s">
        <v>1934</v>
      </c>
      <c r="B9" s="2291"/>
      <c r="C9" s="2291"/>
      <c r="D9" s="2291"/>
      <c r="E9" s="2291"/>
      <c r="F9" s="2291"/>
      <c r="G9" s="2292"/>
    </row>
    <row r="10" spans="1:7" ht="15" customHeight="1" x14ac:dyDescent="0.25">
      <c r="A10" s="1475" t="s">
        <v>1819</v>
      </c>
      <c r="B10" s="1476"/>
      <c r="C10" s="1476"/>
      <c r="D10" s="1476"/>
      <c r="E10" s="1476"/>
      <c r="F10" s="1476"/>
      <c r="G10" s="1477"/>
    </row>
    <row r="11" spans="1:7" ht="17.25" customHeight="1" x14ac:dyDescent="0.25">
      <c r="A11" s="2290" t="s">
        <v>1933</v>
      </c>
      <c r="B11" s="2291"/>
      <c r="C11" s="2291"/>
      <c r="D11" s="2291"/>
      <c r="E11" s="2291"/>
      <c r="F11" s="2291"/>
      <c r="G11" s="2292"/>
    </row>
    <row r="12" spans="1:7" ht="15" customHeight="1" x14ac:dyDescent="0.25">
      <c r="A12" s="1475" t="s">
        <v>1824</v>
      </c>
      <c r="B12" s="1476"/>
      <c r="C12" s="1476"/>
      <c r="D12" s="1476"/>
      <c r="E12" s="1476"/>
      <c r="F12" s="1476"/>
      <c r="G12" s="1477"/>
    </row>
    <row r="13" spans="1:7" ht="32.25" customHeight="1" x14ac:dyDescent="0.25">
      <c r="A13" s="2281" t="s">
        <v>1975</v>
      </c>
      <c r="B13" s="2282"/>
      <c r="C13" s="2282"/>
      <c r="D13" s="2282"/>
      <c r="E13" s="2282"/>
      <c r="F13" s="2282"/>
      <c r="G13" s="2283"/>
    </row>
    <row r="14" spans="1:7" x14ac:dyDescent="0.25">
      <c r="A14" s="1599" t="s">
        <v>1832</v>
      </c>
      <c r="B14" s="1600"/>
      <c r="C14" s="1600"/>
      <c r="D14" s="1600"/>
      <c r="E14" s="1600"/>
      <c r="F14" s="1600"/>
      <c r="G14" s="1601"/>
    </row>
    <row r="15" spans="1:7" ht="61.5" customHeight="1" x14ac:dyDescent="0.25">
      <c r="A15" s="1484" t="s">
        <v>1825</v>
      </c>
      <c r="B15" s="1484" t="s">
        <v>1826</v>
      </c>
      <c r="C15" s="1484" t="s">
        <v>1827</v>
      </c>
      <c r="D15" s="1485" t="s">
        <v>1828</v>
      </c>
      <c r="E15" s="1485" t="s">
        <v>1820</v>
      </c>
      <c r="F15" s="1485" t="s">
        <v>1829</v>
      </c>
      <c r="G15" s="1485" t="s">
        <v>1830</v>
      </c>
    </row>
    <row r="16" spans="1:7" x14ac:dyDescent="0.25">
      <c r="A16" s="1586" t="s">
        <v>1833</v>
      </c>
      <c r="B16" s="1587" t="s">
        <v>1823</v>
      </c>
      <c r="C16" s="1588" t="s">
        <v>1821</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ht="30" x14ac:dyDescent="0.25">
      <c r="A17" s="1867" t="s">
        <v>2074</v>
      </c>
      <c r="B17" s="1872" t="s">
        <v>2120</v>
      </c>
      <c r="C17" s="1594" t="s">
        <v>2075</v>
      </c>
      <c r="D17" s="1781">
        <v>36006</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11006</v>
      </c>
      <c r="H17" s="1585"/>
    </row>
    <row r="18" spans="1:8" x14ac:dyDescent="0.25">
      <c r="A18" s="1591" t="s">
        <v>2076</v>
      </c>
      <c r="B18" s="2501" t="s">
        <v>2186</v>
      </c>
      <c r="C18" s="1594" t="s">
        <v>2077</v>
      </c>
      <c r="D18" s="1781">
        <v>118300</v>
      </c>
      <c r="E18" s="1478">
        <f t="shared" ref="E18:E140" si="2">IF(D18&lt;=25000,D18,IF(D18&gt;25000,25000,0))</f>
        <v>25000</v>
      </c>
      <c r="F18" s="1870">
        <f t="shared" si="1"/>
        <v>25000</v>
      </c>
      <c r="G18" s="1730">
        <f t="shared" ref="G18:G140" si="3">IF(F18=0,0,D18-F18)</f>
        <v>93300</v>
      </c>
    </row>
    <row r="19" spans="1:8" ht="30" x14ac:dyDescent="0.25">
      <c r="A19" s="1591" t="s">
        <v>2074</v>
      </c>
      <c r="B19" s="1872" t="s">
        <v>2120</v>
      </c>
      <c r="C19" s="1594" t="s">
        <v>2078</v>
      </c>
      <c r="D19" s="1781">
        <v>29950</v>
      </c>
      <c r="E19" s="1478">
        <f t="shared" si="2"/>
        <v>25000</v>
      </c>
      <c r="F19" s="1870">
        <f t="shared" si="1"/>
        <v>25000</v>
      </c>
      <c r="G19" s="1730">
        <f t="shared" si="3"/>
        <v>4950</v>
      </c>
    </row>
    <row r="20" spans="1:8" ht="30" x14ac:dyDescent="0.25">
      <c r="A20" s="1591" t="s">
        <v>2079</v>
      </c>
      <c r="B20" s="2501" t="s">
        <v>2186</v>
      </c>
      <c r="C20" s="1594" t="s">
        <v>2080</v>
      </c>
      <c r="D20" s="1781">
        <v>43147.53</v>
      </c>
      <c r="E20" s="1478">
        <f t="shared" si="2"/>
        <v>25000</v>
      </c>
      <c r="F20" s="1870">
        <f t="shared" si="1"/>
        <v>25000</v>
      </c>
      <c r="G20" s="1730">
        <f t="shared" si="3"/>
        <v>18147.53</v>
      </c>
    </row>
    <row r="21" spans="1:8" x14ac:dyDescent="0.25">
      <c r="A21" s="1591" t="s">
        <v>2081</v>
      </c>
      <c r="B21" s="2501" t="s">
        <v>2187</v>
      </c>
      <c r="C21" s="1594" t="s">
        <v>2082</v>
      </c>
      <c r="D21" s="1781">
        <v>45930</v>
      </c>
      <c r="E21" s="1478">
        <f t="shared" si="2"/>
        <v>25000</v>
      </c>
      <c r="F21" s="1870">
        <f t="shared" si="1"/>
        <v>25000</v>
      </c>
      <c r="G21" s="1730">
        <f t="shared" si="3"/>
        <v>20930</v>
      </c>
    </row>
    <row r="22" spans="1:8" ht="30" x14ac:dyDescent="0.25">
      <c r="A22" s="1591" t="s">
        <v>2074</v>
      </c>
      <c r="B22" s="1872" t="s">
        <v>2120</v>
      </c>
      <c r="C22" s="1594" t="s">
        <v>2083</v>
      </c>
      <c r="D22" s="1781">
        <v>1447609.2</v>
      </c>
      <c r="E22" s="1478">
        <f t="shared" si="2"/>
        <v>25000</v>
      </c>
      <c r="F22" s="1870">
        <f t="shared" si="1"/>
        <v>25000</v>
      </c>
      <c r="G22" s="1730">
        <f t="shared" si="3"/>
        <v>1422609.2</v>
      </c>
    </row>
    <row r="23" spans="1:8" x14ac:dyDescent="0.25">
      <c r="A23" s="1591" t="s">
        <v>2084</v>
      </c>
      <c r="B23" s="2501" t="s">
        <v>2188</v>
      </c>
      <c r="C23" s="1594" t="s">
        <v>2085</v>
      </c>
      <c r="D23" s="1781">
        <v>17045.5</v>
      </c>
      <c r="E23" s="1478">
        <f t="shared" si="2"/>
        <v>17045.5</v>
      </c>
      <c r="F23" s="1870">
        <f t="shared" si="1"/>
        <v>17045.5</v>
      </c>
      <c r="G23" s="1730">
        <f t="shared" si="3"/>
        <v>0</v>
      </c>
    </row>
    <row r="24" spans="1:8" x14ac:dyDescent="0.25">
      <c r="A24" s="1591" t="s">
        <v>2086</v>
      </c>
      <c r="B24" s="2501" t="s">
        <v>2189</v>
      </c>
      <c r="C24" s="1594" t="s">
        <v>2085</v>
      </c>
      <c r="D24" s="1781">
        <v>17893.7</v>
      </c>
      <c r="E24" s="1478">
        <f t="shared" si="2"/>
        <v>17893.7</v>
      </c>
      <c r="F24" s="1870">
        <f t="shared" si="1"/>
        <v>17893.7</v>
      </c>
      <c r="G24" s="1730">
        <f t="shared" si="3"/>
        <v>0</v>
      </c>
    </row>
    <row r="25" spans="1:8" x14ac:dyDescent="0.25">
      <c r="A25" s="1591" t="s">
        <v>2087</v>
      </c>
      <c r="B25" s="1872" t="s">
        <v>2121</v>
      </c>
      <c r="C25" s="1594" t="s">
        <v>2088</v>
      </c>
      <c r="D25" s="1781">
        <v>28599.77</v>
      </c>
      <c r="E25" s="1478">
        <f t="shared" si="2"/>
        <v>25000</v>
      </c>
      <c r="F25" s="1870">
        <f t="shared" si="1"/>
        <v>25000</v>
      </c>
      <c r="G25" s="1730">
        <f t="shared" si="3"/>
        <v>3599.7700000000004</v>
      </c>
    </row>
    <row r="26" spans="1:8" x14ac:dyDescent="0.25">
      <c r="A26" s="1591" t="s">
        <v>2089</v>
      </c>
      <c r="B26" s="2501" t="s">
        <v>2187</v>
      </c>
      <c r="C26" s="1592" t="s">
        <v>2090</v>
      </c>
      <c r="D26" s="1781">
        <v>44550</v>
      </c>
      <c r="E26" s="1478">
        <f t="shared" si="2"/>
        <v>25000</v>
      </c>
      <c r="F26" s="1870">
        <f t="shared" si="1"/>
        <v>25000</v>
      </c>
      <c r="G26" s="1730">
        <f t="shared" si="3"/>
        <v>19550</v>
      </c>
    </row>
    <row r="27" spans="1:8" x14ac:dyDescent="0.25">
      <c r="A27" s="1591" t="s">
        <v>2089</v>
      </c>
      <c r="B27" s="2501" t="s">
        <v>2187</v>
      </c>
      <c r="C27" s="1592" t="s">
        <v>2090</v>
      </c>
      <c r="D27" s="1781">
        <v>1350</v>
      </c>
      <c r="E27" s="1478">
        <f t="shared" si="2"/>
        <v>1350</v>
      </c>
      <c r="F27" s="1870">
        <f t="shared" si="1"/>
        <v>1350</v>
      </c>
      <c r="G27" s="1730">
        <f t="shared" si="3"/>
        <v>0</v>
      </c>
    </row>
    <row r="28" spans="1:8" x14ac:dyDescent="0.25">
      <c r="A28" s="1591" t="s">
        <v>2091</v>
      </c>
      <c r="B28" s="2501" t="s">
        <v>2189</v>
      </c>
      <c r="C28" s="1592" t="s">
        <v>2092</v>
      </c>
      <c r="D28" s="1781">
        <v>43998</v>
      </c>
      <c r="E28" s="1478">
        <f t="shared" si="2"/>
        <v>25000</v>
      </c>
      <c r="F28" s="1870">
        <f t="shared" si="1"/>
        <v>25000</v>
      </c>
      <c r="G28" s="1730">
        <f t="shared" si="3"/>
        <v>18998</v>
      </c>
    </row>
    <row r="29" spans="1:8" x14ac:dyDescent="0.25">
      <c r="A29" s="1591" t="s">
        <v>2091</v>
      </c>
      <c r="B29" s="2501" t="s">
        <v>2189</v>
      </c>
      <c r="C29" s="1592" t="s">
        <v>2092</v>
      </c>
      <c r="D29" s="1781">
        <v>71906</v>
      </c>
      <c r="E29" s="1478">
        <f t="shared" si="2"/>
        <v>25000</v>
      </c>
      <c r="F29" s="1870">
        <f t="shared" si="1"/>
        <v>25000</v>
      </c>
      <c r="G29" s="1730">
        <f t="shared" si="3"/>
        <v>46906</v>
      </c>
    </row>
    <row r="30" spans="1:8" x14ac:dyDescent="0.25">
      <c r="A30" s="1591" t="s">
        <v>2076</v>
      </c>
      <c r="B30" s="2501" t="s">
        <v>2186</v>
      </c>
      <c r="C30" s="1592" t="s">
        <v>2093</v>
      </c>
      <c r="D30" s="1781">
        <v>39298.800000000003</v>
      </c>
      <c r="E30" s="1478">
        <f t="shared" si="2"/>
        <v>25000</v>
      </c>
      <c r="F30" s="1870">
        <f t="shared" si="1"/>
        <v>25000</v>
      </c>
      <c r="G30" s="1730">
        <f t="shared" si="3"/>
        <v>14298.800000000003</v>
      </c>
    </row>
    <row r="31" spans="1:8" x14ac:dyDescent="0.25">
      <c r="A31" s="1591" t="s">
        <v>2081</v>
      </c>
      <c r="B31" s="2501" t="s">
        <v>2187</v>
      </c>
      <c r="C31" s="1592" t="s">
        <v>2094</v>
      </c>
      <c r="D31" s="1781">
        <v>33500</v>
      </c>
      <c r="E31" s="1478">
        <f t="shared" si="2"/>
        <v>25000</v>
      </c>
      <c r="F31" s="1870">
        <f t="shared" si="1"/>
        <v>25000</v>
      </c>
      <c r="G31" s="1730">
        <f t="shared" si="3"/>
        <v>8500</v>
      </c>
    </row>
    <row r="32" spans="1:8" x14ac:dyDescent="0.25">
      <c r="A32" s="1591" t="s">
        <v>2095</v>
      </c>
      <c r="B32" s="1872" t="s">
        <v>2122</v>
      </c>
      <c r="C32" s="1592" t="s">
        <v>2096</v>
      </c>
      <c r="D32" s="1781">
        <v>476366.23</v>
      </c>
      <c r="E32" s="1478">
        <f t="shared" si="2"/>
        <v>25000</v>
      </c>
      <c r="F32" s="1870">
        <f t="shared" si="1"/>
        <v>25000</v>
      </c>
      <c r="G32" s="1730">
        <f t="shared" si="3"/>
        <v>451366.23</v>
      </c>
    </row>
    <row r="33" spans="1:7" ht="30" x14ac:dyDescent="0.25">
      <c r="A33" s="1591" t="s">
        <v>2074</v>
      </c>
      <c r="B33" s="1872" t="s">
        <v>2120</v>
      </c>
      <c r="C33" s="1592" t="s">
        <v>2097</v>
      </c>
      <c r="D33" s="1781">
        <v>84411.26</v>
      </c>
      <c r="E33" s="1478">
        <f t="shared" si="2"/>
        <v>25000</v>
      </c>
      <c r="F33" s="1870">
        <f t="shared" si="1"/>
        <v>25000</v>
      </c>
      <c r="G33" s="1730">
        <f t="shared" si="3"/>
        <v>59411.259999999995</v>
      </c>
    </row>
    <row r="34" spans="1:7" x14ac:dyDescent="0.25">
      <c r="A34" s="1591" t="s">
        <v>2098</v>
      </c>
      <c r="B34" s="1872" t="s">
        <v>2123</v>
      </c>
      <c r="C34" s="1592" t="s">
        <v>2099</v>
      </c>
      <c r="D34" s="1781">
        <v>37514.75</v>
      </c>
      <c r="E34" s="1478">
        <f t="shared" si="2"/>
        <v>25000</v>
      </c>
      <c r="F34" s="1870">
        <f t="shared" si="1"/>
        <v>25000</v>
      </c>
      <c r="G34" s="1730">
        <f t="shared" si="3"/>
        <v>12514.75</v>
      </c>
    </row>
    <row r="35" spans="1:7" x14ac:dyDescent="0.25">
      <c r="A35" s="1591" t="s">
        <v>2100</v>
      </c>
      <c r="B35" s="2501" t="s">
        <v>2189</v>
      </c>
      <c r="C35" s="1592" t="s">
        <v>2101</v>
      </c>
      <c r="D35" s="1781">
        <v>24752</v>
      </c>
      <c r="E35" s="1478">
        <f t="shared" si="2"/>
        <v>24752</v>
      </c>
      <c r="F35" s="1870">
        <f t="shared" si="1"/>
        <v>24752</v>
      </c>
      <c r="G35" s="1730">
        <f t="shared" si="3"/>
        <v>0</v>
      </c>
    </row>
    <row r="36" spans="1:7" x14ac:dyDescent="0.25">
      <c r="A36" s="1591" t="s">
        <v>2100</v>
      </c>
      <c r="B36" s="2501" t="s">
        <v>2189</v>
      </c>
      <c r="C36" s="1592" t="s">
        <v>2101</v>
      </c>
      <c r="D36" s="1781">
        <v>13976</v>
      </c>
      <c r="E36" s="1478">
        <f t="shared" si="2"/>
        <v>13976</v>
      </c>
      <c r="F36" s="1870">
        <f t="shared" si="1"/>
        <v>13976</v>
      </c>
      <c r="G36" s="1730">
        <f t="shared" si="3"/>
        <v>0</v>
      </c>
    </row>
    <row r="37" spans="1:7" x14ac:dyDescent="0.25">
      <c r="A37" s="1591" t="s">
        <v>2102</v>
      </c>
      <c r="B37" s="2501" t="s">
        <v>2189</v>
      </c>
      <c r="C37" s="1592" t="s">
        <v>2101</v>
      </c>
      <c r="D37" s="1781">
        <v>13934</v>
      </c>
      <c r="E37" s="1478">
        <f t="shared" si="2"/>
        <v>13934</v>
      </c>
      <c r="F37" s="1870">
        <f t="shared" si="1"/>
        <v>13934</v>
      </c>
      <c r="G37" s="1730">
        <f t="shared" si="3"/>
        <v>0</v>
      </c>
    </row>
    <row r="38" spans="1:7" x14ac:dyDescent="0.25">
      <c r="A38" s="1591" t="s">
        <v>2102</v>
      </c>
      <c r="B38" s="2502" t="s">
        <v>2189</v>
      </c>
      <c r="C38" s="1592" t="s">
        <v>2101</v>
      </c>
      <c r="D38" s="1781">
        <v>2342</v>
      </c>
      <c r="E38" s="1478">
        <f t="shared" si="2"/>
        <v>2342</v>
      </c>
      <c r="F38" s="1870">
        <f t="shared" si="1"/>
        <v>2342</v>
      </c>
      <c r="G38" s="1730">
        <f t="shared" si="3"/>
        <v>0</v>
      </c>
    </row>
    <row r="39" spans="1:7" x14ac:dyDescent="0.25">
      <c r="A39" s="1591" t="s">
        <v>2102</v>
      </c>
      <c r="B39" s="2502" t="s">
        <v>2189</v>
      </c>
      <c r="C39" s="1592" t="s">
        <v>2101</v>
      </c>
      <c r="D39" s="1781">
        <v>2230</v>
      </c>
      <c r="E39" s="1478">
        <f t="shared" si="2"/>
        <v>2230</v>
      </c>
      <c r="F39" s="1870">
        <f t="shared" si="1"/>
        <v>2230</v>
      </c>
      <c r="G39" s="1730">
        <f t="shared" si="3"/>
        <v>0</v>
      </c>
    </row>
    <row r="40" spans="1:7" x14ac:dyDescent="0.25">
      <c r="A40" s="1591" t="s">
        <v>2103</v>
      </c>
      <c r="B40" s="2502" t="s">
        <v>2189</v>
      </c>
      <c r="C40" s="1592" t="s">
        <v>2101</v>
      </c>
      <c r="D40" s="1781">
        <v>30965</v>
      </c>
      <c r="E40" s="1478">
        <f t="shared" si="2"/>
        <v>25000</v>
      </c>
      <c r="F40" s="1870">
        <f t="shared" si="1"/>
        <v>25000</v>
      </c>
      <c r="G40" s="1730">
        <f t="shared" si="3"/>
        <v>5965</v>
      </c>
    </row>
    <row r="41" spans="1:7" x14ac:dyDescent="0.25">
      <c r="A41" s="1591" t="s">
        <v>2103</v>
      </c>
      <c r="B41" s="2502" t="s">
        <v>2189</v>
      </c>
      <c r="C41" s="1592" t="s">
        <v>2101</v>
      </c>
      <c r="D41" s="1781">
        <v>1845</v>
      </c>
      <c r="E41" s="1478">
        <f t="shared" si="2"/>
        <v>1845</v>
      </c>
      <c r="F41" s="1870">
        <f t="shared" si="1"/>
        <v>1845</v>
      </c>
      <c r="G41" s="1730">
        <f t="shared" si="3"/>
        <v>0</v>
      </c>
    </row>
    <row r="42" spans="1:7" x14ac:dyDescent="0.25">
      <c r="A42" s="1591" t="s">
        <v>2103</v>
      </c>
      <c r="B42" s="2502" t="s">
        <v>2189</v>
      </c>
      <c r="C42" s="1592" t="s">
        <v>2101</v>
      </c>
      <c r="D42" s="1781">
        <v>5419</v>
      </c>
      <c r="E42" s="1478">
        <f t="shared" si="2"/>
        <v>5419</v>
      </c>
      <c r="F42" s="1870">
        <f t="shared" si="1"/>
        <v>5419</v>
      </c>
      <c r="G42" s="1730">
        <f t="shared" si="3"/>
        <v>0</v>
      </c>
    </row>
    <row r="43" spans="1:7" ht="30" x14ac:dyDescent="0.25">
      <c r="A43" s="1591" t="s">
        <v>2074</v>
      </c>
      <c r="B43" s="1873" t="s">
        <v>2120</v>
      </c>
      <c r="C43" s="1592" t="s">
        <v>2106</v>
      </c>
      <c r="D43" s="1781">
        <v>785602.54</v>
      </c>
      <c r="E43" s="1478">
        <f t="shared" si="2"/>
        <v>25000</v>
      </c>
      <c r="F43" s="1870">
        <f t="shared" si="1"/>
        <v>25000</v>
      </c>
      <c r="G43" s="1730">
        <f t="shared" si="3"/>
        <v>760602.54</v>
      </c>
    </row>
    <row r="44" spans="1:7" x14ac:dyDescent="0.25">
      <c r="A44" s="1591" t="s">
        <v>2104</v>
      </c>
      <c r="B44" s="1873" t="s">
        <v>2124</v>
      </c>
      <c r="C44" s="1592" t="s">
        <v>2107</v>
      </c>
      <c r="D44" s="1781">
        <v>26022.77</v>
      </c>
      <c r="E44" s="1478">
        <f t="shared" si="2"/>
        <v>25000</v>
      </c>
      <c r="F44" s="1870">
        <f t="shared" si="1"/>
        <v>25000</v>
      </c>
      <c r="G44" s="1730">
        <f t="shared" si="3"/>
        <v>1022.7700000000004</v>
      </c>
    </row>
    <row r="45" spans="1:7" x14ac:dyDescent="0.25">
      <c r="A45" s="1591" t="s">
        <v>2105</v>
      </c>
      <c r="B45" s="2502" t="s">
        <v>2188</v>
      </c>
      <c r="C45" s="1592" t="s">
        <v>2108</v>
      </c>
      <c r="D45" s="1781">
        <v>34375</v>
      </c>
      <c r="E45" s="1478">
        <f t="shared" si="2"/>
        <v>25000</v>
      </c>
      <c r="F45" s="1870">
        <f t="shared" si="1"/>
        <v>25000</v>
      </c>
      <c r="G45" s="1730">
        <f t="shared" si="3"/>
        <v>9375</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3558840.05</v>
      </c>
      <c r="E141" s="1479">
        <f t="shared" si="0"/>
        <v>25000</v>
      </c>
      <c r="F141" s="1871">
        <f>SUM(F17:F140)</f>
        <v>575787.19999999995</v>
      </c>
      <c r="G141" s="1732">
        <f>SUM(G17:G140)</f>
        <v>2983052.85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I42" sqref="I42:O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1115</v>
      </c>
      <c r="B1" s="1573"/>
      <c r="C1" s="157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+'Expenditures 15-22'!E63+'Expenditures 15-22'!F63-E11</f>
        <v>433903</v>
      </c>
      <c r="F10" s="974"/>
      <c r="G10" s="975"/>
      <c r="H10" s="162"/>
      <c r="I10" s="162"/>
    </row>
    <row r="11" spans="1:9" s="668" customFormat="1" ht="22.5" customHeight="1" x14ac:dyDescent="0.2">
      <c r="A11" s="2301" t="s">
        <v>1976</v>
      </c>
      <c r="B11" s="2302"/>
      <c r="C11" s="2302"/>
      <c r="D11" s="2303"/>
      <c r="E11" s="977">
        <v>52783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76" t="s">
        <v>532</v>
      </c>
      <c r="E17" s="1577"/>
      <c r="F17" s="1576" t="s">
        <v>433</v>
      </c>
      <c r="G17" s="1578"/>
      <c r="H17" s="162"/>
      <c r="I17" s="162"/>
    </row>
    <row r="18" spans="1:9" s="259" customFormat="1" ht="11.25" x14ac:dyDescent="0.2">
      <c r="A18" s="988"/>
      <c r="C18" s="989" t="s">
        <v>434</v>
      </c>
      <c r="D18" s="1579" t="s">
        <v>435</v>
      </c>
      <c r="E18" s="1579" t="s">
        <v>53</v>
      </c>
      <c r="F18" s="1579" t="s">
        <v>435</v>
      </c>
      <c r="G18" s="1579" t="s">
        <v>53</v>
      </c>
      <c r="H18" s="178"/>
      <c r="I18" s="178"/>
    </row>
    <row r="19" spans="1:9" s="668" customFormat="1" ht="12" customHeight="1" x14ac:dyDescent="0.2">
      <c r="A19" s="990" t="s">
        <v>456</v>
      </c>
      <c r="B19" s="991"/>
      <c r="C19" s="992" t="s">
        <v>570</v>
      </c>
      <c r="D19" s="1736"/>
      <c r="E19" s="1737">
        <f>'Expenditures 15-22'!K33-SUM('Expenditures 15-22'!G33,'Expenditures 15-22'!I33)+'Expenditures 15-22'!D229</f>
        <v>24624205</v>
      </c>
      <c r="F19" s="1736"/>
      <c r="G19" s="1738">
        <f>'Expenditures 15-22'!K33-SUM('Expenditures 15-22'!G33,'Expenditures 15-22'!I33)+'Expenditures 15-22'!D229</f>
        <v>24624205</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3248928</v>
      </c>
      <c r="F21" s="1739"/>
      <c r="G21" s="1742">
        <f>'Expenditures 15-22'!K42-SUM('Expenditures 15-22'!G42,'Expenditures 15-22'!I42)+'Expenditures 15-22'!K120-SUM('Expenditures 15-22'!G120,'Expenditures 15-22'!I120)+'Expenditures 15-22'!K180-SUM('Expenditures 15-22'!G180,'Expenditures 15-22'!I180)+'Expenditures 15-22'!D238</f>
        <v>3248928</v>
      </c>
      <c r="H21" s="987"/>
      <c r="I21" s="162"/>
    </row>
    <row r="22" spans="1:9" s="668" customFormat="1" ht="12" customHeight="1" x14ac:dyDescent="0.2">
      <c r="A22" s="994" t="s">
        <v>564</v>
      </c>
      <c r="B22" s="995"/>
      <c r="C22" s="993">
        <v>2200</v>
      </c>
      <c r="D22" s="1739"/>
      <c r="E22" s="1741">
        <f>'Expenditures 15-22'!K47-SUM('Expenditures 15-22'!G47,'Expenditures 15-22'!I47)+'Expenditures 15-22'!D243</f>
        <v>2149814</v>
      </c>
      <c r="F22" s="1739"/>
      <c r="G22" s="1742">
        <f>'Expenditures 15-22'!K47-SUM('Expenditures 15-22'!G47,'Expenditures 15-22'!I47)+'Expenditures 15-22'!D243</f>
        <v>2149814</v>
      </c>
      <c r="H22" s="987"/>
      <c r="I22" s="162"/>
    </row>
    <row r="23" spans="1:9" s="668" customFormat="1" ht="12" customHeight="1" x14ac:dyDescent="0.2">
      <c r="A23" s="994" t="s">
        <v>565</v>
      </c>
      <c r="B23" s="995"/>
      <c r="C23" s="993">
        <v>2300</v>
      </c>
      <c r="D23" s="1739"/>
      <c r="E23" s="1741">
        <f>'Expenditures 15-22'!K53-SUM('Expenditures 15-22'!G53,'Expenditures 15-22'!I53)+'Expenditures 15-22'!D257+'Expenditures 15-22'!K330-SUM('Expenditures 15-22'!G330,'Expenditures 15-22'!I330)</f>
        <v>1138380</v>
      </c>
      <c r="F23" s="1739"/>
      <c r="G23" s="1741">
        <f>'Expenditures 15-22'!K53-SUM('Expenditures 15-22'!G53,'Expenditures 15-22'!I53)+'Expenditures 15-22'!D257+'Expenditures 15-22'!K330-SUM('Expenditures 15-22'!G330,'Expenditures 15-22'!I330)</f>
        <v>1138380</v>
      </c>
      <c r="H23" s="987"/>
      <c r="I23" s="162"/>
    </row>
    <row r="24" spans="1:9" s="668" customFormat="1" ht="12" customHeight="1" x14ac:dyDescent="0.2">
      <c r="A24" s="994" t="s">
        <v>566</v>
      </c>
      <c r="B24" s="995"/>
      <c r="C24" s="993">
        <v>2400</v>
      </c>
      <c r="D24" s="1739"/>
      <c r="E24" s="1741">
        <f>'Expenditures 15-22'!K57-SUM('Expenditures 15-22'!G57,'Expenditures 15-22'!I57)+'Expenditures 15-22'!D261</f>
        <v>1962906</v>
      </c>
      <c r="F24" s="1739"/>
      <c r="G24" s="1742">
        <f>'Expenditures 15-22'!K57-SUM('Expenditures 15-22'!G57,'Expenditures 15-22'!I57)+'Expenditures 15-22'!D261</f>
        <v>1962906</v>
      </c>
      <c r="H24" s="987"/>
      <c r="I24" s="162"/>
    </row>
    <row r="25" spans="1:9" s="668" customFormat="1" ht="12" customHeight="1" x14ac:dyDescent="0.2">
      <c r="A25" s="990" t="s">
        <v>567</v>
      </c>
      <c r="B25" s="996"/>
      <c r="C25" s="993"/>
      <c r="D25" s="1739"/>
      <c r="E25" s="1741"/>
      <c r="F25" s="1739"/>
      <c r="G25" s="1742"/>
      <c r="H25" s="987"/>
      <c r="I25" s="162"/>
    </row>
    <row r="26" spans="1:9" s="668" customFormat="1" ht="12" customHeight="1" x14ac:dyDescent="0.2">
      <c r="A26" s="994" t="s">
        <v>515</v>
      </c>
      <c r="B26" s="997"/>
      <c r="C26" s="993">
        <v>2510</v>
      </c>
      <c r="D26" s="1741">
        <f>'Expenditures 15-22'!K59-SUM('Expenditures 15-22'!G59,'Expenditures 15-22'!I59)+'Expenditures 15-22'!D263-E7</f>
        <v>172216</v>
      </c>
      <c r="E26" s="1741">
        <f>'Expenditures 15-22'!K122-SUM('Expenditures 15-22'!G122,'Expenditures 15-22'!I122)+E7</f>
        <v>56537</v>
      </c>
      <c r="F26" s="1741">
        <f>'Expenditures 15-22'!K59-SUM('Expenditures 15-22'!G59,'Expenditures 15-22'!I59)+'Expenditures 15-22'!D263-E7</f>
        <v>172216</v>
      </c>
      <c r="G26" s="1742">
        <f>'Expenditures 15-22'!K122-SUM('Expenditures 15-22'!G122,'Expenditures 15-22'!I122)+E7</f>
        <v>56537</v>
      </c>
      <c r="H26" s="987"/>
      <c r="I26" s="162"/>
    </row>
    <row r="27" spans="1:9" s="668" customFormat="1" ht="12" customHeight="1" x14ac:dyDescent="0.2">
      <c r="A27" s="994" t="s">
        <v>463</v>
      </c>
      <c r="B27" s="997"/>
      <c r="C27" s="993">
        <v>2520</v>
      </c>
      <c r="D27" s="1741">
        <f>'Expenditures 15-22'!K60-SUM('Expenditures 15-22'!G60,'Expenditures 15-22'!I60)+'Expenditures 15-22'!D264-E8</f>
        <v>313594</v>
      </c>
      <c r="E27" s="1741">
        <f>E8</f>
        <v>0</v>
      </c>
      <c r="F27" s="1741">
        <f>'Expenditures 15-22'!K60-SUM('Expenditures 15-22'!G60,'Expenditures 15-22'!I60)+'Expenditures 15-22'!D264-E8</f>
        <v>313594</v>
      </c>
      <c r="G27" s="1742">
        <f>E8</f>
        <v>0</v>
      </c>
      <c r="H27" s="987"/>
      <c r="I27" s="162"/>
    </row>
    <row r="28" spans="1:9" s="668" customFormat="1" ht="12" customHeight="1" x14ac:dyDescent="0.2">
      <c r="A28" s="994" t="s">
        <v>516</v>
      </c>
      <c r="B28" s="997"/>
      <c r="C28" s="993">
        <v>2540</v>
      </c>
      <c r="D28" s="1743"/>
      <c r="E28" s="1741">
        <f>'Expenditures 15-22'!K61-SUM('Expenditures 15-22'!G61,'Expenditures 15-22'!I61)+'Expenditures 15-22'!K124-SUM('Expenditures 15-22'!G124,'Expenditures 15-22'!I124)+'Expenditures 15-22'!D266</f>
        <v>2920544</v>
      </c>
      <c r="F28" s="1743">
        <f>'Expenditures 15-22'!K61-SUM('Expenditures 15-22'!G61,'Expenditures 15-22'!I61)+'Expenditures 15-22'!K124-SUM('Expenditures 15-22'!G124,'Expenditures 15-22'!I124)+'Expenditures 15-22'!D266-E9</f>
        <v>2920544</v>
      </c>
      <c r="G28" s="1742">
        <f>E9</f>
        <v>0</v>
      </c>
      <c r="H28" s="987"/>
      <c r="I28" s="162"/>
    </row>
    <row r="29" spans="1:9" ht="12" customHeight="1" x14ac:dyDescent="0.2">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2489691</v>
      </c>
      <c r="F29" s="1739"/>
      <c r="G29" s="1742">
        <f>'Expenditures 15-22'!K62-SUM('Expenditures 15-22'!G62,'Expenditures 15-22'!I62)+'Expenditures 15-22'!K125-SUM('Expenditures 15-22'!G125,'Expenditures 15-22'!I125)+'Expenditures 15-22'!K182-SUM('Expenditures 15-22'!G182,'Expenditures 15-22'!I182)+'Expenditures 15-22'!D267</f>
        <v>2489691</v>
      </c>
      <c r="H29" s="985"/>
    </row>
    <row r="30" spans="1:9" ht="12" customHeight="1" x14ac:dyDescent="0.2">
      <c r="A30" s="994" t="s">
        <v>100</v>
      </c>
      <c r="B30" s="997"/>
      <c r="C30" s="993">
        <v>2560</v>
      </c>
      <c r="D30" s="1739"/>
      <c r="E30" s="1741">
        <f>'Expenditures 15-22'!K63-SUM('Expenditures 15-22'!G63,'Expenditures 15-22'!I63)+'Expenditures 15-22'!D268-E10</f>
        <v>256084</v>
      </c>
      <c r="F30" s="1739"/>
      <c r="G30" s="1741">
        <f>'Expenditures 15-22'!K63-SUM('Expenditures 15-22'!G63,'Expenditures 15-22'!I63)+'Expenditures 15-22'!D268-E10</f>
        <v>256084</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518</v>
      </c>
      <c r="B32" s="996"/>
      <c r="C32" s="993"/>
      <c r="D32" s="1739"/>
      <c r="E32" s="1739"/>
      <c r="F32" s="1739"/>
      <c r="G32" s="1739"/>
    </row>
    <row r="33" spans="1:7" ht="12" customHeight="1" x14ac:dyDescent="0.2">
      <c r="A33" s="994" t="s">
        <v>519</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520</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1061</v>
      </c>
      <c r="B35" s="997"/>
      <c r="C35" s="993">
        <v>2630</v>
      </c>
      <c r="D35" s="1739"/>
      <c r="E35" s="1741">
        <f>'Expenditures 15-22'!K69-SUM('Expenditures 15-22'!G69,'Expenditures 15-22'!I69)+'Expenditures 15-22'!D274</f>
        <v>149767</v>
      </c>
      <c r="F35" s="1739"/>
      <c r="G35" s="1741">
        <f>'Expenditures 15-22'!K69-SUM('Expenditures 15-22'!G69,'Expenditures 15-22'!I69)+'Expenditures 15-22'!D274</f>
        <v>149767</v>
      </c>
    </row>
    <row r="36" spans="1:7" ht="12" customHeight="1" x14ac:dyDescent="0.2">
      <c r="A36" s="994" t="s">
        <v>403</v>
      </c>
      <c r="B36" s="997"/>
      <c r="C36" s="993">
        <v>2640</v>
      </c>
      <c r="D36" s="1741">
        <f>'Expenditures 15-22'!K70-SUM('Expenditures 15-22'!G70,'Expenditures 15-22'!I70)+'Expenditures 15-22'!D275-E13</f>
        <v>454928</v>
      </c>
      <c r="E36" s="1741">
        <f>E13</f>
        <v>0</v>
      </c>
      <c r="F36" s="1741">
        <f>'Expenditures 15-22'!K70-SUM('Expenditures 15-22'!G70,'Expenditures 15-22'!I70)+'Expenditures 15-22'!D275-E13</f>
        <v>454928</v>
      </c>
      <c r="G36" s="1741">
        <f>E13</f>
        <v>0</v>
      </c>
    </row>
    <row r="37" spans="1:7" ht="12" customHeight="1" x14ac:dyDescent="0.2">
      <c r="A37" s="994" t="s">
        <v>404</v>
      </c>
      <c r="B37" s="997"/>
      <c r="C37" s="993">
        <v>2660</v>
      </c>
      <c r="D37" s="1741">
        <f>'Expenditures 15-22'!K71-SUM('Expenditures 15-22'!G71,'Expenditures 15-22'!I71)+'Expenditures 15-22'!D276-E14</f>
        <v>602938</v>
      </c>
      <c r="E37" s="1741">
        <f>E14</f>
        <v>0</v>
      </c>
      <c r="F37" s="1741">
        <f>'Expenditures 15-22'!K71-SUM('Expenditures 15-22'!G71,'Expenditures 15-22'!I71)+'Expenditures 15-22'!D276-E14</f>
        <v>602938</v>
      </c>
      <c r="G37" s="1741">
        <f>E14</f>
        <v>0</v>
      </c>
    </row>
    <row r="38" spans="1:7" ht="12" customHeight="1" x14ac:dyDescent="0.2">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153316</v>
      </c>
      <c r="F38" s="1739"/>
      <c r="G38" s="1741">
        <f>'Expenditures 15-22'!K73-SUM('Expenditures 15-22'!G73,'Expenditures 15-22'!I73)+'Expenditures 15-22'!K128-SUM('Expenditures 15-22'!G128,'Expenditures 15-22'!I128)+'Expenditures 15-22'!K183-SUM('Expenditures 15-22'!G183,'Expenditures 15-22'!I183)+'Expenditures 15-22'!D278</f>
        <v>153316</v>
      </c>
    </row>
    <row r="39" spans="1:7" ht="12" customHeight="1" x14ac:dyDescent="0.2">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97933</v>
      </c>
      <c r="F39" s="1739"/>
      <c r="G39" s="1741">
        <f>'Expenditures 15-22'!K75-SUM('Expenditures 15-22'!G75,'Expenditures 15-22'!I75)+'Expenditures 15-22'!K130-SUM('Expenditures 15-22'!G130,'Expenditures 15-22'!I130)+'Expenditures 15-22'!K185-SUM('Expenditures 15-22'!G185,'Expenditures 15-22'!I185)+'Expenditures 15-22'!D280</f>
        <v>97933</v>
      </c>
    </row>
    <row r="40" spans="1:7" ht="12" customHeight="1" x14ac:dyDescent="0.2">
      <c r="A40" s="990" t="s">
        <v>1822</v>
      </c>
      <c r="B40" s="991"/>
      <c r="C40" s="993"/>
      <c r="D40" s="1739"/>
      <c r="E40" s="1743">
        <f>-'Contracts Paid in CY 29'!G141</f>
        <v>-2983052.85</v>
      </c>
      <c r="F40" s="1739"/>
      <c r="G40" s="1743">
        <f>-'Contracts Paid in CY 29'!G141</f>
        <v>-2983052.85</v>
      </c>
    </row>
    <row r="41" spans="1:7" ht="12" customHeight="1" x14ac:dyDescent="0.2">
      <c r="A41" s="998" t="s">
        <v>156</v>
      </c>
      <c r="B41" s="999"/>
      <c r="C41" s="1000"/>
      <c r="D41" s="1743">
        <f>SUM(D19:D39)</f>
        <v>1543676</v>
      </c>
      <c r="E41" s="1743">
        <f>SUM(E19:E40)</f>
        <v>36265052.149999999</v>
      </c>
      <c r="F41" s="1743">
        <f>SUM(F19:F39)</f>
        <v>4464220</v>
      </c>
      <c r="G41" s="1743">
        <f>SUM(G19:G40)</f>
        <v>33344508.149999999</v>
      </c>
    </row>
    <row r="42" spans="1:7" x14ac:dyDescent="0.2">
      <c r="A42" s="987"/>
      <c r="B42" s="162"/>
      <c r="C42" s="1001"/>
      <c r="D42" s="2299" t="s">
        <v>522</v>
      </c>
      <c r="E42" s="2300"/>
      <c r="F42" s="1002" t="s">
        <v>523</v>
      </c>
      <c r="G42" s="1003"/>
    </row>
    <row r="43" spans="1:7" ht="12" customHeight="1" x14ac:dyDescent="0.2">
      <c r="A43" s="987"/>
      <c r="B43" s="162"/>
      <c r="C43" s="1001"/>
      <c r="D43" s="1744" t="s">
        <v>473</v>
      </c>
      <c r="E43" s="1745">
        <f>D41</f>
        <v>1543676</v>
      </c>
      <c r="F43" s="1744" t="s">
        <v>473</v>
      </c>
      <c r="G43" s="1745">
        <f>F41</f>
        <v>4464220</v>
      </c>
    </row>
    <row r="44" spans="1:7" ht="12" customHeight="1" x14ac:dyDescent="0.2">
      <c r="A44" s="987"/>
      <c r="B44" s="162"/>
      <c r="C44" s="1001"/>
      <c r="D44" s="1744" t="s">
        <v>474</v>
      </c>
      <c r="E44" s="1745">
        <f>E41</f>
        <v>36265052.149999999</v>
      </c>
      <c r="F44" s="1744" t="s">
        <v>474</v>
      </c>
      <c r="G44" s="1745">
        <f>G41</f>
        <v>33344508.149999999</v>
      </c>
    </row>
    <row r="45" spans="1:7" ht="12" customHeight="1" x14ac:dyDescent="0.2">
      <c r="A45" s="987"/>
      <c r="B45" s="162"/>
      <c r="C45" s="162"/>
      <c r="D45" s="1746" t="s">
        <v>1006</v>
      </c>
      <c r="E45" s="1747">
        <f>(E43/E44)</f>
        <v>4.2566490559975662E-2</v>
      </c>
      <c r="F45" s="1746" t="s">
        <v>1006</v>
      </c>
      <c r="G45" s="1747">
        <f>(G43/G44)</f>
        <v>0.13388171689076181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I42" sqref="I42:O42"/>
      <selection pane="bottomLeft" activeCell="I42" sqref="I42:O42"/>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7109375" style="1815" bestFit="1" customWidth="1"/>
    <col min="9" max="10" width="3" style="1815" bestFit="1" customWidth="1"/>
    <col min="11" max="11" width="9" style="1815" customWidth="1"/>
    <col min="12" max="16384" width="9.140625" style="1784"/>
  </cols>
  <sheetData>
    <row r="1" spans="1:10" x14ac:dyDescent="0.2">
      <c r="A1" s="2307" t="s">
        <v>1379</v>
      </c>
      <c r="B1" s="2307"/>
      <c r="C1" s="2307"/>
      <c r="D1" s="2307"/>
      <c r="E1" s="2307"/>
      <c r="F1" s="2307"/>
    </row>
    <row r="2" spans="1:10" x14ac:dyDescent="0.2">
      <c r="A2" s="1824" t="s">
        <v>1911</v>
      </c>
      <c r="B2" s="1785"/>
      <c r="C2" s="1824"/>
      <c r="D2" s="1785"/>
      <c r="E2" s="1785"/>
      <c r="F2" s="1786"/>
    </row>
    <row r="3" spans="1:10" x14ac:dyDescent="0.2">
      <c r="A3" s="1824" t="s">
        <v>1977</v>
      </c>
      <c r="B3" s="1785"/>
      <c r="C3" s="1824"/>
      <c r="D3" s="1785"/>
      <c r="E3" s="1785"/>
      <c r="F3" s="1786"/>
    </row>
    <row r="4" spans="1:10" ht="3.75" customHeight="1" x14ac:dyDescent="0.2">
      <c r="A4" s="1785"/>
      <c r="B4" s="1785"/>
      <c r="C4" s="1785"/>
      <c r="D4" s="1785"/>
      <c r="E4" s="1785"/>
      <c r="F4" s="1786"/>
    </row>
    <row r="5" spans="1:10" ht="15" x14ac:dyDescent="0.25">
      <c r="A5" s="2308" t="s">
        <v>1546</v>
      </c>
      <c r="B5" s="2309"/>
      <c r="C5" s="2310"/>
      <c r="D5" s="2310"/>
      <c r="E5" s="2310"/>
      <c r="F5" s="2310"/>
    </row>
    <row r="6" spans="1:10" ht="12" customHeight="1" x14ac:dyDescent="0.25">
      <c r="A6" s="1787"/>
      <c r="B6" s="1788"/>
      <c r="C6" s="2311" t="str">
        <f>COVER!A17</f>
        <v>Woodridge SD 68</v>
      </c>
      <c r="D6" s="2311"/>
      <c r="E6" s="2311"/>
      <c r="F6" s="1789"/>
    </row>
    <row r="7" spans="1:10" ht="11.25" customHeight="1" thickBot="1" x14ac:dyDescent="0.3">
      <c r="A7" s="1787"/>
      <c r="B7" s="1788"/>
      <c r="C7" s="2312">
        <f>COVER!A13</f>
        <v>19022068002</v>
      </c>
      <c r="D7" s="2312"/>
      <c r="E7" s="2312"/>
      <c r="F7" s="1789"/>
    </row>
    <row r="8" spans="1:10" ht="25.5" customHeight="1" thickBot="1" x14ac:dyDescent="0.25">
      <c r="A8" s="1830" t="s">
        <v>1907</v>
      </c>
      <c r="B8" s="1790"/>
      <c r="C8" s="1826" t="s">
        <v>1681</v>
      </c>
      <c r="D8" s="1825" t="s">
        <v>1682</v>
      </c>
      <c r="E8" s="1827" t="s">
        <v>1380</v>
      </c>
      <c r="F8" s="1825" t="s">
        <v>1683</v>
      </c>
      <c r="H8" s="1791" t="b">
        <v>0</v>
      </c>
    </row>
    <row r="9" spans="1:10" ht="15.75" customHeight="1" x14ac:dyDescent="0.2">
      <c r="A9" s="1792" t="s">
        <v>1542</v>
      </c>
      <c r="B9" s="1793"/>
      <c r="C9" s="1794"/>
      <c r="D9" s="1794"/>
      <c r="E9" s="1795"/>
      <c r="F9" s="1796"/>
    </row>
    <row r="10" spans="1:10" ht="27.75" customHeight="1" x14ac:dyDescent="0.2">
      <c r="A10" s="1797" t="s">
        <v>1680</v>
      </c>
      <c r="B10" s="1798"/>
      <c r="C10" s="1799"/>
      <c r="D10" s="1799"/>
      <c r="E10" s="1828" t="s">
        <v>1381</v>
      </c>
      <c r="F10" s="1829" t="s">
        <v>1382</v>
      </c>
    </row>
    <row r="11" spans="1:10" ht="12" customHeight="1" x14ac:dyDescent="0.2">
      <c r="A11" s="1800" t="s">
        <v>1383</v>
      </c>
      <c r="B11" s="1801"/>
      <c r="C11" s="1802"/>
      <c r="D11" s="1802"/>
      <c r="E11" s="1803"/>
      <c r="F11" s="1804"/>
      <c r="H11" s="1815">
        <f>IF(C11="X",5,0)</f>
        <v>0</v>
      </c>
      <c r="I11" s="1815">
        <f>IF(D11="X",5,0)</f>
        <v>0</v>
      </c>
      <c r="J11" s="1815">
        <f>IF(E11="X",5,0)</f>
        <v>0</v>
      </c>
    </row>
    <row r="12" spans="1:10" ht="12" customHeight="1" x14ac:dyDescent="0.2">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1385</v>
      </c>
      <c r="B13" s="1801"/>
      <c r="C13" s="1802"/>
      <c r="D13" s="1802"/>
      <c r="E13" s="1805"/>
      <c r="F13" s="1804"/>
      <c r="H13" s="1815">
        <f t="shared" si="0"/>
        <v>0</v>
      </c>
      <c r="I13" s="1815">
        <f t="shared" si="1"/>
        <v>0</v>
      </c>
      <c r="J13" s="1815">
        <f t="shared" si="2"/>
        <v>0</v>
      </c>
    </row>
    <row r="14" spans="1:10" ht="12" customHeight="1" x14ac:dyDescent="0.2">
      <c r="A14" s="1800" t="s">
        <v>1386</v>
      </c>
      <c r="B14" s="1801"/>
      <c r="C14" s="1802" t="s">
        <v>2111</v>
      </c>
      <c r="D14" s="1802" t="s">
        <v>2111</v>
      </c>
      <c r="E14" s="1805" t="s">
        <v>2111</v>
      </c>
      <c r="F14" s="1804" t="s">
        <v>2112</v>
      </c>
      <c r="H14" s="1815">
        <f t="shared" si="0"/>
        <v>5</v>
      </c>
      <c r="I14" s="1815">
        <f t="shared" si="1"/>
        <v>5</v>
      </c>
      <c r="J14" s="1815">
        <f t="shared" si="2"/>
        <v>5</v>
      </c>
    </row>
    <row r="15" spans="1:10" ht="12" customHeight="1" x14ac:dyDescent="0.2">
      <c r="A15" s="1800" t="s">
        <v>1387</v>
      </c>
      <c r="B15" s="1801"/>
      <c r="C15" s="1802" t="s">
        <v>2111</v>
      </c>
      <c r="D15" s="1802" t="s">
        <v>2111</v>
      </c>
      <c r="E15" s="1805" t="s">
        <v>2111</v>
      </c>
      <c r="F15" s="1804" t="s">
        <v>2113</v>
      </c>
      <c r="H15" s="1815">
        <f t="shared" si="0"/>
        <v>5</v>
      </c>
      <c r="I15" s="1815">
        <f t="shared" si="1"/>
        <v>5</v>
      </c>
      <c r="J15" s="1815">
        <f t="shared" si="2"/>
        <v>5</v>
      </c>
    </row>
    <row r="16" spans="1:10" ht="12" customHeight="1" x14ac:dyDescent="0.2">
      <c r="A16" s="1800" t="s">
        <v>1388</v>
      </c>
      <c r="B16" s="1801"/>
      <c r="C16" s="1802" t="s">
        <v>2111</v>
      </c>
      <c r="D16" s="1802" t="s">
        <v>2111</v>
      </c>
      <c r="E16" s="1805" t="s">
        <v>2111</v>
      </c>
      <c r="F16" s="1804" t="s">
        <v>2114</v>
      </c>
      <c r="H16" s="1815">
        <f t="shared" si="0"/>
        <v>5</v>
      </c>
      <c r="I16" s="1815">
        <f t="shared" si="1"/>
        <v>5</v>
      </c>
      <c r="J16" s="1815">
        <f t="shared" si="2"/>
        <v>5</v>
      </c>
    </row>
    <row r="17" spans="1:12" ht="12" customHeight="1" x14ac:dyDescent="0.2">
      <c r="A17" s="1800" t="s">
        <v>1389</v>
      </c>
      <c r="B17" s="1801"/>
      <c r="C17" s="1802"/>
      <c r="D17" s="1802"/>
      <c r="E17" s="1805"/>
      <c r="F17" s="1804"/>
      <c r="H17" s="1815">
        <f t="shared" si="0"/>
        <v>0</v>
      </c>
      <c r="I17" s="1815">
        <f t="shared" si="1"/>
        <v>0</v>
      </c>
      <c r="J17" s="1815">
        <f t="shared" si="2"/>
        <v>0</v>
      </c>
    </row>
    <row r="18" spans="1:12" ht="12" customHeight="1" x14ac:dyDescent="0.2">
      <c r="A18" s="1800" t="s">
        <v>1390</v>
      </c>
      <c r="B18" s="1801"/>
      <c r="C18" s="1802" t="s">
        <v>2111</v>
      </c>
      <c r="D18" s="1802" t="s">
        <v>2111</v>
      </c>
      <c r="E18" s="1805" t="s">
        <v>2111</v>
      </c>
      <c r="F18" s="1804" t="s">
        <v>2115</v>
      </c>
      <c r="H18" s="1815">
        <f t="shared" si="0"/>
        <v>5</v>
      </c>
      <c r="I18" s="1815">
        <f t="shared" si="1"/>
        <v>5</v>
      </c>
      <c r="J18" s="1815">
        <f t="shared" si="2"/>
        <v>5</v>
      </c>
    </row>
    <row r="19" spans="1:12" ht="12" customHeight="1" x14ac:dyDescent="0.2">
      <c r="A19" s="1800" t="s">
        <v>1527</v>
      </c>
      <c r="B19" s="1801"/>
      <c r="C19" s="1802" t="s">
        <v>2111</v>
      </c>
      <c r="D19" s="1802" t="s">
        <v>2111</v>
      </c>
      <c r="E19" s="1805" t="s">
        <v>2111</v>
      </c>
      <c r="F19" s="1804" t="s">
        <v>2184</v>
      </c>
      <c r="H19" s="1815">
        <f t="shared" si="0"/>
        <v>5</v>
      </c>
      <c r="I19" s="1815">
        <f t="shared" si="1"/>
        <v>5</v>
      </c>
      <c r="J19" s="1815">
        <f t="shared" si="2"/>
        <v>5</v>
      </c>
    </row>
    <row r="20" spans="1:12" ht="12" customHeight="1" x14ac:dyDescent="0.2">
      <c r="A20" s="1800" t="s">
        <v>1528</v>
      </c>
      <c r="B20" s="1801"/>
      <c r="C20" s="1802" t="s">
        <v>2111</v>
      </c>
      <c r="D20" s="1802" t="s">
        <v>2111</v>
      </c>
      <c r="E20" s="1805" t="s">
        <v>2111</v>
      </c>
      <c r="F20" s="1804" t="s">
        <v>2116</v>
      </c>
      <c r="H20" s="1815">
        <f t="shared" si="0"/>
        <v>5</v>
      </c>
      <c r="I20" s="1815">
        <f t="shared" si="1"/>
        <v>5</v>
      </c>
      <c r="J20" s="1815">
        <f t="shared" si="2"/>
        <v>5</v>
      </c>
    </row>
    <row r="21" spans="1:12" ht="12" customHeight="1" x14ac:dyDescent="0.2">
      <c r="A21" s="1800" t="s">
        <v>1529</v>
      </c>
      <c r="B21" s="1801"/>
      <c r="C21" s="1802" t="s">
        <v>2111</v>
      </c>
      <c r="D21" s="1802" t="s">
        <v>2111</v>
      </c>
      <c r="E21" s="1805" t="s">
        <v>2111</v>
      </c>
      <c r="F21" s="1804" t="s">
        <v>2117</v>
      </c>
      <c r="H21" s="1815">
        <f t="shared" si="0"/>
        <v>5</v>
      </c>
      <c r="I21" s="1815">
        <f t="shared" si="1"/>
        <v>5</v>
      </c>
      <c r="J21" s="1815">
        <f t="shared" si="2"/>
        <v>5</v>
      </c>
    </row>
    <row r="22" spans="1:12" ht="12" customHeight="1" x14ac:dyDescent="0.2">
      <c r="A22" s="1800" t="s">
        <v>1530</v>
      </c>
      <c r="B22" s="1801"/>
      <c r="C22" s="1802"/>
      <c r="D22" s="1802"/>
      <c r="E22" s="1805"/>
      <c r="F22" s="1804"/>
      <c r="H22" s="1815">
        <f t="shared" si="0"/>
        <v>0</v>
      </c>
      <c r="I22" s="1815">
        <f t="shared" si="1"/>
        <v>0</v>
      </c>
      <c r="J22" s="1815">
        <f t="shared" si="2"/>
        <v>0</v>
      </c>
    </row>
    <row r="23" spans="1:12" ht="12" customHeight="1" x14ac:dyDescent="0.2">
      <c r="A23" s="1800" t="s">
        <v>1531</v>
      </c>
      <c r="B23" s="1801"/>
      <c r="C23" s="1802"/>
      <c r="D23" s="1802"/>
      <c r="E23" s="1805"/>
      <c r="F23" s="1804"/>
      <c r="H23" s="1815">
        <f t="shared" si="0"/>
        <v>0</v>
      </c>
      <c r="I23" s="1815">
        <f t="shared" si="1"/>
        <v>0</v>
      </c>
      <c r="J23" s="1815">
        <f t="shared" si="2"/>
        <v>0</v>
      </c>
    </row>
    <row r="24" spans="1:12" ht="12" customHeight="1" x14ac:dyDescent="0.2">
      <c r="A24" s="1800" t="s">
        <v>1532</v>
      </c>
      <c r="B24" s="1801"/>
      <c r="C24" s="1802"/>
      <c r="D24" s="1802"/>
      <c r="E24" s="1805"/>
      <c r="F24" s="1804"/>
      <c r="H24" s="1815">
        <f t="shared" si="0"/>
        <v>0</v>
      </c>
      <c r="I24" s="1815">
        <f t="shared" si="1"/>
        <v>0</v>
      </c>
      <c r="J24" s="1815">
        <f t="shared" si="2"/>
        <v>0</v>
      </c>
    </row>
    <row r="25" spans="1:12" ht="12" customHeight="1" x14ac:dyDescent="0.2">
      <c r="A25" s="1800" t="s">
        <v>1533</v>
      </c>
      <c r="B25" s="1801"/>
      <c r="C25" s="1802"/>
      <c r="D25" s="1802"/>
      <c r="E25" s="1805"/>
      <c r="F25" s="1804"/>
      <c r="H25" s="1815">
        <f t="shared" si="0"/>
        <v>0</v>
      </c>
      <c r="I25" s="1815">
        <f t="shared" si="1"/>
        <v>0</v>
      </c>
      <c r="J25" s="1815">
        <f t="shared" si="2"/>
        <v>0</v>
      </c>
    </row>
    <row r="26" spans="1:12" ht="12" customHeight="1" x14ac:dyDescent="0.2">
      <c r="A26" s="1800" t="s">
        <v>1534</v>
      </c>
      <c r="B26" s="1801"/>
      <c r="C26" s="1802" t="s">
        <v>2111</v>
      </c>
      <c r="D26" s="1802" t="s">
        <v>2111</v>
      </c>
      <c r="E26" s="1805" t="s">
        <v>2111</v>
      </c>
      <c r="F26" s="1804" t="s">
        <v>2118</v>
      </c>
      <c r="H26" s="1815">
        <f t="shared" si="0"/>
        <v>5</v>
      </c>
      <c r="I26" s="1815">
        <f t="shared" si="1"/>
        <v>5</v>
      </c>
      <c r="J26" s="1815">
        <f t="shared" si="2"/>
        <v>5</v>
      </c>
    </row>
    <row r="27" spans="1:12" ht="18.75" x14ac:dyDescent="0.2">
      <c r="A27" s="1800" t="s">
        <v>1535</v>
      </c>
      <c r="B27" s="1801"/>
      <c r="C27" s="1802"/>
      <c r="D27" s="1802"/>
      <c r="E27" s="1805"/>
      <c r="F27" s="1804"/>
      <c r="H27" s="1815">
        <f t="shared" si="0"/>
        <v>0</v>
      </c>
      <c r="I27" s="1815">
        <f t="shared" si="1"/>
        <v>0</v>
      </c>
      <c r="J27" s="1815">
        <f t="shared" si="2"/>
        <v>0</v>
      </c>
    </row>
    <row r="28" spans="1:12" ht="12" customHeight="1" x14ac:dyDescent="0.2">
      <c r="A28" s="1800" t="s">
        <v>1536</v>
      </c>
      <c r="B28" s="1801"/>
      <c r="C28" s="1802"/>
      <c r="D28" s="1802"/>
      <c r="E28" s="1805"/>
      <c r="F28" s="1804"/>
      <c r="H28" s="1815">
        <f t="shared" si="0"/>
        <v>0</v>
      </c>
      <c r="I28" s="1815">
        <f t="shared" si="1"/>
        <v>0</v>
      </c>
      <c r="J28" s="1815">
        <f t="shared" si="2"/>
        <v>0</v>
      </c>
    </row>
    <row r="29" spans="1:12" ht="12" customHeight="1" x14ac:dyDescent="0.2">
      <c r="A29" s="1800" t="s">
        <v>1537</v>
      </c>
      <c r="B29" s="1801"/>
      <c r="C29" s="1802"/>
      <c r="D29" s="1802"/>
      <c r="E29" s="1805"/>
      <c r="F29" s="1804"/>
      <c r="H29" s="1815">
        <f t="shared" si="0"/>
        <v>0</v>
      </c>
      <c r="I29" s="1815">
        <f t="shared" si="1"/>
        <v>0</v>
      </c>
      <c r="J29" s="1815">
        <f t="shared" si="2"/>
        <v>0</v>
      </c>
    </row>
    <row r="30" spans="1:12" ht="12" customHeight="1" x14ac:dyDescent="0.2">
      <c r="A30" s="1800" t="s">
        <v>1538</v>
      </c>
      <c r="B30" s="1801"/>
      <c r="C30" s="1802" t="s">
        <v>2111</v>
      </c>
      <c r="D30" s="1802" t="s">
        <v>2111</v>
      </c>
      <c r="E30" s="1805" t="s">
        <v>2111</v>
      </c>
      <c r="F30" s="1804" t="s">
        <v>2119</v>
      </c>
      <c r="H30" s="1815">
        <f t="shared" si="0"/>
        <v>5</v>
      </c>
      <c r="I30" s="1815">
        <f t="shared" si="1"/>
        <v>5</v>
      </c>
      <c r="J30" s="1815">
        <f t="shared" si="2"/>
        <v>5</v>
      </c>
    </row>
    <row r="31" spans="1:12" ht="12" customHeight="1" x14ac:dyDescent="0.2">
      <c r="A31" s="1800" t="s">
        <v>1539</v>
      </c>
      <c r="B31" s="1801"/>
      <c r="C31" s="1802"/>
      <c r="D31" s="1802"/>
      <c r="E31" s="1805"/>
      <c r="F31" s="1804"/>
      <c r="H31" s="1815">
        <f t="shared" si="0"/>
        <v>0</v>
      </c>
      <c r="I31" s="1815">
        <f t="shared" si="1"/>
        <v>0</v>
      </c>
      <c r="J31" s="1815">
        <f t="shared" si="2"/>
        <v>0</v>
      </c>
      <c r="L31" s="1806"/>
    </row>
    <row r="32" spans="1:12" ht="12" customHeight="1" x14ac:dyDescent="0.2">
      <c r="A32" s="1800" t="s">
        <v>1540</v>
      </c>
      <c r="B32" s="1801"/>
      <c r="C32" s="1802"/>
      <c r="D32" s="1802"/>
      <c r="E32" s="1805"/>
      <c r="F32" s="1804"/>
      <c r="H32" s="1815">
        <f t="shared" si="0"/>
        <v>0</v>
      </c>
      <c r="I32" s="1815">
        <f t="shared" si="1"/>
        <v>0</v>
      </c>
      <c r="J32" s="1815">
        <f t="shared" si="2"/>
        <v>0</v>
      </c>
    </row>
    <row r="33" spans="1:11" ht="12" customHeight="1" x14ac:dyDescent="0.2">
      <c r="A33" s="1800" t="s">
        <v>1541</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45</v>
      </c>
      <c r="I34" s="1815">
        <f>SUM(I11:I32)</f>
        <v>45</v>
      </c>
      <c r="J34" s="1815">
        <f>SUM(J11:J32)</f>
        <v>45</v>
      </c>
      <c r="K34" s="1815">
        <f>SUM(H34:J34)</f>
        <v>135</v>
      </c>
    </row>
    <row r="35" spans="1:11" ht="12" customHeight="1" x14ac:dyDescent="0.2">
      <c r="A35" s="1808" t="s">
        <v>1392</v>
      </c>
      <c r="B35" s="1809"/>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10"/>
      <c r="B39" s="1810"/>
      <c r="C39" s="1810"/>
      <c r="D39" s="1810"/>
      <c r="E39" s="1810"/>
      <c r="F39" s="1810"/>
    </row>
    <row r="40" spans="1:11" s="1807" customFormat="1" ht="12" customHeight="1" x14ac:dyDescent="0.25">
      <c r="A40" s="1811" t="s">
        <v>1391</v>
      </c>
      <c r="B40" s="1812"/>
      <c r="C40" s="2321"/>
      <c r="D40" s="2321"/>
      <c r="E40" s="2321"/>
      <c r="F40" s="2322"/>
      <c r="H40" s="1816"/>
      <c r="I40" s="1816"/>
      <c r="J40" s="1816"/>
      <c r="K40" s="1816"/>
    </row>
    <row r="41" spans="1:11" s="1807" customFormat="1" ht="12" customHeight="1" x14ac:dyDescent="0.25">
      <c r="A41" s="2323"/>
      <c r="B41" s="2324"/>
      <c r="C41" s="2324"/>
      <c r="D41" s="2324"/>
      <c r="E41" s="2324"/>
      <c r="F41" s="2325"/>
      <c r="H41" s="1816"/>
      <c r="I41" s="1816"/>
      <c r="J41" s="1816"/>
      <c r="K41" s="1816"/>
    </row>
    <row r="42" spans="1:11" s="1807" customFormat="1" ht="12" customHeight="1" x14ac:dyDescent="0.25">
      <c r="A42" s="2323"/>
      <c r="B42" s="2324"/>
      <c r="C42" s="2324"/>
      <c r="D42" s="2324"/>
      <c r="E42" s="2324"/>
      <c r="F42" s="2325"/>
      <c r="H42" s="1816"/>
      <c r="I42" s="1816"/>
      <c r="J42" s="1816"/>
      <c r="K42" s="1816"/>
    </row>
    <row r="43" spans="1:11" s="1807" customFormat="1" ht="15" x14ac:dyDescent="0.25">
      <c r="A43" s="2315"/>
      <c r="B43" s="2316"/>
      <c r="C43" s="2316"/>
      <c r="D43" s="2316"/>
      <c r="E43" s="2316"/>
      <c r="F43" s="2317"/>
      <c r="H43" s="1816"/>
      <c r="I43" s="1816"/>
      <c r="J43" s="1816"/>
      <c r="K43" s="1816"/>
    </row>
    <row r="44" spans="1:11" s="1807" customFormat="1" ht="12" hidden="1" customHeight="1" x14ac:dyDescent="0.25">
      <c r="A44" s="2315"/>
      <c r="B44" s="2316"/>
      <c r="C44" s="2316"/>
      <c r="D44" s="2316"/>
      <c r="E44" s="2316"/>
      <c r="F44" s="2317"/>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zoomScaleSheetLayoutView="100" workbookViewId="0">
      <selection activeCell="I42" sqref="I42:O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1" t="s">
        <v>672</v>
      </c>
      <c r="B6" s="1580"/>
      <c r="C6" s="1580"/>
      <c r="D6" s="1580"/>
      <c r="E6" s="1581"/>
      <c r="F6" s="1015"/>
      <c r="G6" s="1009"/>
      <c r="H6" s="1016" t="s">
        <v>1028</v>
      </c>
      <c r="I6" s="2331" t="str">
        <f>COVER!A17</f>
        <v>Woodridge SD 68</v>
      </c>
      <c r="J6" s="2332"/>
      <c r="Q6" s="1602"/>
    </row>
    <row r="7" spans="1:17" x14ac:dyDescent="0.2">
      <c r="A7" s="2333" t="s">
        <v>869</v>
      </c>
      <c r="B7" s="2334"/>
      <c r="C7" s="2334"/>
      <c r="D7" s="2334"/>
      <c r="E7" s="2335"/>
      <c r="F7" s="1017"/>
      <c r="G7" s="1009"/>
      <c r="H7" s="1016" t="s">
        <v>372</v>
      </c>
      <c r="I7" s="2336">
        <f>COVER!A13</f>
        <v>19022068002</v>
      </c>
      <c r="J7" s="2336"/>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1978</v>
      </c>
      <c r="F9" s="1023"/>
      <c r="G9" s="1023"/>
      <c r="H9" s="183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8">
        <f>'Expenditures 15-22'!K50</f>
        <v>356640</v>
      </c>
      <c r="F12" s="1039"/>
      <c r="G12" s="1748">
        <f t="shared" ref="G12:G18" si="0">SUM(E12:F12)</f>
        <v>356640</v>
      </c>
      <c r="H12" s="1040">
        <v>383644</v>
      </c>
      <c r="I12" s="1039"/>
      <c r="J12" s="1748">
        <f t="shared" ref="J12:J18" si="1">SUM(H12:I12)</f>
        <v>383644</v>
      </c>
    </row>
    <row r="13" spans="1:17" ht="15" customHeight="1" x14ac:dyDescent="0.2">
      <c r="A13" s="1035">
        <v>2</v>
      </c>
      <c r="B13" s="1036" t="s">
        <v>42</v>
      </c>
      <c r="C13" s="1037"/>
      <c r="D13" s="1038">
        <v>2330</v>
      </c>
      <c r="E13" s="1748">
        <f>'Expenditures 15-22'!K51</f>
        <v>288943</v>
      </c>
      <c r="F13" s="1039"/>
      <c r="G13" s="1748">
        <f t="shared" si="0"/>
        <v>288943</v>
      </c>
      <c r="H13" s="1040">
        <v>285838</v>
      </c>
      <c r="I13" s="1039"/>
      <c r="J13" s="1748">
        <f t="shared" si="1"/>
        <v>285838</v>
      </c>
    </row>
    <row r="14" spans="1:17" ht="15" customHeight="1" x14ac:dyDescent="0.2">
      <c r="A14" s="1035">
        <v>3</v>
      </c>
      <c r="B14" s="1036" t="s">
        <v>43</v>
      </c>
      <c r="C14" s="1037"/>
      <c r="D14" s="1041">
        <v>2490</v>
      </c>
      <c r="E14" s="1748">
        <f>'Expenditures 15-22'!K56</f>
        <v>0</v>
      </c>
      <c r="F14" s="1039"/>
      <c r="G14" s="1748">
        <f t="shared" si="0"/>
        <v>0</v>
      </c>
      <c r="H14" s="1040">
        <v>0</v>
      </c>
      <c r="I14" s="1039"/>
      <c r="J14" s="1748">
        <f t="shared" si="1"/>
        <v>0</v>
      </c>
    </row>
    <row r="15" spans="1:17" ht="15" customHeight="1" x14ac:dyDescent="0.2">
      <c r="A15" s="1035">
        <v>4</v>
      </c>
      <c r="B15" s="1036" t="s">
        <v>1068</v>
      </c>
      <c r="C15" s="1037"/>
      <c r="D15" s="1038">
        <v>2510</v>
      </c>
      <c r="E15" s="1748">
        <f>'Expenditures 15-22'!K59</f>
        <v>167193</v>
      </c>
      <c r="F15" s="1748">
        <f>'Expenditures 15-22'!K122</f>
        <v>56537</v>
      </c>
      <c r="G15" s="1748">
        <f t="shared" si="0"/>
        <v>223730</v>
      </c>
      <c r="H15" s="1040">
        <v>188955</v>
      </c>
      <c r="I15" s="1040">
        <v>58207</v>
      </c>
      <c r="J15" s="1748">
        <f t="shared" si="1"/>
        <v>247162</v>
      </c>
    </row>
    <row r="16" spans="1:17" ht="15" customHeight="1" x14ac:dyDescent="0.2">
      <c r="A16" s="1035">
        <v>5</v>
      </c>
      <c r="B16" s="1036" t="s">
        <v>101</v>
      </c>
      <c r="C16" s="1037"/>
      <c r="D16" s="1038">
        <v>2570</v>
      </c>
      <c r="E16" s="1748">
        <f>'Expenditures 15-22'!K64</f>
        <v>4458</v>
      </c>
      <c r="F16" s="1039"/>
      <c r="G16" s="1748">
        <f t="shared" si="0"/>
        <v>4458</v>
      </c>
      <c r="H16" s="1040">
        <v>890</v>
      </c>
      <c r="I16" s="1039"/>
      <c r="J16" s="1748">
        <f t="shared" si="1"/>
        <v>890</v>
      </c>
    </row>
    <row r="17" spans="1:10" ht="15" customHeight="1" x14ac:dyDescent="0.2">
      <c r="A17" s="1035">
        <v>6</v>
      </c>
      <c r="B17" s="1036" t="s">
        <v>1060</v>
      </c>
      <c r="C17" s="1037"/>
      <c r="D17" s="1038">
        <v>2610</v>
      </c>
      <c r="E17" s="1748">
        <f>'Expenditures 15-22'!K67</f>
        <v>0</v>
      </c>
      <c r="F17" s="1039"/>
      <c r="G17" s="1748">
        <f t="shared" si="0"/>
        <v>0</v>
      </c>
      <c r="H17" s="1040">
        <v>0</v>
      </c>
      <c r="I17" s="1039"/>
      <c r="J17" s="1748">
        <f t="shared" si="1"/>
        <v>0</v>
      </c>
    </row>
    <row r="18" spans="1:10" ht="22.5" customHeight="1" x14ac:dyDescent="0.2">
      <c r="A18" s="1042">
        <v>7</v>
      </c>
      <c r="B18" s="2340" t="s">
        <v>7</v>
      </c>
      <c r="C18" s="2341"/>
      <c r="D18" s="2342"/>
      <c r="E18" s="1043"/>
      <c r="F18" s="1043"/>
      <c r="G18" s="1749">
        <f t="shared" si="0"/>
        <v>0</v>
      </c>
      <c r="H18" s="1040"/>
      <c r="I18" s="1040"/>
      <c r="J18" s="1748">
        <f t="shared" si="1"/>
        <v>0</v>
      </c>
    </row>
    <row r="19" spans="1:10" ht="12.75" customHeight="1" thickBot="1" x14ac:dyDescent="0.25">
      <c r="A19" s="1035">
        <v>8</v>
      </c>
      <c r="B19" s="1044" t="s">
        <v>1161</v>
      </c>
      <c r="D19" s="1045"/>
      <c r="E19" s="1750">
        <f t="shared" ref="E19:J19" si="2">SUM(E12:E17)-E18</f>
        <v>817234</v>
      </c>
      <c r="F19" s="1750">
        <f t="shared" si="2"/>
        <v>56537</v>
      </c>
      <c r="G19" s="1750">
        <f t="shared" si="2"/>
        <v>873771</v>
      </c>
      <c r="H19" s="1750">
        <f t="shared" si="2"/>
        <v>859327</v>
      </c>
      <c r="I19" s="1750">
        <f t="shared" si="2"/>
        <v>58207</v>
      </c>
      <c r="J19" s="1750">
        <f t="shared" si="2"/>
        <v>917534</v>
      </c>
    </row>
    <row r="20" spans="1:10" ht="13.5" thickTop="1" x14ac:dyDescent="0.2">
      <c r="A20" s="1035">
        <v>9</v>
      </c>
      <c r="B20" s="2343" t="s">
        <v>1980</v>
      </c>
      <c r="C20" s="2343"/>
      <c r="D20" s="2344"/>
      <c r="E20" s="1046"/>
      <c r="F20" s="1046"/>
      <c r="G20" s="1046"/>
      <c r="H20" s="1046"/>
      <c r="I20" s="1046"/>
      <c r="J20" s="1751">
        <f>IF(AND(G19&gt;0,J19&gt;0),(((J19-G19)/G19)),"Enter Budget Data")</f>
        <v>5.0085205391343958E-2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1982</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42" sqref="I42:O4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2127</v>
      </c>
    </row>
    <row r="6" spans="1:2" x14ac:dyDescent="0.2">
      <c r="A6" s="1068">
        <v>2</v>
      </c>
      <c r="B6" s="329" t="s">
        <v>2128</v>
      </c>
    </row>
    <row r="7" spans="1:2" x14ac:dyDescent="0.2">
      <c r="A7" s="1068">
        <v>3</v>
      </c>
      <c r="B7" s="329" t="s">
        <v>2129</v>
      </c>
    </row>
    <row r="8" spans="1:2" x14ac:dyDescent="0.2">
      <c r="A8" s="1068">
        <v>4</v>
      </c>
      <c r="B8" s="329" t="s">
        <v>2130</v>
      </c>
    </row>
    <row r="9" spans="1:2" x14ac:dyDescent="0.2">
      <c r="A9" s="1069">
        <v>5</v>
      </c>
      <c r="B9" s="329" t="s">
        <v>2131</v>
      </c>
    </row>
    <row r="10" spans="1:2" x14ac:dyDescent="0.2">
      <c r="A10" s="1069">
        <v>6</v>
      </c>
      <c r="B10" s="329" t="s">
        <v>2132</v>
      </c>
    </row>
    <row r="11" spans="1:2" x14ac:dyDescent="0.2">
      <c r="A11" s="1069">
        <v>7</v>
      </c>
      <c r="B11" s="329" t="s">
        <v>2133</v>
      </c>
    </row>
    <row r="12" spans="1:2" x14ac:dyDescent="0.2">
      <c r="A12" s="1069">
        <v>8</v>
      </c>
      <c r="B12" s="329" t="s">
        <v>2134</v>
      </c>
    </row>
    <row r="13" spans="1:2" x14ac:dyDescent="0.2">
      <c r="A13" s="1069">
        <v>9</v>
      </c>
      <c r="B13" s="329" t="s">
        <v>2135</v>
      </c>
    </row>
    <row r="14" spans="1:2" x14ac:dyDescent="0.2">
      <c r="A14" s="1069">
        <v>10</v>
      </c>
      <c r="B14" s="329" t="s">
        <v>2136</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Woodridge SD 68</v>
      </c>
    </row>
    <row r="65" spans="2:2" x14ac:dyDescent="0.2">
      <c r="B65" s="1070">
        <f>COVER!A13</f>
        <v>19022068002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42" sqref="I42:O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773" t="s">
        <v>1611</v>
      </c>
    </row>
    <row r="23" spans="1:5" x14ac:dyDescent="0.2">
      <c r="A23" s="168"/>
      <c r="B23" s="162" t="s">
        <v>1856</v>
      </c>
      <c r="D23" s="167" t="s">
        <v>637</v>
      </c>
      <c r="E23" s="1773"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23" t="s">
        <v>1775</v>
      </c>
    </row>
    <row r="60" spans="1:3" x14ac:dyDescent="0.2">
      <c r="A60" s="196"/>
      <c r="B60" s="1423"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2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24"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42" sqref="I42:O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4" sqref="D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0" t="s">
        <v>1685</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1</xdr:row>
                <xdr:rowOff>19050</xdr:rowOff>
              </from>
              <to>
                <xdr:col>1</xdr:col>
                <xdr:colOff>914400</xdr:colOff>
                <xdr:row>5</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981075</xdr:colOff>
                <xdr:row>1</xdr:row>
                <xdr:rowOff>47625</xdr:rowOff>
              </from>
              <to>
                <xdr:col>1</xdr:col>
                <xdr:colOff>1895475</xdr:colOff>
                <xdr:row>5</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2019300</xdr:colOff>
                <xdr:row>1</xdr:row>
                <xdr:rowOff>47625</xdr:rowOff>
              </from>
              <to>
                <xdr:col>1</xdr:col>
                <xdr:colOff>2933700</xdr:colOff>
                <xdr:row>5</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8</xdr:col>
                <xdr:colOff>0</xdr:colOff>
                <xdr:row>41</xdr:row>
                <xdr:rowOff>0</xdr:rowOff>
              </from>
              <to>
                <xdr:col>9</xdr:col>
                <xdr:colOff>304800</xdr:colOff>
                <xdr:row>45</xdr:row>
                <xdr:rowOff>123825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9525</xdr:colOff>
                <xdr:row>5</xdr:row>
                <xdr:rowOff>104775</xdr:rowOff>
              </from>
              <to>
                <xdr:col>1</xdr:col>
                <xdr:colOff>923925</xdr:colOff>
                <xdr:row>10</xdr:row>
                <xdr:rowOff>66675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1009650</xdr:colOff>
                <xdr:row>5</xdr:row>
                <xdr:rowOff>152400</xdr:rowOff>
              </from>
              <to>
                <xdr:col>1</xdr:col>
                <xdr:colOff>1924050</xdr:colOff>
                <xdr:row>10</xdr:row>
                <xdr:rowOff>114300</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2028825</xdr:colOff>
                <xdr:row>5</xdr:row>
                <xdr:rowOff>133350</xdr:rowOff>
              </from>
              <to>
                <xdr:col>1</xdr:col>
                <xdr:colOff>2943225</xdr:colOff>
                <xdr:row>10</xdr:row>
                <xdr:rowOff>85725</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42" sqref="I42:O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1986</v>
      </c>
      <c r="B2" s="2362"/>
      <c r="C2" s="2362"/>
      <c r="D2" s="2362"/>
      <c r="E2" s="2362"/>
      <c r="F2" s="2363"/>
      <c r="G2" s="1074"/>
      <c r="H2" s="1074"/>
    </row>
    <row r="3" spans="1:8" ht="57" customHeight="1" x14ac:dyDescent="0.2">
      <c r="A3" s="2364" t="s">
        <v>1686</v>
      </c>
      <c r="B3" s="2365"/>
      <c r="C3" s="2365"/>
      <c r="D3" s="2365"/>
      <c r="E3" s="2365"/>
      <c r="F3" s="2366"/>
      <c r="G3" s="1074"/>
      <c r="H3" s="1074"/>
    </row>
    <row r="4" spans="1:8" ht="14.25" customHeight="1" x14ac:dyDescent="0.2">
      <c r="A4" s="2370" t="s">
        <v>1987</v>
      </c>
      <c r="B4" s="2371"/>
      <c r="C4" s="2371"/>
      <c r="D4" s="2371"/>
      <c r="E4" s="2371"/>
      <c r="F4" s="2372"/>
      <c r="G4" s="1074"/>
      <c r="H4" s="1074"/>
    </row>
    <row r="5" spans="1:8" ht="14.25" customHeight="1" x14ac:dyDescent="0.2">
      <c r="A5" s="2373" t="s">
        <v>1983</v>
      </c>
      <c r="B5" s="2374"/>
      <c r="C5" s="2374"/>
      <c r="D5" s="2374"/>
      <c r="E5" s="2374"/>
      <c r="F5" s="2375"/>
      <c r="G5" s="1074"/>
      <c r="H5" s="1074"/>
    </row>
    <row r="6" spans="1:8" s="1075" customFormat="1" ht="41.25" customHeight="1" x14ac:dyDescent="0.2">
      <c r="A6" s="2367" t="s">
        <v>1691</v>
      </c>
      <c r="B6" s="2368"/>
      <c r="C6" s="2368"/>
      <c r="D6" s="2368"/>
      <c r="E6" s="2368"/>
      <c r="F6" s="236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2">
        <f>'Acct Summary 7-8'!C8</f>
        <v>39036985</v>
      </c>
      <c r="C8" s="1752">
        <f>'Acct Summary 7-8'!D8</f>
        <v>3163754</v>
      </c>
      <c r="D8" s="1752">
        <f>'Acct Summary 7-8'!F8</f>
        <v>2100161</v>
      </c>
      <c r="E8" s="1752">
        <f>'Acct Summary 7-8'!I8</f>
        <v>130527</v>
      </c>
      <c r="F8" s="1752">
        <f>SUM(B8:E8)</f>
        <v>44431427</v>
      </c>
    </row>
    <row r="9" spans="1:8" s="1079" customFormat="1" ht="14.25" customHeight="1" thickBot="1" x14ac:dyDescent="0.25">
      <c r="A9" s="1078" t="s">
        <v>1369</v>
      </c>
      <c r="B9" s="1753">
        <f>'Acct Summary 7-8'!C17</f>
        <v>35659879</v>
      </c>
      <c r="C9" s="1753">
        <f>'Acct Summary 7-8'!D17</f>
        <v>2898047</v>
      </c>
      <c r="D9" s="1753">
        <f>'Acct Summary 7-8'!F17</f>
        <v>2489335</v>
      </c>
      <c r="E9" s="1752"/>
      <c r="F9" s="1752">
        <f>SUM(B9:E9)</f>
        <v>41047261</v>
      </c>
    </row>
    <row r="10" spans="1:8" s="1079" customFormat="1" ht="14.25" thickTop="1" thickBot="1" x14ac:dyDescent="0.25">
      <c r="A10" s="1080" t="s">
        <v>1370</v>
      </c>
      <c r="B10" s="1754">
        <f>(B8-B9)</f>
        <v>3377106</v>
      </c>
      <c r="C10" s="1754">
        <f>(C8-C9)</f>
        <v>265707</v>
      </c>
      <c r="D10" s="1754">
        <f>(D8-D9)</f>
        <v>-389174</v>
      </c>
      <c r="E10" s="1753">
        <f>(E8-E9)</f>
        <v>130527</v>
      </c>
      <c r="F10" s="1755">
        <f>SUM(F8-F9)</f>
        <v>3384166</v>
      </c>
    </row>
    <row r="11" spans="1:8" s="1079" customFormat="1" ht="14.25" thickTop="1" thickBot="1" x14ac:dyDescent="0.25">
      <c r="A11" s="1081" t="s">
        <v>1984</v>
      </c>
      <c r="B11" s="1756">
        <f>'Acct Summary 7-8'!C81</f>
        <v>41378515</v>
      </c>
      <c r="C11" s="1756">
        <f>'Acct Summary 7-8'!D81</f>
        <v>5172490</v>
      </c>
      <c r="D11" s="1756">
        <f>'Acct Summary 7-8'!F81</f>
        <v>2552238</v>
      </c>
      <c r="E11" s="1756">
        <f>'Acct Summary 7-8'!I81</f>
        <v>7663483</v>
      </c>
      <c r="F11" s="1757">
        <f>SUM(B11:E11)</f>
        <v>56766726</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1687</v>
      </c>
      <c r="B16" s="2354"/>
      <c r="C16" s="2354"/>
      <c r="D16" s="2354"/>
      <c r="E16" s="235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sheetPr>
  <dimension ref="A1:L82"/>
  <sheetViews>
    <sheetView showGridLines="0" defaultGridColor="0" topLeftCell="A44" colorId="8" zoomScaleNormal="100" workbookViewId="0">
      <selection activeCell="G35" sqref="G3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6" t="s">
        <v>665</v>
      </c>
      <c r="B3" s="2377"/>
      <c r="C3" s="2377"/>
      <c r="D3" s="2378"/>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7" t="s">
        <v>1504</v>
      </c>
      <c r="D7" s="238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1" t="s">
        <v>314</v>
      </c>
      <c r="D21" s="2392"/>
    </row>
    <row r="22" spans="1:10" ht="12.75" x14ac:dyDescent="0.2">
      <c r="A22" s="1139"/>
      <c r="B22" s="1140">
        <v>2</v>
      </c>
      <c r="C22" s="2389" t="s">
        <v>1524</v>
      </c>
      <c r="D22" s="2390"/>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3" t="s">
        <v>536</v>
      </c>
      <c r="D43" s="239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5" t="s">
        <v>784</v>
      </c>
      <c r="D56" s="238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5" t="s">
        <v>1696</v>
      </c>
      <c r="D70" s="238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19022068002</v>
      </c>
    </row>
    <row r="3" spans="1:2" x14ac:dyDescent="0.2">
      <c r="A3" t="s">
        <v>956</v>
      </c>
      <c r="B3" s="138" t="str">
        <f>COVER!A15</f>
        <v>DuPage County</v>
      </c>
    </row>
    <row r="4" spans="1:2" x14ac:dyDescent="0.2">
      <c r="A4" t="s">
        <v>1007</v>
      </c>
      <c r="B4" s="138" t="str">
        <f>COVER!A17</f>
        <v>Woodridge SD 68</v>
      </c>
    </row>
    <row r="5" spans="1:2" x14ac:dyDescent="0.2">
      <c r="A5" t="s">
        <v>704</v>
      </c>
      <c r="B5" s="138" t="str">
        <f>COVER!A38</f>
        <v>Patrick J. Broncato</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65033233</v>
      </c>
    </row>
    <row r="16" spans="1:2" x14ac:dyDescent="0.2">
      <c r="A16" t="s">
        <v>422</v>
      </c>
      <c r="B16" s="138" t="str">
        <f>COVER!T13</f>
        <v>Lauterbach &amp; Amen</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33420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15562528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60827456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15654187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19448941</v>
      </c>
      <c r="C91" s="2" t="s">
        <v>573</v>
      </c>
      <c r="D91" s="2" t="str">
        <f t="shared" si="0"/>
        <v>Error?</v>
      </c>
    </row>
    <row r="92" spans="1:4" x14ac:dyDescent="0.2">
      <c r="A92" s="5">
        <v>31</v>
      </c>
      <c r="B92" s="138">
        <f>'Assets-Liab 5-6'!C39</f>
        <v>41378515</v>
      </c>
      <c r="D92" s="2" t="str">
        <f t="shared" si="0"/>
        <v>Error?</v>
      </c>
    </row>
    <row r="93" spans="1:4" x14ac:dyDescent="0.2">
      <c r="A93" s="5">
        <v>32</v>
      </c>
      <c r="B93" s="138">
        <f>'Assets-Liab 5-6'!C41</f>
        <v>60827456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1947288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7217642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1947288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2045152</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7217642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17763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17763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487030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3214063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661825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661825</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3214063</v>
      </c>
      <c r="C171" s="2" t="s">
        <v>573</v>
      </c>
      <c r="D171" s="2" t="str">
        <f t="shared" si="1"/>
        <v>Error?</v>
      </c>
    </row>
    <row r="172" spans="1:4" x14ac:dyDescent="0.2">
      <c r="A172" s="10">
        <v>111</v>
      </c>
      <c r="D172" s="2" t="str">
        <f t="shared" si="1"/>
        <v>OK</v>
      </c>
    </row>
    <row r="173" spans="1:4" x14ac:dyDescent="0.2">
      <c r="A173" s="5">
        <v>112</v>
      </c>
      <c r="B173" s="138">
        <f>'Assets-Liab 5-6'!G6</f>
        <v>421428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1880357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127627</v>
      </c>
      <c r="D184" s="2" t="str">
        <f t="shared" si="1"/>
        <v>Error?</v>
      </c>
    </row>
    <row r="185" spans="1:4" x14ac:dyDescent="0.2">
      <c r="A185" s="5">
        <v>124</v>
      </c>
      <c r="B185" s="138">
        <f>'Assets-Liab 5-6'!G32</f>
        <v>421428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549055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1880357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6771198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1624398</v>
      </c>
      <c r="C211" s="2" t="s">
        <v>573</v>
      </c>
      <c r="D211" s="2" t="str">
        <f t="shared" si="2"/>
        <v>Error?</v>
      </c>
    </row>
    <row r="212" spans="1:4" x14ac:dyDescent="0.2">
      <c r="A212" s="5">
        <v>151</v>
      </c>
      <c r="B212" s="138">
        <f>'Assets-Liab 5-6'!H39</f>
        <v>5146800</v>
      </c>
      <c r="D212" s="2" t="str">
        <f t="shared" si="2"/>
        <v>Error?</v>
      </c>
    </row>
    <row r="213" spans="1:4" x14ac:dyDescent="0.2">
      <c r="A213" s="12">
        <v>152</v>
      </c>
      <c r="B213" s="138">
        <f>'Assets-Liab 5-6'!H41</f>
        <v>6771198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168728</v>
      </c>
      <c r="D273" s="2" t="str">
        <f t="shared" si="3"/>
        <v>Error?</v>
      </c>
    </row>
    <row r="274" spans="1:4" x14ac:dyDescent="0.2">
      <c r="A274" s="5">
        <v>213</v>
      </c>
      <c r="B274" s="138">
        <f>'Assets-Liab 5-6'!M17</f>
        <v>24988805</v>
      </c>
      <c r="D274" s="2" t="str">
        <f t="shared" si="3"/>
        <v>Error?</v>
      </c>
    </row>
    <row r="275" spans="1:4" x14ac:dyDescent="0.2">
      <c r="A275" s="5">
        <v>214</v>
      </c>
      <c r="B275" s="138">
        <f>'Assets-Liab 5-6'!M18</f>
        <v>0</v>
      </c>
      <c r="D275" s="2" t="str">
        <f t="shared" si="3"/>
        <v>Error?</v>
      </c>
    </row>
    <row r="276" spans="1:4" x14ac:dyDescent="0.2">
      <c r="A276" s="5">
        <v>215</v>
      </c>
      <c r="B276" s="138">
        <f>'Assets-Liab 5-6'!M19</f>
        <v>1557440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28783207</v>
      </c>
      <c r="C279" s="2" t="s">
        <v>573</v>
      </c>
      <c r="D279" s="2" t="str">
        <f t="shared" si="3"/>
        <v>Error?</v>
      </c>
    </row>
    <row r="280" spans="1:4" x14ac:dyDescent="0.2">
      <c r="A280" s="5">
        <v>219</v>
      </c>
      <c r="B280" s="138">
        <f>'Assets-Liab 5-6'!M40</f>
        <v>28783207</v>
      </c>
      <c r="D280" s="2" t="str">
        <f t="shared" si="3"/>
        <v>Error?</v>
      </c>
    </row>
    <row r="281" spans="1:4" x14ac:dyDescent="0.2">
      <c r="A281" s="5">
        <v>220</v>
      </c>
      <c r="B281" s="138">
        <f>'Assets-Liab 5-6'!M41</f>
        <v>28783207</v>
      </c>
      <c r="C281" s="2" t="s">
        <v>573</v>
      </c>
      <c r="D281" s="2" t="str">
        <f t="shared" si="3"/>
        <v>Error?</v>
      </c>
    </row>
    <row r="282" spans="1:4" x14ac:dyDescent="0.2">
      <c r="A282" s="5">
        <v>221</v>
      </c>
      <c r="B282" s="138">
        <f>'Assets-Liab 5-6'!N21</f>
        <v>17763</v>
      </c>
      <c r="D282" s="2" t="str">
        <f t="shared" si="3"/>
        <v>Error?</v>
      </c>
    </row>
    <row r="283" spans="1:4" x14ac:dyDescent="0.2">
      <c r="A283" s="5">
        <v>222</v>
      </c>
      <c r="B283" s="138">
        <f>'Assets-Liab 5-6'!N22</f>
        <v>328413</v>
      </c>
      <c r="D283" s="2" t="str">
        <f t="shared" si="3"/>
        <v>Error?</v>
      </c>
    </row>
    <row r="284" spans="1:4" x14ac:dyDescent="0.2">
      <c r="A284" s="5">
        <v>223</v>
      </c>
      <c r="B284" s="138">
        <f>'Assets-Liab 5-6'!N23</f>
        <v>346176</v>
      </c>
      <c r="C284" s="2" t="s">
        <v>573</v>
      </c>
      <c r="D284" s="2" t="str">
        <f t="shared" si="3"/>
        <v>Error?</v>
      </c>
    </row>
    <row r="285" spans="1:4" x14ac:dyDescent="0.2">
      <c r="A285" s="5">
        <v>224</v>
      </c>
      <c r="B285" s="138">
        <f>'Assets-Liab 5-6'!N36</f>
        <v>346176</v>
      </c>
      <c r="D285" s="2" t="str">
        <f t="shared" si="3"/>
        <v>Error?</v>
      </c>
    </row>
    <row r="286" spans="1:4" x14ac:dyDescent="0.2">
      <c r="A286" s="10">
        <v>225</v>
      </c>
      <c r="D286" s="2" t="str">
        <f t="shared" si="3"/>
        <v>OK</v>
      </c>
    </row>
    <row r="287" spans="1:4" x14ac:dyDescent="0.2">
      <c r="A287" s="5">
        <v>226</v>
      </c>
      <c r="B287" s="138">
        <f>'Assets-Liab 5-6'!N37</f>
        <v>346176</v>
      </c>
      <c r="C287" s="2" t="s">
        <v>573</v>
      </c>
      <c r="D287" s="2" t="str">
        <f t="shared" si="3"/>
        <v>Error?</v>
      </c>
    </row>
    <row r="288" spans="1:4" x14ac:dyDescent="0.2">
      <c r="A288" s="5">
        <v>227</v>
      </c>
      <c r="B288" s="138">
        <f>'Assets-Liab 5-6'!N41</f>
        <v>346176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12389096</v>
      </c>
      <c r="D705" s="2" t="str">
        <f t="shared" si="10"/>
        <v>Error?</v>
      </c>
    </row>
    <row r="706" spans="1:4" x14ac:dyDescent="0.2">
      <c r="A706" s="5">
        <v>645</v>
      </c>
      <c r="B706" s="138">
        <f>'Expenditures 15-22'!C16</f>
        <v>719252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1408783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133567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18685425</v>
      </c>
      <c r="C720" s="2" t="s">
        <v>573</v>
      </c>
      <c r="D720" s="2" t="str">
        <f t="shared" si="10"/>
        <v>Error?</v>
      </c>
    </row>
    <row r="721" spans="1:4" x14ac:dyDescent="0.2">
      <c r="A721" s="5">
        <v>660</v>
      </c>
      <c r="B721" s="138">
        <f>'Expenditures 15-22'!C36</f>
        <v>686542</v>
      </c>
      <c r="D721" s="2" t="str">
        <f t="shared" si="10"/>
        <v>Error?</v>
      </c>
    </row>
    <row r="722" spans="1:4" x14ac:dyDescent="0.2">
      <c r="A722" s="5">
        <v>661</v>
      </c>
      <c r="B722" s="138">
        <f>'Expenditures 15-22'!C37</f>
        <v>75739</v>
      </c>
      <c r="D722" s="2" t="str">
        <f t="shared" si="10"/>
        <v>Error?</v>
      </c>
    </row>
    <row r="723" spans="1:4" x14ac:dyDescent="0.2">
      <c r="A723" s="5">
        <v>662</v>
      </c>
      <c r="B723" s="138">
        <f>'Expenditures 15-22'!C38</f>
        <v>545114</v>
      </c>
      <c r="D723" s="2" t="str">
        <f t="shared" si="10"/>
        <v>Error?</v>
      </c>
    </row>
    <row r="724" spans="1:4" x14ac:dyDescent="0.2">
      <c r="A724" s="5">
        <v>663</v>
      </c>
      <c r="B724" s="138">
        <f>'Expenditures 15-22'!C39</f>
        <v>422945</v>
      </c>
      <c r="D724" s="2" t="str">
        <f t="shared" si="10"/>
        <v>Error?</v>
      </c>
    </row>
    <row r="725" spans="1:4" x14ac:dyDescent="0.2">
      <c r="A725" s="5">
        <v>664</v>
      </c>
      <c r="B725" s="138">
        <f>'Expenditures 15-22'!C40</f>
        <v>798922</v>
      </c>
      <c r="D725" s="2" t="str">
        <f t="shared" si="10"/>
        <v>Error?</v>
      </c>
    </row>
    <row r="726" spans="1:4" x14ac:dyDescent="0.2">
      <c r="A726" s="5">
        <v>665</v>
      </c>
      <c r="B726" s="138">
        <f>'Expenditures 15-22'!C41</f>
        <v>18176</v>
      </c>
      <c r="D726" s="2" t="str">
        <f t="shared" si="10"/>
        <v>Error?</v>
      </c>
    </row>
    <row r="727" spans="1:4" x14ac:dyDescent="0.2">
      <c r="A727" s="5">
        <v>666</v>
      </c>
      <c r="B727" s="138">
        <f>'Expenditures 15-22'!C42</f>
        <v>2547438</v>
      </c>
      <c r="C727" s="2" t="s">
        <v>573</v>
      </c>
      <c r="D727" s="2" t="str">
        <f t="shared" si="10"/>
        <v>Error?</v>
      </c>
    </row>
    <row r="728" spans="1:4" x14ac:dyDescent="0.2">
      <c r="A728" s="5">
        <v>667</v>
      </c>
      <c r="B728" s="138">
        <f>'Expenditures 15-22'!C44</f>
        <v>470973</v>
      </c>
      <c r="D728" s="2" t="str">
        <f t="shared" si="10"/>
        <v>Error?</v>
      </c>
    </row>
    <row r="729" spans="1:4" x14ac:dyDescent="0.2">
      <c r="A729" s="5">
        <v>668</v>
      </c>
      <c r="B729" s="138">
        <f>'Expenditures 15-22'!C45</f>
        <v>734652</v>
      </c>
      <c r="D729" s="2" t="str">
        <f t="shared" si="10"/>
        <v>Error?</v>
      </c>
    </row>
    <row r="730" spans="1:4" x14ac:dyDescent="0.2">
      <c r="A730" s="5">
        <v>669</v>
      </c>
      <c r="B730" s="138">
        <f>'Expenditures 15-22'!C46</f>
        <v>5000</v>
      </c>
      <c r="D730" s="2" t="str">
        <f t="shared" si="10"/>
        <v>Error?</v>
      </c>
    </row>
    <row r="731" spans="1:4" x14ac:dyDescent="0.2">
      <c r="A731" s="5">
        <v>670</v>
      </c>
      <c r="B731" s="138">
        <f>'Expenditures 15-22'!C47</f>
        <v>1210625</v>
      </c>
      <c r="C731" s="2" t="s">
        <v>573</v>
      </c>
      <c r="D731" s="2" t="str">
        <f t="shared" si="10"/>
        <v>Error?</v>
      </c>
    </row>
    <row r="732" spans="1:4" x14ac:dyDescent="0.2">
      <c r="A732" s="5">
        <v>671</v>
      </c>
      <c r="B732" s="138">
        <f>'Expenditures 15-22'!C49</f>
        <v>7000</v>
      </c>
      <c r="D732" s="2" t="str">
        <f t="shared" si="10"/>
        <v>Error?</v>
      </c>
    </row>
    <row r="733" spans="1:4" x14ac:dyDescent="0.2">
      <c r="A733" s="5">
        <v>672</v>
      </c>
      <c r="B733" s="138">
        <f>'Expenditures 15-22'!C50</f>
        <v>279013</v>
      </c>
      <c r="D733" s="2" t="str">
        <f t="shared" si="10"/>
        <v>Error?</v>
      </c>
    </row>
    <row r="734" spans="1:4" x14ac:dyDescent="0.2">
      <c r="A734" s="5">
        <v>673</v>
      </c>
      <c r="B734" s="138">
        <f>'Expenditures 15-22'!C53</f>
        <v>501386</v>
      </c>
      <c r="C734" s="2" t="s">
        <v>573</v>
      </c>
      <c r="D734" s="2" t="str">
        <f t="shared" si="10"/>
        <v>Error?</v>
      </c>
    </row>
    <row r="735" spans="1:4" x14ac:dyDescent="0.2">
      <c r="A735" s="5">
        <v>674</v>
      </c>
      <c r="B735" s="138">
        <f>'Expenditures 15-22'!C55</f>
        <v>1463701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1463701</v>
      </c>
      <c r="C737" s="2" t="s">
        <v>573</v>
      </c>
      <c r="D737" s="2" t="str">
        <f t="shared" si="10"/>
        <v>Error?</v>
      </c>
    </row>
    <row r="738" spans="1:4" x14ac:dyDescent="0.2">
      <c r="A738" s="5">
        <v>677</v>
      </c>
      <c r="B738" s="138">
        <f>'Expenditures 15-22'!C59</f>
        <v>130269</v>
      </c>
      <c r="D738" s="2" t="str">
        <f t="shared" si="10"/>
        <v>Error?</v>
      </c>
    </row>
    <row r="739" spans="1:4" x14ac:dyDescent="0.2">
      <c r="A739" s="5">
        <v>678</v>
      </c>
      <c r="B739" s="138">
        <f>'Expenditures 15-22'!C60</f>
        <v>183477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172694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486440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76649</v>
      </c>
      <c r="D748" s="2" t="str">
        <f t="shared" si="10"/>
        <v>Error?</v>
      </c>
    </row>
    <row r="749" spans="1:4" x14ac:dyDescent="0.2">
      <c r="A749" s="5">
        <v>688</v>
      </c>
      <c r="B749" s="138">
        <f>'Expenditures 15-22'!C70</f>
        <v>291183</v>
      </c>
      <c r="D749" s="2" t="str">
        <f t="shared" si="10"/>
        <v>Error?</v>
      </c>
    </row>
    <row r="750" spans="1:4" x14ac:dyDescent="0.2">
      <c r="A750" s="10">
        <v>689</v>
      </c>
      <c r="D750" s="2" t="str">
        <f t="shared" si="10"/>
        <v>OK</v>
      </c>
    </row>
    <row r="751" spans="1:4" x14ac:dyDescent="0.2">
      <c r="A751" s="5">
        <v>690</v>
      </c>
      <c r="B751" s="138">
        <f>'Expenditures 15-22'!C71</f>
        <v>338186</v>
      </c>
      <c r="D751" s="2" t="str">
        <f t="shared" si="10"/>
        <v>Error?</v>
      </c>
    </row>
    <row r="752" spans="1:4" x14ac:dyDescent="0.2">
      <c r="A752" s="10">
        <v>691</v>
      </c>
      <c r="D752" s="2" t="str">
        <f t="shared" si="10"/>
        <v>OK</v>
      </c>
    </row>
    <row r="753" spans="1:4" x14ac:dyDescent="0.2">
      <c r="A753" s="5">
        <v>692</v>
      </c>
      <c r="B753" s="138">
        <f>'Expenditures 15-22'!C72</f>
        <v>706018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6915608</v>
      </c>
      <c r="C755" s="2" t="s">
        <v>573</v>
      </c>
      <c r="D755" s="2" t="str">
        <f t="shared" si="10"/>
        <v>Error?</v>
      </c>
    </row>
    <row r="756" spans="1:4" x14ac:dyDescent="0.2">
      <c r="A756" s="5">
        <v>695</v>
      </c>
      <c r="B756" s="138">
        <f>'Expenditures 15-22'!C75</f>
        <v>56027</v>
      </c>
      <c r="D756" s="2" t="str">
        <f t="shared" si="10"/>
        <v>Error?</v>
      </c>
    </row>
    <row r="757" spans="1:4" x14ac:dyDescent="0.2">
      <c r="A757" s="5">
        <v>696</v>
      </c>
      <c r="B757" s="138">
        <f>'Expenditures 15-22'!C114</f>
        <v>25657060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1953678</v>
      </c>
      <c r="D763" s="2" t="str">
        <f t="shared" si="10"/>
        <v>Error?</v>
      </c>
    </row>
    <row r="764" spans="1:4" x14ac:dyDescent="0.2">
      <c r="A764" s="5">
        <v>703</v>
      </c>
      <c r="B764" s="138">
        <f>'Expenditures 15-22'!D16</f>
        <v>94802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250346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2787333</v>
      </c>
      <c r="C778" s="2" t="s">
        <v>573</v>
      </c>
      <c r="D778" s="2" t="str">
        <f t="shared" si="11"/>
        <v>Error?</v>
      </c>
    </row>
    <row r="779" spans="1:4" x14ac:dyDescent="0.2">
      <c r="A779" s="5">
        <v>718</v>
      </c>
      <c r="B779" s="138">
        <f>'Expenditures 15-22'!D36</f>
        <v>106685</v>
      </c>
      <c r="D779" s="2" t="str">
        <f t="shared" si="11"/>
        <v>Error?</v>
      </c>
    </row>
    <row r="780" spans="1:4" x14ac:dyDescent="0.2">
      <c r="A780" s="5">
        <v>719</v>
      </c>
      <c r="B780" s="138">
        <f>'Expenditures 15-22'!D37</f>
        <v>1136</v>
      </c>
      <c r="D780" s="2" t="str">
        <f t="shared" si="11"/>
        <v>Error?</v>
      </c>
    </row>
    <row r="781" spans="1:4" x14ac:dyDescent="0.2">
      <c r="A781" s="5">
        <v>720</v>
      </c>
      <c r="B781" s="138">
        <f>'Expenditures 15-22'!D38</f>
        <v>63447</v>
      </c>
      <c r="D781" s="2" t="str">
        <f t="shared" si="11"/>
        <v>Error?</v>
      </c>
    </row>
    <row r="782" spans="1:4" x14ac:dyDescent="0.2">
      <c r="A782" s="5">
        <v>721</v>
      </c>
      <c r="B782" s="138">
        <f>'Expenditures 15-22'!D39</f>
        <v>51202</v>
      </c>
      <c r="D782" s="2" t="str">
        <f t="shared" si="11"/>
        <v>Error?</v>
      </c>
    </row>
    <row r="783" spans="1:4" x14ac:dyDescent="0.2">
      <c r="A783" s="5">
        <v>722</v>
      </c>
      <c r="B783" s="138">
        <f>'Expenditures 15-22'!D40</f>
        <v>118565</v>
      </c>
      <c r="D783" s="2" t="str">
        <f t="shared" si="11"/>
        <v>Error?</v>
      </c>
    </row>
    <row r="784" spans="1:4" x14ac:dyDescent="0.2">
      <c r="A784" s="5">
        <v>723</v>
      </c>
      <c r="B784" s="138">
        <f>'Expenditures 15-22'!D41</f>
        <v>228</v>
      </c>
      <c r="D784" s="2" t="str">
        <f t="shared" si="11"/>
        <v>Error?</v>
      </c>
    </row>
    <row r="785" spans="1:4" x14ac:dyDescent="0.2">
      <c r="A785" s="5">
        <v>724</v>
      </c>
      <c r="B785" s="138">
        <f>'Expenditures 15-22'!D42</f>
        <v>341263</v>
      </c>
      <c r="C785" s="2" t="s">
        <v>573</v>
      </c>
      <c r="D785" s="2" t="str">
        <f t="shared" si="11"/>
        <v>Error?</v>
      </c>
    </row>
    <row r="786" spans="1:4" x14ac:dyDescent="0.2">
      <c r="A786" s="5">
        <v>725</v>
      </c>
      <c r="B786" s="138">
        <f>'Expenditures 15-22'!D44</f>
        <v>71628</v>
      </c>
      <c r="D786" s="2" t="str">
        <f t="shared" si="11"/>
        <v>Error?</v>
      </c>
    </row>
    <row r="787" spans="1:4" x14ac:dyDescent="0.2">
      <c r="A787" s="5">
        <v>726</v>
      </c>
      <c r="B787" s="138">
        <f>'Expenditures 15-22'!D45</f>
        <v>110305</v>
      </c>
      <c r="D787" s="2" t="str">
        <f t="shared" si="11"/>
        <v>Error?</v>
      </c>
    </row>
    <row r="788" spans="1:4" x14ac:dyDescent="0.2">
      <c r="A788" s="5">
        <v>727</v>
      </c>
      <c r="B788" s="138">
        <f>'Expenditures 15-22'!D46</f>
        <v>646</v>
      </c>
      <c r="D788" s="2" t="str">
        <f t="shared" si="11"/>
        <v>Error?</v>
      </c>
    </row>
    <row r="789" spans="1:4" x14ac:dyDescent="0.2">
      <c r="A789" s="5">
        <v>728</v>
      </c>
      <c r="B789" s="138">
        <f>'Expenditures 15-22'!D47</f>
        <v>182579</v>
      </c>
      <c r="C789" s="2" t="s">
        <v>573</v>
      </c>
      <c r="D789" s="2" t="str">
        <f t="shared" si="11"/>
        <v>Error?</v>
      </c>
    </row>
    <row r="790" spans="1:4" x14ac:dyDescent="0.2">
      <c r="A790" s="5">
        <v>729</v>
      </c>
      <c r="B790" s="138">
        <f>'Expenditures 15-22'!D49</f>
        <v>10861</v>
      </c>
      <c r="D790" s="2" t="str">
        <f t="shared" si="11"/>
        <v>Error?</v>
      </c>
    </row>
    <row r="791" spans="1:4" x14ac:dyDescent="0.2">
      <c r="A791" s="5">
        <v>730</v>
      </c>
      <c r="B791" s="138">
        <f>'Expenditures 15-22'!D50</f>
        <v>57433</v>
      </c>
      <c r="D791" s="2" t="str">
        <f t="shared" si="11"/>
        <v>Error?</v>
      </c>
    </row>
    <row r="792" spans="1:4" x14ac:dyDescent="0.2">
      <c r="A792" s="5">
        <v>731</v>
      </c>
      <c r="B792" s="138">
        <f>'Expenditures 15-22'!D53</f>
        <v>114460</v>
      </c>
      <c r="C792" s="2" t="s">
        <v>573</v>
      </c>
      <c r="D792" s="2" t="str">
        <f t="shared" si="11"/>
        <v>Error?</v>
      </c>
    </row>
    <row r="793" spans="1:4" x14ac:dyDescent="0.2">
      <c r="A793" s="5">
        <v>732</v>
      </c>
      <c r="B793" s="138">
        <f>'Expenditures 15-22'!D55</f>
        <v>352094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352094</v>
      </c>
      <c r="C795" s="2" t="s">
        <v>573</v>
      </c>
      <c r="D795" s="2" t="str">
        <f t="shared" si="11"/>
        <v>Error?</v>
      </c>
    </row>
    <row r="796" spans="1:4" x14ac:dyDescent="0.2">
      <c r="A796" s="5">
        <v>735</v>
      </c>
      <c r="B796" s="138">
        <f>'Expenditures 15-22'!D59</f>
        <v>30092</v>
      </c>
      <c r="D796" s="2" t="str">
        <f t="shared" si="11"/>
        <v>Error?</v>
      </c>
    </row>
    <row r="797" spans="1:4" x14ac:dyDescent="0.2">
      <c r="A797" s="5">
        <v>736</v>
      </c>
      <c r="B797" s="138">
        <f>'Expenditures 15-22'!D60</f>
        <v>36221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75242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9481</v>
      </c>
      <c r="D806" s="2" t="str">
        <f t="shared" si="11"/>
        <v>Error?</v>
      </c>
    </row>
    <row r="807" spans="1:4" x14ac:dyDescent="0.2">
      <c r="A807" s="5">
        <v>746</v>
      </c>
      <c r="B807" s="138">
        <f>'Expenditures 15-22'!D70</f>
        <v>61687</v>
      </c>
      <c r="D807" s="2" t="str">
        <f t="shared" si="11"/>
        <v>Error?</v>
      </c>
    </row>
    <row r="808" spans="1:4" x14ac:dyDescent="0.2">
      <c r="A808" s="10">
        <v>747</v>
      </c>
      <c r="D808" s="2" t="str">
        <f t="shared" si="11"/>
        <v>OK</v>
      </c>
    </row>
    <row r="809" spans="1:4" x14ac:dyDescent="0.2">
      <c r="A809" s="5">
        <v>748</v>
      </c>
      <c r="B809" s="138">
        <f>'Expenditures 15-22'!D71</f>
        <v>63472</v>
      </c>
      <c r="D809" s="2" t="str">
        <f t="shared" si="11"/>
        <v>Error?</v>
      </c>
    </row>
    <row r="810" spans="1:4" x14ac:dyDescent="0.2">
      <c r="A810" s="10">
        <v>749</v>
      </c>
      <c r="D810" s="2" t="str">
        <f t="shared" si="11"/>
        <v>OK</v>
      </c>
    </row>
    <row r="811" spans="1:4" x14ac:dyDescent="0.2">
      <c r="A811" s="5">
        <v>750</v>
      </c>
      <c r="B811" s="138">
        <f>'Expenditures 15-22'!D72</f>
        <v>134640</v>
      </c>
      <c r="C811" s="2" t="s">
        <v>573</v>
      </c>
      <c r="D811" s="2" t="str">
        <f t="shared" si="11"/>
        <v>Error?</v>
      </c>
    </row>
    <row r="812" spans="1:4" x14ac:dyDescent="0.2">
      <c r="A812" s="5">
        <v>751</v>
      </c>
      <c r="B812" s="138">
        <f>'Expenditures 15-22'!D73</f>
        <v>48289</v>
      </c>
      <c r="D812" s="2" t="str">
        <f t="shared" si="11"/>
        <v>Error?</v>
      </c>
    </row>
    <row r="813" spans="1:4" x14ac:dyDescent="0.2">
      <c r="A813" s="5">
        <v>752</v>
      </c>
      <c r="B813" s="138">
        <f>'Expenditures 15-22'!D74</f>
        <v>1248567</v>
      </c>
      <c r="C813" s="2" t="s">
        <v>573</v>
      </c>
      <c r="D813" s="2" t="str">
        <f t="shared" si="11"/>
        <v>Error?</v>
      </c>
    </row>
    <row r="814" spans="1:4" x14ac:dyDescent="0.2">
      <c r="A814" s="5">
        <v>753</v>
      </c>
      <c r="B814" s="138">
        <f>'Expenditures 15-22'!D75</f>
        <v>19522</v>
      </c>
      <c r="D814" s="2" t="str">
        <f t="shared" si="11"/>
        <v>Error?</v>
      </c>
    </row>
    <row r="815" spans="1:4" x14ac:dyDescent="0.2">
      <c r="A815" s="5">
        <v>754</v>
      </c>
      <c r="B815" s="138">
        <f>'Expenditures 15-22'!D114</f>
        <v>4055422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308478</v>
      </c>
      <c r="D821" s="2" t="str">
        <f t="shared" si="11"/>
        <v>Error?</v>
      </c>
    </row>
    <row r="822" spans="1:4" x14ac:dyDescent="0.2">
      <c r="A822" s="5">
        <v>761</v>
      </c>
      <c r="B822" s="138">
        <f>'Expenditures 15-22'!E16</f>
        <v>815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10891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348279</v>
      </c>
      <c r="C836" s="2" t="s">
        <v>573</v>
      </c>
      <c r="D836" s="2" t="str">
        <f t="shared" si="12"/>
        <v>Error?</v>
      </c>
    </row>
    <row r="837" spans="1:4" x14ac:dyDescent="0.2">
      <c r="A837" s="5">
        <v>776</v>
      </c>
      <c r="B837" s="138">
        <f>'Expenditures 15-22'!E36</f>
        <v>33323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90341</v>
      </c>
      <c r="D839" s="2" t="str">
        <f t="shared" si="12"/>
        <v>Error?</v>
      </c>
    </row>
    <row r="840" spans="1:4" x14ac:dyDescent="0.2">
      <c r="A840" s="5">
        <v>779</v>
      </c>
      <c r="B840" s="138">
        <f>'Expenditures 15-22'!E39</f>
        <v>8518</v>
      </c>
      <c r="D840" s="2" t="str">
        <f t="shared" si="12"/>
        <v>Error?</v>
      </c>
    </row>
    <row r="841" spans="1:4" x14ac:dyDescent="0.2">
      <c r="A841" s="5">
        <v>780</v>
      </c>
      <c r="B841" s="138">
        <f>'Expenditures 15-22'!E40</f>
        <v>42243</v>
      </c>
      <c r="D841" s="2" t="str">
        <f t="shared" si="12"/>
        <v>Error?</v>
      </c>
    </row>
    <row r="842" spans="1:4" x14ac:dyDescent="0.2">
      <c r="A842" s="5">
        <v>781</v>
      </c>
      <c r="B842" s="138">
        <f>'Expenditures 15-22'!E41</f>
        <v>1063</v>
      </c>
      <c r="D842" s="2" t="str">
        <f t="shared" si="12"/>
        <v>Error?</v>
      </c>
    </row>
    <row r="843" spans="1:4" x14ac:dyDescent="0.2">
      <c r="A843" s="5">
        <v>782</v>
      </c>
      <c r="B843" s="138">
        <f>'Expenditures 15-22'!E42</f>
        <v>175488</v>
      </c>
      <c r="C843" s="2" t="s">
        <v>573</v>
      </c>
      <c r="D843" s="2" t="str">
        <f t="shared" si="12"/>
        <v>Error?</v>
      </c>
    </row>
    <row r="844" spans="1:4" x14ac:dyDescent="0.2">
      <c r="A844" s="5">
        <v>783</v>
      </c>
      <c r="B844" s="138">
        <f>'Expenditures 15-22'!E44</f>
        <v>384820</v>
      </c>
      <c r="D844" s="2" t="str">
        <f t="shared" si="12"/>
        <v>Error?</v>
      </c>
    </row>
    <row r="845" spans="1:4" x14ac:dyDescent="0.2">
      <c r="A845" s="5">
        <v>784</v>
      </c>
      <c r="B845" s="138">
        <f>'Expenditures 15-22'!E45</f>
        <v>23933</v>
      </c>
      <c r="D845" s="2" t="str">
        <f t="shared" si="12"/>
        <v>Error?</v>
      </c>
    </row>
    <row r="846" spans="1:4" x14ac:dyDescent="0.2">
      <c r="A846" s="5">
        <v>785</v>
      </c>
      <c r="B846" s="138">
        <f>'Expenditures 15-22'!E46</f>
        <v>129512</v>
      </c>
      <c r="D846" s="2" t="str">
        <f t="shared" si="12"/>
        <v>Error?</v>
      </c>
    </row>
    <row r="847" spans="1:4" x14ac:dyDescent="0.2">
      <c r="A847" s="5">
        <v>786</v>
      </c>
      <c r="B847" s="138">
        <f>'Expenditures 15-22'!E47</f>
        <v>538265</v>
      </c>
      <c r="C847" s="2" t="s">
        <v>573</v>
      </c>
      <c r="D847" s="2" t="str">
        <f t="shared" si="12"/>
        <v>Error?</v>
      </c>
    </row>
    <row r="848" spans="1:4" x14ac:dyDescent="0.2">
      <c r="A848" s="5">
        <v>787</v>
      </c>
      <c r="B848" s="138">
        <f>'Expenditures 15-22'!E49</f>
        <v>158416</v>
      </c>
      <c r="D848" s="2" t="str">
        <f t="shared" si="12"/>
        <v>Error?</v>
      </c>
    </row>
    <row r="849" spans="1:4" x14ac:dyDescent="0.2">
      <c r="A849" s="5">
        <v>788</v>
      </c>
      <c r="B849" s="138">
        <f>'Expenditures 15-22'!E50</f>
        <v>14777</v>
      </c>
      <c r="D849" s="2" t="str">
        <f t="shared" si="12"/>
        <v>Error?</v>
      </c>
    </row>
    <row r="850" spans="1:4" x14ac:dyDescent="0.2">
      <c r="A850" s="5">
        <v>789</v>
      </c>
      <c r="B850" s="138">
        <f>'Expenditures 15-22'!E53</f>
        <v>195936</v>
      </c>
      <c r="C850" s="2" t="s">
        <v>573</v>
      </c>
      <c r="D850" s="2" t="str">
        <f t="shared" si="12"/>
        <v>Error?</v>
      </c>
    </row>
    <row r="851" spans="1:4" x14ac:dyDescent="0.2">
      <c r="A851" s="5">
        <v>790</v>
      </c>
      <c r="B851" s="138">
        <f>'Expenditures 15-22'!E55</f>
        <v>24525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24525</v>
      </c>
      <c r="C853" s="2" t="s">
        <v>573</v>
      </c>
      <c r="D853" s="2" t="str">
        <f t="shared" si="12"/>
        <v>Error?</v>
      </c>
    </row>
    <row r="854" spans="1:4" x14ac:dyDescent="0.2">
      <c r="A854" s="5">
        <v>793</v>
      </c>
      <c r="B854" s="138">
        <f>'Expenditures 15-22'!E59</f>
        <v>3836</v>
      </c>
      <c r="D854" s="2" t="str">
        <f t="shared" si="12"/>
        <v>Error?</v>
      </c>
    </row>
    <row r="855" spans="1:4" x14ac:dyDescent="0.2">
      <c r="A855" s="5">
        <v>794</v>
      </c>
      <c r="B855" s="138">
        <f>'Expenditures 15-22'!E60</f>
        <v>39702</v>
      </c>
      <c r="D855" s="2" t="str">
        <f t="shared" si="12"/>
        <v>Error?</v>
      </c>
    </row>
    <row r="856" spans="1:4" x14ac:dyDescent="0.2">
      <c r="A856" s="5">
        <v>795</v>
      </c>
      <c r="B856" s="138">
        <f>'Expenditures 15-22'!E61</f>
        <v>5610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479909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529057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40078</v>
      </c>
      <c r="D864" s="2" t="str">
        <f t="shared" si="12"/>
        <v>Error?</v>
      </c>
    </row>
    <row r="865" spans="1:4" x14ac:dyDescent="0.2">
      <c r="A865" s="5">
        <v>804</v>
      </c>
      <c r="B865" s="138">
        <f>'Expenditures 15-22'!E70</f>
        <v>63094</v>
      </c>
      <c r="D865" s="2" t="str">
        <f t="shared" si="12"/>
        <v>Error?</v>
      </c>
    </row>
    <row r="866" spans="1:4" x14ac:dyDescent="0.2">
      <c r="A866" s="10">
        <v>805</v>
      </c>
      <c r="D866" s="2" t="str">
        <f t="shared" si="12"/>
        <v>OK</v>
      </c>
    </row>
    <row r="867" spans="1:4" x14ac:dyDescent="0.2">
      <c r="A867" s="5">
        <v>806</v>
      </c>
      <c r="B867" s="138">
        <f>'Expenditures 15-22'!E71</f>
        <v>119331</v>
      </c>
      <c r="D867" s="2" t="str">
        <f t="shared" si="12"/>
        <v>Error?</v>
      </c>
    </row>
    <row r="868" spans="1:4" x14ac:dyDescent="0.2">
      <c r="A868" s="10">
        <v>807</v>
      </c>
      <c r="D868" s="2" t="str">
        <f t="shared" si="12"/>
        <v>OK</v>
      </c>
    </row>
    <row r="869" spans="1:4" x14ac:dyDescent="0.2">
      <c r="A869" s="5">
        <v>808</v>
      </c>
      <c r="B869" s="138">
        <f>'Expenditures 15-22'!E72</f>
        <v>222503</v>
      </c>
      <c r="C869" s="2" t="s">
        <v>573</v>
      </c>
      <c r="D869" s="2" t="str">
        <f t="shared" si="12"/>
        <v>Error?</v>
      </c>
    </row>
    <row r="870" spans="1:4" x14ac:dyDescent="0.2">
      <c r="A870" s="5">
        <v>809</v>
      </c>
      <c r="B870" s="138">
        <f>'Expenditures 15-22'!E73</f>
        <v>10354</v>
      </c>
      <c r="D870" s="2" t="str">
        <f t="shared" si="12"/>
        <v>Error?</v>
      </c>
    </row>
    <row r="871" spans="1:4" x14ac:dyDescent="0.2">
      <c r="A871" s="5">
        <v>810</v>
      </c>
      <c r="B871" s="138">
        <f>'Expenditures 15-22'!E74</f>
        <v>1696128</v>
      </c>
      <c r="C871" s="2" t="s">
        <v>573</v>
      </c>
      <c r="D871" s="2" t="str">
        <f t="shared" si="12"/>
        <v>Error?</v>
      </c>
    </row>
    <row r="872" spans="1:4" x14ac:dyDescent="0.2">
      <c r="A872" s="5">
        <v>811</v>
      </c>
      <c r="B872" s="138">
        <f>'Expenditures 15-22'!E75</f>
        <v>3389</v>
      </c>
      <c r="D872" s="2" t="str">
        <f t="shared" si="12"/>
        <v>Error?</v>
      </c>
    </row>
    <row r="873" spans="1:4" x14ac:dyDescent="0.2">
      <c r="A873" s="5">
        <v>812</v>
      </c>
      <c r="B873" s="138">
        <f>'Expenditures 15-22'!E114</f>
        <v>2047796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937661</v>
      </c>
      <c r="D879" s="2" t="str">
        <f t="shared" si="12"/>
        <v>Error?</v>
      </c>
    </row>
    <row r="880" spans="1:4" x14ac:dyDescent="0.2">
      <c r="A880" s="5">
        <v>819</v>
      </c>
      <c r="B880" s="138">
        <f>'Expenditures 15-22'!F16</f>
        <v>726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11775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8270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1124481</v>
      </c>
      <c r="C894" s="2" t="s">
        <v>573</v>
      </c>
      <c r="D894" s="2" t="str">
        <f t="shared" si="12"/>
        <v>Error?</v>
      </c>
    </row>
    <row r="895" spans="1:4" x14ac:dyDescent="0.2">
      <c r="A895" s="5">
        <v>834</v>
      </c>
      <c r="B895" s="138">
        <f>'Expenditures 15-22'!F36</f>
        <v>3345</v>
      </c>
      <c r="D895" s="2" t="str">
        <f t="shared" ref="D895:D958" si="13">IF(ISBLANK(B895),"OK",IF(A895-B895=0,"OK","Error?"))</f>
        <v>Error?</v>
      </c>
    </row>
    <row r="896" spans="1:4" x14ac:dyDescent="0.2">
      <c r="A896" s="5">
        <v>835</v>
      </c>
      <c r="B896" s="138">
        <f>'Expenditures 15-22'!F37</f>
        <v>135</v>
      </c>
      <c r="D896" s="2" t="str">
        <f t="shared" si="13"/>
        <v>Error?</v>
      </c>
    </row>
    <row r="897" spans="1:4" x14ac:dyDescent="0.2">
      <c r="A897" s="5">
        <v>836</v>
      </c>
      <c r="B897" s="138">
        <f>'Expenditures 15-22'!F38</f>
        <v>4773</v>
      </c>
      <c r="D897" s="2" t="str">
        <f t="shared" si="13"/>
        <v>Error?</v>
      </c>
    </row>
    <row r="898" spans="1:4" x14ac:dyDescent="0.2">
      <c r="A898" s="5">
        <v>837</v>
      </c>
      <c r="B898" s="138">
        <f>'Expenditures 15-22'!F39</f>
        <v>6413</v>
      </c>
      <c r="D898" s="2" t="str">
        <f t="shared" si="13"/>
        <v>Error?</v>
      </c>
    </row>
    <row r="899" spans="1:4" x14ac:dyDescent="0.2">
      <c r="A899" s="5">
        <v>838</v>
      </c>
      <c r="B899" s="138">
        <f>'Expenditures 15-22'!F40</f>
        <v>4382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19048</v>
      </c>
      <c r="C901" s="2" t="s">
        <v>573</v>
      </c>
      <c r="D901" s="2" t="str">
        <f t="shared" si="13"/>
        <v>Error?</v>
      </c>
    </row>
    <row r="902" spans="1:4" x14ac:dyDescent="0.2">
      <c r="A902" s="5">
        <v>841</v>
      </c>
      <c r="B902" s="138">
        <f>'Expenditures 15-22'!F44</f>
        <v>25247</v>
      </c>
      <c r="D902" s="2" t="str">
        <f t="shared" si="13"/>
        <v>Error?</v>
      </c>
    </row>
    <row r="903" spans="1:4" x14ac:dyDescent="0.2">
      <c r="A903" s="5">
        <v>842</v>
      </c>
      <c r="B903" s="138">
        <f>'Expenditures 15-22'!F45</f>
        <v>110910</v>
      </c>
      <c r="D903" s="2" t="str">
        <f t="shared" si="13"/>
        <v>Error?</v>
      </c>
    </row>
    <row r="904" spans="1:4" x14ac:dyDescent="0.2">
      <c r="A904" s="5">
        <v>843</v>
      </c>
      <c r="B904" s="138">
        <f>'Expenditures 15-22'!F46</f>
        <v>200</v>
      </c>
      <c r="D904" s="2" t="str">
        <f t="shared" si="13"/>
        <v>Error?</v>
      </c>
    </row>
    <row r="905" spans="1:4" x14ac:dyDescent="0.2">
      <c r="A905" s="5">
        <v>844</v>
      </c>
      <c r="B905" s="138">
        <f>'Expenditures 15-22'!F47</f>
        <v>136357</v>
      </c>
      <c r="C905" s="2" t="s">
        <v>573</v>
      </c>
      <c r="D905" s="2" t="str">
        <f t="shared" si="13"/>
        <v>Error?</v>
      </c>
    </row>
    <row r="906" spans="1:4" x14ac:dyDescent="0.2">
      <c r="A906" s="5">
        <v>845</v>
      </c>
      <c r="B906" s="138">
        <f>'Expenditures 15-22'!F49</f>
        <v>15422</v>
      </c>
      <c r="D906" s="2" t="str">
        <f t="shared" si="13"/>
        <v>Error?</v>
      </c>
    </row>
    <row r="907" spans="1:4" x14ac:dyDescent="0.2">
      <c r="A907" s="5">
        <v>846</v>
      </c>
      <c r="B907" s="138">
        <f>'Expenditures 15-22'!F50</f>
        <v>1912</v>
      </c>
      <c r="D907" s="2" t="str">
        <f t="shared" si="13"/>
        <v>Error?</v>
      </c>
    </row>
    <row r="908" spans="1:4" x14ac:dyDescent="0.2">
      <c r="A908" s="5">
        <v>847</v>
      </c>
      <c r="B908" s="138">
        <f>'Expenditures 15-22'!F53</f>
        <v>21350</v>
      </c>
      <c r="C908" s="2" t="s">
        <v>573</v>
      </c>
      <c r="D908" s="2" t="str">
        <f t="shared" si="13"/>
        <v>Error?</v>
      </c>
    </row>
    <row r="909" spans="1:4" x14ac:dyDescent="0.2">
      <c r="A909" s="5">
        <v>848</v>
      </c>
      <c r="B909" s="138">
        <f>'Expenditures 15-22'!F55</f>
        <v>11517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11517</v>
      </c>
      <c r="C911" s="2" t="s">
        <v>573</v>
      </c>
      <c r="D911" s="2" t="str">
        <f t="shared" si="13"/>
        <v>Error?</v>
      </c>
    </row>
    <row r="912" spans="1:4" x14ac:dyDescent="0.2">
      <c r="A912" s="5">
        <v>851</v>
      </c>
      <c r="B912" s="138">
        <f>'Expenditures 15-22'!F59</f>
        <v>2351</v>
      </c>
      <c r="D912" s="2" t="str">
        <f t="shared" si="13"/>
        <v>Error?</v>
      </c>
    </row>
    <row r="913" spans="1:4" x14ac:dyDescent="0.2">
      <c r="A913" s="5">
        <v>852</v>
      </c>
      <c r="B913" s="138">
        <f>'Expenditures 15-22'!F60</f>
        <v>4374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6777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13502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1833</v>
      </c>
      <c r="D922" s="2" t="str">
        <f t="shared" si="13"/>
        <v>Error?</v>
      </c>
    </row>
    <row r="923" spans="1:4" x14ac:dyDescent="0.2">
      <c r="A923" s="5">
        <v>862</v>
      </c>
      <c r="B923" s="138">
        <f>'Expenditures 15-22'!F70</f>
        <v>4489</v>
      </c>
      <c r="D923" s="2" t="str">
        <f t="shared" si="13"/>
        <v>Error?</v>
      </c>
    </row>
    <row r="924" spans="1:4" x14ac:dyDescent="0.2">
      <c r="A924" s="10">
        <v>863</v>
      </c>
      <c r="D924" s="2" t="str">
        <f t="shared" si="13"/>
        <v>OK</v>
      </c>
    </row>
    <row r="925" spans="1:4" x14ac:dyDescent="0.2">
      <c r="A925" s="5">
        <v>864</v>
      </c>
      <c r="B925" s="138">
        <f>'Expenditures 15-22'!F71</f>
        <v>26399</v>
      </c>
      <c r="D925" s="2" t="str">
        <f t="shared" si="13"/>
        <v>Error?</v>
      </c>
    </row>
    <row r="926" spans="1:4" x14ac:dyDescent="0.2">
      <c r="A926" s="10">
        <v>865</v>
      </c>
      <c r="D926" s="2" t="str">
        <f t="shared" si="13"/>
        <v>OK</v>
      </c>
    </row>
    <row r="927" spans="1:4" x14ac:dyDescent="0.2">
      <c r="A927" s="5">
        <v>866</v>
      </c>
      <c r="B927" s="138">
        <f>'Expenditures 15-22'!F72</f>
        <v>32721</v>
      </c>
      <c r="C927" s="2" t="s">
        <v>573</v>
      </c>
      <c r="D927" s="2" t="str">
        <f t="shared" si="13"/>
        <v>Error?</v>
      </c>
    </row>
    <row r="928" spans="1:4" x14ac:dyDescent="0.2">
      <c r="A928" s="5">
        <v>867</v>
      </c>
      <c r="B928" s="138">
        <f>'Expenditures 15-22'!F73</f>
        <v>92408</v>
      </c>
      <c r="D928" s="2" t="str">
        <f t="shared" si="13"/>
        <v>Error?</v>
      </c>
    </row>
    <row r="929" spans="1:4" x14ac:dyDescent="0.2">
      <c r="A929" s="5">
        <v>868</v>
      </c>
      <c r="B929" s="138">
        <f>'Expenditures 15-22'!F74</f>
        <v>326903</v>
      </c>
      <c r="C929" s="2" t="s">
        <v>573</v>
      </c>
      <c r="D929" s="2" t="str">
        <f t="shared" si="13"/>
        <v>Error?</v>
      </c>
    </row>
    <row r="930" spans="1:4" x14ac:dyDescent="0.2">
      <c r="A930" s="5">
        <v>869</v>
      </c>
      <c r="B930" s="138">
        <f>'Expenditures 15-22'!F75</f>
        <v>4276</v>
      </c>
      <c r="D930" s="2" t="str">
        <f t="shared" si="13"/>
        <v>Error?</v>
      </c>
    </row>
    <row r="931" spans="1:4" x14ac:dyDescent="0.2">
      <c r="A931" s="5">
        <v>870</v>
      </c>
      <c r="B931" s="138">
        <f>'Expenditures 15-22'!F114</f>
        <v>1455660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22290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22290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17838</v>
      </c>
      <c r="D983" s="2" t="str">
        <f t="shared" si="14"/>
        <v>Error?</v>
      </c>
    </row>
    <row r="984" spans="1:4" x14ac:dyDescent="0.2">
      <c r="A984" s="10">
        <v>923</v>
      </c>
      <c r="D984" s="2" t="str">
        <f t="shared" si="14"/>
        <v>OK</v>
      </c>
    </row>
    <row r="985" spans="1:4" x14ac:dyDescent="0.2">
      <c r="A985" s="5">
        <v>924</v>
      </c>
      <c r="B985" s="138">
        <f>'Expenditures 15-22'!G72</f>
        <v>17838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17838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40128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13347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1071316</v>
      </c>
      <c r="C1010" s="2" t="s">
        <v>573</v>
      </c>
      <c r="D1010" s="2" t="str">
        <f t="shared" si="14"/>
        <v>Error?</v>
      </c>
    </row>
    <row r="1011" spans="1:4" x14ac:dyDescent="0.2">
      <c r="A1011" s="5">
        <v>950</v>
      </c>
      <c r="B1011" s="138">
        <f>'Expenditures 15-22'!H36</f>
        <v>150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210</v>
      </c>
      <c r="D1014" s="2" t="str">
        <f t="shared" si="14"/>
        <v>Error?</v>
      </c>
    </row>
    <row r="1015" spans="1:4" x14ac:dyDescent="0.2">
      <c r="A1015" s="5">
        <v>954</v>
      </c>
      <c r="B1015" s="138">
        <f>'Expenditures 15-22'!H40</f>
        <v>2376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2736</v>
      </c>
      <c r="C1017" s="2" t="s">
        <v>573</v>
      </c>
      <c r="D1017" s="2" t="str">
        <f t="shared" si="14"/>
        <v>Error?</v>
      </c>
    </row>
    <row r="1018" spans="1:4" x14ac:dyDescent="0.2">
      <c r="A1018" s="5">
        <v>957</v>
      </c>
      <c r="B1018" s="138">
        <f>'Expenditures 15-22'!H44</f>
        <v>3572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3572</v>
      </c>
      <c r="C1021" s="2" t="s">
        <v>573</v>
      </c>
      <c r="D1021" s="2" t="str">
        <f t="shared" si="14"/>
        <v>Error?</v>
      </c>
    </row>
    <row r="1022" spans="1:4" x14ac:dyDescent="0.2">
      <c r="A1022" s="5">
        <v>961</v>
      </c>
      <c r="B1022" s="138">
        <f>'Expenditures 15-22'!H49</f>
        <v>12871</v>
      </c>
      <c r="D1022" s="2" t="str">
        <f t="shared" si="14"/>
        <v>Error?</v>
      </c>
    </row>
    <row r="1023" spans="1:4" x14ac:dyDescent="0.2">
      <c r="A1023" s="5">
        <v>962</v>
      </c>
      <c r="B1023" s="138">
        <f>'Expenditures 15-22'!H50</f>
        <v>3505</v>
      </c>
      <c r="D1023" s="2" t="str">
        <f t="shared" ref="D1023:D1086" si="15">IF(ISBLANK(B1023),"OK",IF(A1023-B1023=0,"OK","Error?"))</f>
        <v>Error?</v>
      </c>
    </row>
    <row r="1024" spans="1:4" x14ac:dyDescent="0.2">
      <c r="A1024" s="5">
        <v>963</v>
      </c>
      <c r="B1024" s="138">
        <f>'Expenditures 15-22'!H53</f>
        <v>17021</v>
      </c>
      <c r="C1024" s="2" t="s">
        <v>573</v>
      </c>
      <c r="D1024" s="2" t="str">
        <f t="shared" si="15"/>
        <v>Error?</v>
      </c>
    </row>
    <row r="1025" spans="1:4" x14ac:dyDescent="0.2">
      <c r="A1025" s="5">
        <v>964</v>
      </c>
      <c r="B1025" s="138">
        <f>'Expenditures 15-22'!H55</f>
        <v>3803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3803</v>
      </c>
      <c r="C1027" s="2" t="s">
        <v>573</v>
      </c>
      <c r="D1027" s="2" t="str">
        <f t="shared" si="15"/>
        <v>Error?</v>
      </c>
    </row>
    <row r="1028" spans="1:4" x14ac:dyDescent="0.2">
      <c r="A1028" s="5">
        <v>967</v>
      </c>
      <c r="B1028" s="138">
        <f>'Expenditures 15-22'!H59</f>
        <v>645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950</v>
      </c>
      <c r="D1038" s="2" t="str">
        <f t="shared" si="15"/>
        <v>Error?</v>
      </c>
    </row>
    <row r="1039" spans="1:4" x14ac:dyDescent="0.2">
      <c r="A1039" s="5">
        <v>978</v>
      </c>
      <c r="B1039" s="138">
        <f>'Expenditures 15-22'!H70</f>
        <v>324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1274</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29051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1063812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2164179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15735603</v>
      </c>
      <c r="C1093" s="2" t="s">
        <v>573</v>
      </c>
      <c r="D1093" s="2" t="str">
        <f t="shared" si="16"/>
        <v>Error?</v>
      </c>
    </row>
    <row r="1094" spans="1:4" x14ac:dyDescent="0.2">
      <c r="A1094" s="5">
        <v>1033</v>
      </c>
      <c r="B1094" s="138">
        <f>'Expenditures 15-22'!K16</f>
        <v>815595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1681795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164307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24163645</v>
      </c>
      <c r="C1108" s="2" t="s">
        <v>573</v>
      </c>
      <c r="D1108" s="2" t="str">
        <f t="shared" si="16"/>
        <v>Error?</v>
      </c>
    </row>
    <row r="1109" spans="1:4" x14ac:dyDescent="0.2">
      <c r="A1109" s="5">
        <v>1048</v>
      </c>
      <c r="B1109" s="138">
        <f>'Expenditures 15-22'!K36</f>
        <v>830045</v>
      </c>
      <c r="C1109" s="2" t="s">
        <v>573</v>
      </c>
      <c r="D1109" s="2" t="str">
        <f t="shared" si="16"/>
        <v>Error?</v>
      </c>
    </row>
    <row r="1110" spans="1:4" x14ac:dyDescent="0.2">
      <c r="A1110" s="5">
        <v>1049</v>
      </c>
      <c r="B1110" s="138">
        <f>'Expenditures 15-22'!K37</f>
        <v>77010</v>
      </c>
      <c r="C1110" s="2" t="s">
        <v>573</v>
      </c>
      <c r="D1110" s="2" t="str">
        <f t="shared" si="16"/>
        <v>Error?</v>
      </c>
    </row>
    <row r="1111" spans="1:4" x14ac:dyDescent="0.2">
      <c r="A1111" s="5">
        <v>1050</v>
      </c>
      <c r="B1111" s="138">
        <f>'Expenditures 15-22'!K38</f>
        <v>703675</v>
      </c>
      <c r="C1111" s="2" t="s">
        <v>573</v>
      </c>
      <c r="D1111" s="2" t="str">
        <f t="shared" si="16"/>
        <v>Error?</v>
      </c>
    </row>
    <row r="1112" spans="1:4" x14ac:dyDescent="0.2">
      <c r="A1112" s="5">
        <v>1051</v>
      </c>
      <c r="B1112" s="138">
        <f>'Expenditures 15-22'!K39</f>
        <v>489288</v>
      </c>
      <c r="C1112" s="2" t="s">
        <v>573</v>
      </c>
      <c r="D1112" s="2" t="str">
        <f t="shared" si="16"/>
        <v>Error?</v>
      </c>
    </row>
    <row r="1113" spans="1:4" x14ac:dyDescent="0.2">
      <c r="A1113" s="5">
        <v>1052</v>
      </c>
      <c r="B1113" s="138">
        <f>'Expenditures 15-22'!K40</f>
        <v>966488</v>
      </c>
      <c r="C1113" s="2" t="s">
        <v>573</v>
      </c>
      <c r="D1113" s="2" t="str">
        <f t="shared" si="16"/>
        <v>Error?</v>
      </c>
    </row>
    <row r="1114" spans="1:4" x14ac:dyDescent="0.2">
      <c r="A1114" s="5">
        <v>1053</v>
      </c>
      <c r="B1114" s="138">
        <f>'Expenditures 15-22'!K41</f>
        <v>19467</v>
      </c>
      <c r="C1114" s="2" t="s">
        <v>573</v>
      </c>
      <c r="D1114" s="2" t="str">
        <f t="shared" si="16"/>
        <v>Error?</v>
      </c>
    </row>
    <row r="1115" spans="1:4" x14ac:dyDescent="0.2">
      <c r="A1115" s="5">
        <v>1054</v>
      </c>
      <c r="B1115" s="138">
        <f>'Expenditures 15-22'!K42</f>
        <v>3085973</v>
      </c>
      <c r="C1115" s="2" t="s">
        <v>573</v>
      </c>
      <c r="D1115" s="2" t="str">
        <f t="shared" si="16"/>
        <v>Error?</v>
      </c>
    </row>
    <row r="1116" spans="1:4" x14ac:dyDescent="0.2">
      <c r="A1116" s="5">
        <v>1055</v>
      </c>
      <c r="B1116" s="138">
        <f>'Expenditures 15-22'!K44</f>
        <v>958392</v>
      </c>
      <c r="C1116" s="2" t="s">
        <v>573</v>
      </c>
      <c r="D1116" s="2" t="str">
        <f t="shared" si="16"/>
        <v>Error?</v>
      </c>
    </row>
    <row r="1117" spans="1:4" x14ac:dyDescent="0.2">
      <c r="A1117" s="5">
        <v>1056</v>
      </c>
      <c r="B1117" s="138">
        <f>'Expenditures 15-22'!K45</f>
        <v>1049970</v>
      </c>
      <c r="C1117" s="2" t="s">
        <v>573</v>
      </c>
      <c r="D1117" s="2" t="str">
        <f t="shared" si="16"/>
        <v>Error?</v>
      </c>
    </row>
    <row r="1118" spans="1:4" x14ac:dyDescent="0.2">
      <c r="A1118" s="5">
        <v>1057</v>
      </c>
      <c r="B1118" s="138">
        <f>'Expenditures 15-22'!K46</f>
        <v>135358</v>
      </c>
      <c r="C1118" s="2" t="s">
        <v>573</v>
      </c>
      <c r="D1118" s="2" t="str">
        <f t="shared" si="16"/>
        <v>Error?</v>
      </c>
    </row>
    <row r="1119" spans="1:4" x14ac:dyDescent="0.2">
      <c r="A1119" s="5">
        <v>1058</v>
      </c>
      <c r="B1119" s="138">
        <f>'Expenditures 15-22'!K47</f>
        <v>2143720</v>
      </c>
      <c r="C1119" s="2" t="s">
        <v>573</v>
      </c>
      <c r="D1119" s="2" t="str">
        <f t="shared" si="16"/>
        <v>Error?</v>
      </c>
    </row>
    <row r="1120" spans="1:4" x14ac:dyDescent="0.2">
      <c r="A1120" s="5">
        <v>1059</v>
      </c>
      <c r="B1120" s="138">
        <f>'Expenditures 15-22'!K49</f>
        <v>204570</v>
      </c>
      <c r="C1120" s="2" t="s">
        <v>573</v>
      </c>
      <c r="D1120" s="2" t="str">
        <f t="shared" si="16"/>
        <v>Error?</v>
      </c>
    </row>
    <row r="1121" spans="1:4" x14ac:dyDescent="0.2">
      <c r="A1121" s="5">
        <v>1060</v>
      </c>
      <c r="B1121" s="138">
        <f>'Expenditures 15-22'!K50</f>
        <v>356640</v>
      </c>
      <c r="C1121" s="2" t="s">
        <v>573</v>
      </c>
      <c r="D1121" s="2" t="str">
        <f t="shared" si="16"/>
        <v>Error?</v>
      </c>
    </row>
    <row r="1122" spans="1:4" x14ac:dyDescent="0.2">
      <c r="A1122" s="5">
        <v>1061</v>
      </c>
      <c r="B1122" s="138">
        <f>'Expenditures 15-22'!K53</f>
        <v>850153</v>
      </c>
      <c r="C1122" s="2" t="s">
        <v>573</v>
      </c>
      <c r="D1122" s="2" t="str">
        <f t="shared" si="16"/>
        <v>Error?</v>
      </c>
    </row>
    <row r="1123" spans="1:4" x14ac:dyDescent="0.2">
      <c r="A1123" s="5">
        <v>1062</v>
      </c>
      <c r="B1123" s="138">
        <f>'Expenditures 15-22'!K55</f>
        <v>1860930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1860930</v>
      </c>
      <c r="C1125" s="2" t="s">
        <v>573</v>
      </c>
      <c r="D1125" s="2" t="str">
        <f t="shared" si="16"/>
        <v>Error?</v>
      </c>
    </row>
    <row r="1126" spans="1:4" x14ac:dyDescent="0.2">
      <c r="A1126" s="5">
        <v>1065</v>
      </c>
      <c r="B1126" s="138">
        <f>'Expenditures 15-22'!K59</f>
        <v>167193</v>
      </c>
      <c r="C1126" s="2" t="s">
        <v>573</v>
      </c>
      <c r="D1126" s="2" t="str">
        <f t="shared" si="16"/>
        <v>Error?</v>
      </c>
    </row>
    <row r="1127" spans="1:4" x14ac:dyDescent="0.2">
      <c r="A1127" s="5">
        <v>1066</v>
      </c>
      <c r="B1127" s="138">
        <f>'Expenditures 15-22'!K60</f>
        <v>267324</v>
      </c>
      <c r="C1127" s="2" t="s">
        <v>573</v>
      </c>
      <c r="D1127" s="2" t="str">
        <f t="shared" si="16"/>
        <v>Error?</v>
      </c>
    </row>
    <row r="1128" spans="1:4" x14ac:dyDescent="0.2">
      <c r="A1128" s="5">
        <v>1067</v>
      </c>
      <c r="B1128" s="138">
        <f>'Expenditures 15-22'!K61</f>
        <v>5610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668309</v>
      </c>
      <c r="C1130" s="2" t="s">
        <v>573</v>
      </c>
      <c r="D1130" s="2" t="str">
        <f t="shared" si="16"/>
        <v>Error?</v>
      </c>
    </row>
    <row r="1131" spans="1:4" x14ac:dyDescent="0.2">
      <c r="A1131" s="5">
        <v>1070</v>
      </c>
      <c r="B1131" s="138">
        <f>'Expenditures 15-22'!K64</f>
        <v>4458</v>
      </c>
      <c r="C1131" s="2" t="s">
        <v>573</v>
      </c>
      <c r="D1131" s="2" t="str">
        <f t="shared" si="16"/>
        <v>Error?</v>
      </c>
    </row>
    <row r="1132" spans="1:4" x14ac:dyDescent="0.2">
      <c r="A1132" s="10">
        <v>1071</v>
      </c>
      <c r="D1132" s="2" t="str">
        <f t="shared" si="16"/>
        <v>OK</v>
      </c>
    </row>
    <row r="1133" spans="1:4" x14ac:dyDescent="0.2">
      <c r="A1133" s="5">
        <v>1072</v>
      </c>
      <c r="B1133" s="138">
        <f>'Expenditures 15-22'!K65</f>
        <v>1112894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128991</v>
      </c>
      <c r="C1136" s="2" t="s">
        <v>573</v>
      </c>
      <c r="D1136" s="2" t="str">
        <f t="shared" si="16"/>
        <v>Error?</v>
      </c>
    </row>
    <row r="1137" spans="1:4" x14ac:dyDescent="0.2">
      <c r="A1137" s="5">
        <v>1076</v>
      </c>
      <c r="B1137" s="138">
        <f>'Expenditures 15-22'!K70</f>
        <v>420987</v>
      </c>
      <c r="C1137" s="2" t="s">
        <v>573</v>
      </c>
      <c r="D1137" s="2" t="str">
        <f t="shared" si="16"/>
        <v>Error?</v>
      </c>
    </row>
    <row r="1138" spans="1:4" x14ac:dyDescent="0.2">
      <c r="A1138" s="10">
        <v>1077</v>
      </c>
      <c r="D1138" s="2" t="str">
        <f t="shared" si="16"/>
        <v>OK</v>
      </c>
    </row>
    <row r="1139" spans="1:4" x14ac:dyDescent="0.2">
      <c r="A1139" s="5">
        <v>1078</v>
      </c>
      <c r="B1139" s="138">
        <f>'Expenditures 15-22'!K71</f>
        <v>594509</v>
      </c>
      <c r="C1139" s="2" t="s">
        <v>573</v>
      </c>
      <c r="D1139" s="2" t="str">
        <f t="shared" si="16"/>
        <v>Error?</v>
      </c>
    </row>
    <row r="1140" spans="1:4" x14ac:dyDescent="0.2">
      <c r="A1140" s="10">
        <v>1079</v>
      </c>
      <c r="D1140" s="2" t="str">
        <f t="shared" si="16"/>
        <v>OK</v>
      </c>
    </row>
    <row r="1141" spans="1:4" x14ac:dyDescent="0.2">
      <c r="A1141" s="5">
        <v>1080</v>
      </c>
      <c r="B1141" s="138">
        <f>'Expenditures 15-22'!K72</f>
        <v>1144487</v>
      </c>
      <c r="C1141" s="2" t="s">
        <v>573</v>
      </c>
      <c r="D1141" s="2" t="str">
        <f t="shared" si="16"/>
        <v>Error?</v>
      </c>
    </row>
    <row r="1142" spans="1:4" x14ac:dyDescent="0.2">
      <c r="A1142" s="5">
        <v>1081</v>
      </c>
      <c r="B1142" s="138">
        <f>'Expenditures 15-22'!K73</f>
        <v>151051</v>
      </c>
      <c r="C1142" s="2" t="s">
        <v>573</v>
      </c>
      <c r="D1142" s="2" t="str">
        <f t="shared" si="16"/>
        <v>Error?</v>
      </c>
    </row>
    <row r="1143" spans="1:4" x14ac:dyDescent="0.2">
      <c r="A1143" s="5">
        <v>1082</v>
      </c>
      <c r="B1143" s="138">
        <f>'Expenditures 15-22'!K74</f>
        <v>10349208</v>
      </c>
      <c r="C1143" s="2" t="s">
        <v>573</v>
      </c>
      <c r="D1143" s="2" t="str">
        <f t="shared" si="16"/>
        <v>Error?</v>
      </c>
    </row>
    <row r="1144" spans="1:4" x14ac:dyDescent="0.2">
      <c r="A1144" s="5">
        <v>1083</v>
      </c>
      <c r="B1144" s="138">
        <f>'Expenditures 15-22'!K75</f>
        <v>83214</v>
      </c>
      <c r="C1144" s="2" t="s">
        <v>573</v>
      </c>
      <c r="D1144" s="2" t="str">
        <f t="shared" si="16"/>
        <v>Error?</v>
      </c>
    </row>
    <row r="1145" spans="1:4" x14ac:dyDescent="0.2">
      <c r="A1145" s="5">
        <v>1084</v>
      </c>
      <c r="B1145" s="138">
        <f>'Expenditures 15-22'!K102</f>
        <v>1063812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35659879</v>
      </c>
      <c r="C1152" s="2" t="s">
        <v>573</v>
      </c>
      <c r="D1152" s="2" t="str">
        <f t="shared" si="17"/>
        <v>Error?</v>
      </c>
    </row>
    <row r="1153" spans="1:4" x14ac:dyDescent="0.2">
      <c r="A1153" s="5">
        <v>1092</v>
      </c>
      <c r="B1153" s="138">
        <f>'Expenditures 15-22'!K115</f>
        <v>3377106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46897</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1166571</v>
      </c>
      <c r="D1221" s="2" t="str">
        <f t="shared" si="18"/>
        <v>Error?</v>
      </c>
    </row>
    <row r="1222" spans="1:4" x14ac:dyDescent="0.2">
      <c r="A1222" s="10">
        <v>1161</v>
      </c>
      <c r="D1222" s="2" t="str">
        <f t="shared" si="18"/>
        <v>OK</v>
      </c>
    </row>
    <row r="1223" spans="1:4" x14ac:dyDescent="0.2">
      <c r="A1223" s="5">
        <v>1162</v>
      </c>
      <c r="B1223" s="138">
        <f>'Expenditures 15-22'!C127</f>
        <v>1213468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1213468</v>
      </c>
      <c r="C1225" s="2" t="s">
        <v>573</v>
      </c>
      <c r="D1225" s="2" t="str">
        <f t="shared" si="18"/>
        <v>Error?</v>
      </c>
    </row>
    <row r="1226" spans="1:4" x14ac:dyDescent="0.2">
      <c r="A1226" s="5">
        <v>1165</v>
      </c>
      <c r="B1226" s="138">
        <f>'Expenditures 15-22'!C151</f>
        <v>1213630</v>
      </c>
      <c r="C1226" s="2" t="s">
        <v>573</v>
      </c>
      <c r="D1226" s="2" t="str">
        <f t="shared" si="18"/>
        <v>Error?</v>
      </c>
    </row>
    <row r="1227" spans="1:4" x14ac:dyDescent="0.2">
      <c r="A1227" s="5">
        <v>1166</v>
      </c>
      <c r="B1227" s="138">
        <f>'Expenditures 15-22'!D122</f>
        <v>9640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209709</v>
      </c>
      <c r="D1229" s="2" t="str">
        <f t="shared" si="18"/>
        <v>Error?</v>
      </c>
    </row>
    <row r="1230" spans="1:4" x14ac:dyDescent="0.2">
      <c r="A1230" s="10">
        <v>1169</v>
      </c>
      <c r="D1230" s="2" t="str">
        <f t="shared" si="18"/>
        <v>OK</v>
      </c>
    </row>
    <row r="1231" spans="1:4" x14ac:dyDescent="0.2">
      <c r="A1231" s="5">
        <v>1170</v>
      </c>
      <c r="B1231" s="138">
        <f>'Expenditures 15-22'!D127</f>
        <v>219349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219349</v>
      </c>
      <c r="C1233" s="2" t="s">
        <v>573</v>
      </c>
      <c r="D1233" s="2" t="str">
        <f t="shared" si="18"/>
        <v>Error?</v>
      </c>
    </row>
    <row r="1234" spans="1:4" x14ac:dyDescent="0.2">
      <c r="A1234" s="5">
        <v>1173</v>
      </c>
      <c r="B1234" s="138">
        <f>'Expenditures 15-22'!D151</f>
        <v>219349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550377</v>
      </c>
      <c r="D1237" s="2" t="str">
        <f t="shared" si="18"/>
        <v>Error?</v>
      </c>
    </row>
    <row r="1238" spans="1:4" x14ac:dyDescent="0.2">
      <c r="A1238" s="10">
        <v>1177</v>
      </c>
      <c r="D1238" s="2" t="str">
        <f t="shared" si="18"/>
        <v>OK</v>
      </c>
    </row>
    <row r="1239" spans="1:4" x14ac:dyDescent="0.2">
      <c r="A1239" s="5">
        <v>1178</v>
      </c>
      <c r="B1239" s="138">
        <f>'Expenditures 15-22'!E127</f>
        <v>550377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550377</v>
      </c>
      <c r="C1241" s="2" t="s">
        <v>573</v>
      </c>
      <c r="D1241" s="2" t="str">
        <f t="shared" si="18"/>
        <v>Error?</v>
      </c>
    </row>
    <row r="1242" spans="1:4" x14ac:dyDescent="0.2">
      <c r="A1242" s="5">
        <v>1181</v>
      </c>
      <c r="B1242" s="138">
        <f>'Expenditures 15-22'!E151</f>
        <v>550377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667688</v>
      </c>
      <c r="D1245" s="2" t="str">
        <f t="shared" si="18"/>
        <v>Error?</v>
      </c>
    </row>
    <row r="1246" spans="1:4" x14ac:dyDescent="0.2">
      <c r="A1246" s="10">
        <v>1185</v>
      </c>
      <c r="D1246" s="2" t="str">
        <f t="shared" si="18"/>
        <v>OK</v>
      </c>
    </row>
    <row r="1247" spans="1:4" x14ac:dyDescent="0.2">
      <c r="A1247" s="5">
        <v>1186</v>
      </c>
      <c r="B1247" s="138">
        <f>'Expenditures 15-22'!F127</f>
        <v>667688</v>
      </c>
      <c r="C1247" s="2" t="s">
        <v>573</v>
      </c>
      <c r="D1247" s="2" t="str">
        <f t="shared" si="18"/>
        <v>Error?</v>
      </c>
    </row>
    <row r="1248" spans="1:4" x14ac:dyDescent="0.2">
      <c r="A1248" s="5">
        <v>1187</v>
      </c>
      <c r="B1248" s="138">
        <f>'Expenditures 15-22'!F128</f>
        <v>2265</v>
      </c>
      <c r="D1248" s="2" t="str">
        <f t="shared" si="18"/>
        <v>Error?</v>
      </c>
    </row>
    <row r="1249" spans="1:4" x14ac:dyDescent="0.2">
      <c r="A1249" s="5">
        <v>1188</v>
      </c>
      <c r="B1249" s="138">
        <f>'Expenditures 15-22'!F129</f>
        <v>669953</v>
      </c>
      <c r="C1249" s="2" t="s">
        <v>573</v>
      </c>
      <c r="D1249" s="2" t="str">
        <f t="shared" si="18"/>
        <v>Error?</v>
      </c>
    </row>
    <row r="1250" spans="1:4" x14ac:dyDescent="0.2">
      <c r="A1250" s="5">
        <v>1189</v>
      </c>
      <c r="B1250" s="138">
        <f>'Expenditures 15-22'!F151</f>
        <v>669953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168806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168806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168806</v>
      </c>
      <c r="C1258" s="2" t="s">
        <v>573</v>
      </c>
      <c r="D1258" s="2" t="str">
        <f t="shared" si="18"/>
        <v>Error?</v>
      </c>
    </row>
    <row r="1259" spans="1:4" x14ac:dyDescent="0.2">
      <c r="A1259" s="5">
        <v>1198</v>
      </c>
      <c r="B1259" s="138">
        <f>'Expenditures 15-22'!G151</f>
        <v>168806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75</v>
      </c>
      <c r="C1273" s="2" t="s">
        <v>573</v>
      </c>
      <c r="D1273" s="2" t="str">
        <f t="shared" si="18"/>
        <v>Error?</v>
      </c>
    </row>
    <row r="1274" spans="1:4" x14ac:dyDescent="0.2">
      <c r="A1274" s="5">
        <v>1213</v>
      </c>
      <c r="B1274" s="138">
        <f>'Expenditures 15-22'!K122</f>
        <v>56537</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2839083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2895620</v>
      </c>
      <c r="C1279" s="2" t="s">
        <v>573</v>
      </c>
      <c r="D1279" s="2" t="str">
        <f t="shared" ref="D1279:D1342" si="19">IF(ISBLANK(B1279),"OK",IF(A1279-B1279=0,"OK","Error?"))</f>
        <v>Error?</v>
      </c>
    </row>
    <row r="1280" spans="1:4" x14ac:dyDescent="0.2">
      <c r="A1280" s="5">
        <v>1219</v>
      </c>
      <c r="B1280" s="138">
        <f>'Expenditures 15-22'!K128</f>
        <v>2265</v>
      </c>
      <c r="C1280" s="2" t="s">
        <v>573</v>
      </c>
      <c r="D1280" s="2" t="str">
        <f t="shared" si="19"/>
        <v>Error?</v>
      </c>
    </row>
    <row r="1281" spans="1:4" x14ac:dyDescent="0.2">
      <c r="A1281" s="5">
        <v>1220</v>
      </c>
      <c r="B1281" s="138">
        <f>'Expenditures 15-22'!K129</f>
        <v>2897885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2898047</v>
      </c>
      <c r="C1288" s="2" t="s">
        <v>573</v>
      </c>
      <c r="D1288" s="2" t="str">
        <f t="shared" si="19"/>
        <v>Error?</v>
      </c>
    </row>
    <row r="1289" spans="1:4" x14ac:dyDescent="0.2">
      <c r="A1289" s="5">
        <v>1228</v>
      </c>
      <c r="B1289" s="138">
        <f>'Expenditures 15-22'!K152</f>
        <v>265707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86544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86544</v>
      </c>
      <c r="C1317" s="2" t="s">
        <v>573</v>
      </c>
      <c r="D1317" s="2" t="str">
        <f t="shared" si="19"/>
        <v>Error?</v>
      </c>
    </row>
    <row r="1318" spans="1:4" x14ac:dyDescent="0.2">
      <c r="A1318" s="5">
        <v>1257</v>
      </c>
      <c r="B1318" s="138">
        <f>'Expenditures 15-22'!H174</f>
        <v>86544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86544</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86544</v>
      </c>
      <c r="C1331" s="2" t="s">
        <v>573</v>
      </c>
      <c r="D1331" s="2" t="str">
        <f t="shared" si="19"/>
        <v>Error?</v>
      </c>
    </row>
    <row r="1332" spans="1:4" x14ac:dyDescent="0.2">
      <c r="A1332" s="5">
        <v>1271</v>
      </c>
      <c r="B1332" s="138">
        <f>'Expenditures 15-22'!K174</f>
        <v>86544</v>
      </c>
      <c r="C1332" s="2" t="s">
        <v>573</v>
      </c>
      <c r="D1332" s="2" t="str">
        <f t="shared" si="19"/>
        <v>Error?</v>
      </c>
    </row>
    <row r="1333" spans="1:4" x14ac:dyDescent="0.2">
      <c r="A1333" s="5">
        <v>1272</v>
      </c>
      <c r="B1333" s="138">
        <f>'Expenditures 15-22'!K175</f>
        <v>-86230</v>
      </c>
      <c r="C1333" s="2" t="s">
        <v>573</v>
      </c>
      <c r="D1333" s="2" t="str">
        <f t="shared" si="19"/>
        <v>Error?</v>
      </c>
    </row>
    <row r="1334" spans="1:4" x14ac:dyDescent="0.2">
      <c r="A1334" s="10">
        <v>1273</v>
      </c>
      <c r="D1334" s="2" t="str">
        <f t="shared" si="19"/>
        <v>OK</v>
      </c>
    </row>
    <row r="1335" spans="1:4" x14ac:dyDescent="0.2">
      <c r="A1335" s="5">
        <v>1274</v>
      </c>
      <c r="B1335" s="138">
        <f>'Expenditures 15-22'!C182</f>
        <v>12568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12568</v>
      </c>
      <c r="C1339" s="2" t="s">
        <v>573</v>
      </c>
      <c r="D1339" s="2" t="str">
        <f t="shared" si="19"/>
        <v>Error?</v>
      </c>
    </row>
    <row r="1340" spans="1:4" x14ac:dyDescent="0.2">
      <c r="A1340" s="5">
        <v>1279</v>
      </c>
      <c r="B1340" s="138">
        <f>'Expenditures 15-22'!C210</f>
        <v>12568</v>
      </c>
      <c r="C1340" s="2" t="s">
        <v>573</v>
      </c>
      <c r="D1340" s="2" t="str">
        <f t="shared" si="19"/>
        <v>Error?</v>
      </c>
    </row>
    <row r="1341" spans="1:4" x14ac:dyDescent="0.2">
      <c r="A1341" s="5">
        <v>1280</v>
      </c>
      <c r="B1341" s="138">
        <f>'Expenditures 15-22'!D182</f>
        <v>1938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1938</v>
      </c>
      <c r="C1345" s="2" t="s">
        <v>573</v>
      </c>
      <c r="D1345" s="2" t="str">
        <f t="shared" si="20"/>
        <v>Error?</v>
      </c>
    </row>
    <row r="1346" spans="1:4" x14ac:dyDescent="0.2">
      <c r="A1346" s="5">
        <v>1285</v>
      </c>
      <c r="B1346" s="138">
        <f>'Expenditures 15-22'!D210</f>
        <v>1938</v>
      </c>
      <c r="C1346" s="2" t="s">
        <v>573</v>
      </c>
      <c r="D1346" s="2" t="str">
        <f t="shared" si="20"/>
        <v>Error?</v>
      </c>
    </row>
    <row r="1347" spans="1:4" x14ac:dyDescent="0.2">
      <c r="A1347" s="5">
        <v>1286</v>
      </c>
      <c r="B1347" s="138">
        <f>'Expenditures 15-22'!E182</f>
        <v>2474829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2474829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2474829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2489335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2489335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2489335</v>
      </c>
      <c r="C1388" s="2" t="s">
        <v>573</v>
      </c>
      <c r="D1388" s="2" t="str">
        <f t="shared" si="20"/>
        <v>Error?</v>
      </c>
    </row>
    <row r="1389" spans="1:4" x14ac:dyDescent="0.2">
      <c r="A1389" s="5">
        <v>1328</v>
      </c>
      <c r="B1389" s="138">
        <f>'Expenditures 15-22'!K211</f>
        <v>-389174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13429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20472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5483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607371</v>
      </c>
      <c r="C1410" s="2" t="s">
        <v>573</v>
      </c>
      <c r="D1410" s="2" t="str">
        <f t="shared" si="21"/>
        <v>Error?</v>
      </c>
    </row>
    <row r="1411" spans="1:4" x14ac:dyDescent="0.2">
      <c r="A1411" s="5">
        <v>1350</v>
      </c>
      <c r="B1411" s="138">
        <f>'Expenditures 15-22'!D232</f>
        <v>9605</v>
      </c>
      <c r="D1411" s="2" t="str">
        <f t="shared" si="21"/>
        <v>Error?</v>
      </c>
    </row>
    <row r="1412" spans="1:4" x14ac:dyDescent="0.2">
      <c r="A1412" s="5">
        <v>1351</v>
      </c>
      <c r="B1412" s="138">
        <f>'Expenditures 15-22'!D233</f>
        <v>1098</v>
      </c>
      <c r="D1412" s="2" t="str">
        <f t="shared" si="21"/>
        <v>Error?</v>
      </c>
    </row>
    <row r="1413" spans="1:4" x14ac:dyDescent="0.2">
      <c r="A1413" s="5">
        <v>1352</v>
      </c>
      <c r="B1413" s="138">
        <f>'Expenditures 15-22'!D234</f>
        <v>134196</v>
      </c>
      <c r="D1413" s="2" t="str">
        <f t="shared" si="21"/>
        <v>Error?</v>
      </c>
    </row>
    <row r="1414" spans="1:4" x14ac:dyDescent="0.2">
      <c r="A1414" s="5">
        <v>1353</v>
      </c>
      <c r="B1414" s="138">
        <f>'Expenditures 15-22'!D235</f>
        <v>6114</v>
      </c>
      <c r="D1414" s="2" t="str">
        <f t="shared" si="21"/>
        <v>Error?</v>
      </c>
    </row>
    <row r="1415" spans="1:4" x14ac:dyDescent="0.2">
      <c r="A1415" s="5">
        <v>1354</v>
      </c>
      <c r="B1415" s="138">
        <f>'Expenditures 15-22'!D236</f>
        <v>11161</v>
      </c>
      <c r="D1415" s="2" t="str">
        <f t="shared" si="21"/>
        <v>Error?</v>
      </c>
    </row>
    <row r="1416" spans="1:4" x14ac:dyDescent="0.2">
      <c r="A1416" s="5">
        <v>1355</v>
      </c>
      <c r="B1416" s="138">
        <f>'Expenditures 15-22'!D237</f>
        <v>781</v>
      </c>
      <c r="D1416" s="2" t="str">
        <f t="shared" si="21"/>
        <v>Error?</v>
      </c>
    </row>
    <row r="1417" spans="1:4" x14ac:dyDescent="0.2">
      <c r="A1417" s="5">
        <v>1356</v>
      </c>
      <c r="B1417" s="138">
        <f>'Expenditures 15-22'!D238</f>
        <v>162955</v>
      </c>
      <c r="C1417" s="2" t="s">
        <v>573</v>
      </c>
      <c r="D1417" s="2" t="str">
        <f t="shared" si="21"/>
        <v>Error?</v>
      </c>
    </row>
    <row r="1418" spans="1:4" x14ac:dyDescent="0.2">
      <c r="A1418" s="5">
        <v>1357</v>
      </c>
      <c r="B1418" s="138">
        <f>'Expenditures 15-22'!D240</f>
        <v>31484</v>
      </c>
      <c r="D1418" s="2" t="str">
        <f t="shared" si="21"/>
        <v>Error?</v>
      </c>
    </row>
    <row r="1419" spans="1:4" x14ac:dyDescent="0.2">
      <c r="A1419" s="5">
        <v>1358</v>
      </c>
      <c r="B1419" s="138">
        <f>'Expenditures 15-22'!D241</f>
        <v>46791</v>
      </c>
      <c r="D1419" s="2" t="str">
        <f t="shared" si="21"/>
        <v>Error?</v>
      </c>
    </row>
    <row r="1420" spans="1:4" x14ac:dyDescent="0.2">
      <c r="A1420" s="5">
        <v>1359</v>
      </c>
      <c r="B1420" s="138">
        <f>'Expenditures 15-22'!D242</f>
        <v>141</v>
      </c>
      <c r="D1420" s="2" t="str">
        <f t="shared" si="21"/>
        <v>Error?</v>
      </c>
    </row>
    <row r="1421" spans="1:4" x14ac:dyDescent="0.2">
      <c r="A1421" s="5">
        <v>1360</v>
      </c>
      <c r="B1421" s="138">
        <f>'Expenditures 15-22'!D243</f>
        <v>78416</v>
      </c>
      <c r="C1421" s="2" t="s">
        <v>573</v>
      </c>
      <c r="D1421" s="2" t="str">
        <f t="shared" si="21"/>
        <v>Error?</v>
      </c>
    </row>
    <row r="1422" spans="1:4" x14ac:dyDescent="0.2">
      <c r="A1422" s="5">
        <v>1361</v>
      </c>
      <c r="B1422" s="138">
        <f>'Expenditures 15-22'!D245</f>
        <v>1403</v>
      </c>
      <c r="D1422" s="2" t="str">
        <f t="shared" si="21"/>
        <v>Error?</v>
      </c>
    </row>
    <row r="1423" spans="1:4" x14ac:dyDescent="0.2">
      <c r="A1423" s="5">
        <v>1362</v>
      </c>
      <c r="B1423" s="138">
        <f>'Expenditures 15-22'!D246</f>
        <v>24922</v>
      </c>
      <c r="D1423" s="2" t="str">
        <f t="shared" si="21"/>
        <v>Error?</v>
      </c>
    </row>
    <row r="1424" spans="1:4" x14ac:dyDescent="0.2">
      <c r="A1424" s="5">
        <v>1363</v>
      </c>
      <c r="B1424" s="138">
        <f>'Expenditures 15-22'!D257</f>
        <v>44910</v>
      </c>
      <c r="C1424" s="2" t="s">
        <v>573</v>
      </c>
      <c r="D1424" s="2" t="str">
        <f t="shared" si="21"/>
        <v>Error?</v>
      </c>
    </row>
    <row r="1425" spans="1:4" x14ac:dyDescent="0.2">
      <c r="A1425" s="5">
        <v>1364</v>
      </c>
      <c r="B1425" s="138">
        <f>'Expenditures 15-22'!D259</f>
        <v>107266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107266</v>
      </c>
      <c r="C1427" s="2" t="s">
        <v>573</v>
      </c>
      <c r="D1427" s="2" t="str">
        <f t="shared" si="21"/>
        <v>Error?</v>
      </c>
    </row>
    <row r="1428" spans="1:4" x14ac:dyDescent="0.2">
      <c r="A1428" s="5">
        <v>1367</v>
      </c>
      <c r="B1428" s="138">
        <f>'Expenditures 15-22'!D263</f>
        <v>5023</v>
      </c>
      <c r="D1428" s="2" t="str">
        <f t="shared" si="21"/>
        <v>Error?</v>
      </c>
    </row>
    <row r="1429" spans="1:4" x14ac:dyDescent="0.2">
      <c r="A1429" s="5">
        <v>1368</v>
      </c>
      <c r="B1429" s="138">
        <f>'Expenditures 15-22'!D264</f>
        <v>49820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320514</v>
      </c>
      <c r="D1431" s="2" t="str">
        <f t="shared" si="21"/>
        <v>Error?</v>
      </c>
    </row>
    <row r="1432" spans="1:4" x14ac:dyDescent="0.2">
      <c r="A1432" s="5">
        <v>1371</v>
      </c>
      <c r="B1432" s="138">
        <f>'Expenditures 15-22'!D267</f>
        <v>356</v>
      </c>
      <c r="D1432" s="2" t="str">
        <f t="shared" si="21"/>
        <v>Error?</v>
      </c>
    </row>
    <row r="1433" spans="1:4" x14ac:dyDescent="0.2">
      <c r="A1433" s="5">
        <v>1372</v>
      </c>
      <c r="B1433" s="138">
        <f>'Expenditures 15-22'!D268</f>
        <v>21678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397391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20776</v>
      </c>
      <c r="D1439" s="2" t="str">
        <f t="shared" si="21"/>
        <v>Error?</v>
      </c>
    </row>
    <row r="1440" spans="1:4" x14ac:dyDescent="0.2">
      <c r="A1440" s="5">
        <v>1379</v>
      </c>
      <c r="B1440" s="138">
        <f>'Expenditures 15-22'!D275</f>
        <v>34151</v>
      </c>
      <c r="D1440" s="2" t="str">
        <f t="shared" si="21"/>
        <v>Error?</v>
      </c>
    </row>
    <row r="1441" spans="1:4" x14ac:dyDescent="0.2">
      <c r="A1441" s="10">
        <v>1380</v>
      </c>
      <c r="D1441" s="2" t="str">
        <f t="shared" si="21"/>
        <v>OK</v>
      </c>
    </row>
    <row r="1442" spans="1:4" x14ac:dyDescent="0.2">
      <c r="A1442" s="5">
        <v>1381</v>
      </c>
      <c r="B1442" s="138">
        <f>'Expenditures 15-22'!D276</f>
        <v>55550</v>
      </c>
      <c r="D1442" s="2" t="str">
        <f t="shared" si="21"/>
        <v>Error?</v>
      </c>
    </row>
    <row r="1443" spans="1:4" x14ac:dyDescent="0.2">
      <c r="A1443" s="10">
        <v>1382</v>
      </c>
      <c r="D1443" s="2" t="str">
        <f t="shared" si="21"/>
        <v>OK</v>
      </c>
    </row>
    <row r="1444" spans="1:4" x14ac:dyDescent="0.2">
      <c r="A1444" s="5">
        <v>1383</v>
      </c>
      <c r="B1444" s="138">
        <f>'Expenditures 15-22'!D277</f>
        <v>110477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901415</v>
      </c>
      <c r="C1446" s="2" t="s">
        <v>573</v>
      </c>
      <c r="D1446" s="2" t="str">
        <f t="shared" si="21"/>
        <v>Error?</v>
      </c>
    </row>
    <row r="1447" spans="1:4" x14ac:dyDescent="0.2">
      <c r="A1447" s="5">
        <v>1386</v>
      </c>
      <c r="B1447" s="138">
        <f>'Expenditures 15-22'!D280</f>
        <v>14557</v>
      </c>
      <c r="D1447" s="2" t="str">
        <f t="shared" si="21"/>
        <v>Error?</v>
      </c>
    </row>
    <row r="1448" spans="1:4" x14ac:dyDescent="0.2">
      <c r="A1448" s="5">
        <v>1387</v>
      </c>
      <c r="B1448" s="138">
        <f>'Expenditures 15-22'!D295</f>
        <v>1523343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13429</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20472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5483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607371</v>
      </c>
      <c r="C1474" s="2" t="s">
        <v>573</v>
      </c>
      <c r="D1474" s="2" t="str">
        <f t="shared" si="22"/>
        <v>Error?</v>
      </c>
    </row>
    <row r="1475" spans="1:4" x14ac:dyDescent="0.2">
      <c r="A1475" s="5">
        <v>1414</v>
      </c>
      <c r="B1475" s="138">
        <f>'Expenditures 15-22'!K232</f>
        <v>9605</v>
      </c>
      <c r="C1475" s="2" t="s">
        <v>573</v>
      </c>
      <c r="D1475" s="2" t="str">
        <f t="shared" si="22"/>
        <v>Error?</v>
      </c>
    </row>
    <row r="1476" spans="1:4" x14ac:dyDescent="0.2">
      <c r="A1476" s="5">
        <v>1415</v>
      </c>
      <c r="B1476" s="138">
        <f>'Expenditures 15-22'!K233</f>
        <v>1098</v>
      </c>
      <c r="C1476" s="2" t="s">
        <v>573</v>
      </c>
      <c r="D1476" s="2" t="str">
        <f t="shared" si="22"/>
        <v>Error?</v>
      </c>
    </row>
    <row r="1477" spans="1:4" x14ac:dyDescent="0.2">
      <c r="A1477" s="5">
        <v>1416</v>
      </c>
      <c r="B1477" s="138">
        <f>'Expenditures 15-22'!K234</f>
        <v>134196</v>
      </c>
      <c r="C1477" s="2" t="s">
        <v>573</v>
      </c>
      <c r="D1477" s="2" t="str">
        <f t="shared" si="22"/>
        <v>Error?</v>
      </c>
    </row>
    <row r="1478" spans="1:4" x14ac:dyDescent="0.2">
      <c r="A1478" s="5">
        <v>1417</v>
      </c>
      <c r="B1478" s="138">
        <f>'Expenditures 15-22'!K235</f>
        <v>6114</v>
      </c>
      <c r="C1478" s="2" t="s">
        <v>573</v>
      </c>
      <c r="D1478" s="2" t="str">
        <f t="shared" si="22"/>
        <v>Error?</v>
      </c>
    </row>
    <row r="1479" spans="1:4" x14ac:dyDescent="0.2">
      <c r="A1479" s="5">
        <v>1418</v>
      </c>
      <c r="B1479" s="138">
        <f>'Expenditures 15-22'!K236</f>
        <v>11161</v>
      </c>
      <c r="C1479" s="2" t="s">
        <v>573</v>
      </c>
      <c r="D1479" s="2" t="str">
        <f t="shared" si="22"/>
        <v>Error?</v>
      </c>
    </row>
    <row r="1480" spans="1:4" x14ac:dyDescent="0.2">
      <c r="A1480" s="5">
        <v>1419</v>
      </c>
      <c r="B1480" s="138">
        <f>'Expenditures 15-22'!K237</f>
        <v>781</v>
      </c>
      <c r="C1480" s="2" t="s">
        <v>573</v>
      </c>
      <c r="D1480" s="2" t="str">
        <f t="shared" si="22"/>
        <v>Error?</v>
      </c>
    </row>
    <row r="1481" spans="1:4" x14ac:dyDescent="0.2">
      <c r="A1481" s="5">
        <v>1420</v>
      </c>
      <c r="B1481" s="138">
        <f>'Expenditures 15-22'!K238</f>
        <v>162955</v>
      </c>
      <c r="C1481" s="2" t="s">
        <v>573</v>
      </c>
      <c r="D1481" s="2" t="str">
        <f t="shared" si="22"/>
        <v>Error?</v>
      </c>
    </row>
    <row r="1482" spans="1:4" x14ac:dyDescent="0.2">
      <c r="A1482" s="5">
        <v>1421</v>
      </c>
      <c r="B1482" s="138">
        <f>'Expenditures 15-22'!K240</f>
        <v>31484</v>
      </c>
      <c r="C1482" s="2" t="s">
        <v>573</v>
      </c>
      <c r="D1482" s="2" t="str">
        <f t="shared" si="22"/>
        <v>Error?</v>
      </c>
    </row>
    <row r="1483" spans="1:4" x14ac:dyDescent="0.2">
      <c r="A1483" s="5">
        <v>1422</v>
      </c>
      <c r="B1483" s="138">
        <f>'Expenditures 15-22'!K241</f>
        <v>46791</v>
      </c>
      <c r="C1483" s="2" t="s">
        <v>573</v>
      </c>
      <c r="D1483" s="2" t="str">
        <f t="shared" si="22"/>
        <v>Error?</v>
      </c>
    </row>
    <row r="1484" spans="1:4" x14ac:dyDescent="0.2">
      <c r="A1484" s="5">
        <v>1423</v>
      </c>
      <c r="B1484" s="138">
        <f>'Expenditures 15-22'!K242</f>
        <v>141</v>
      </c>
      <c r="C1484" s="2" t="s">
        <v>573</v>
      </c>
      <c r="D1484" s="2" t="str">
        <f t="shared" si="22"/>
        <v>Error?</v>
      </c>
    </row>
    <row r="1485" spans="1:4" x14ac:dyDescent="0.2">
      <c r="A1485" s="5">
        <v>1424</v>
      </c>
      <c r="B1485" s="138">
        <f>'Expenditures 15-22'!K243</f>
        <v>78416</v>
      </c>
      <c r="C1485" s="2" t="s">
        <v>573</v>
      </c>
      <c r="D1485" s="2" t="str">
        <f t="shared" si="22"/>
        <v>Error?</v>
      </c>
    </row>
    <row r="1486" spans="1:4" x14ac:dyDescent="0.2">
      <c r="A1486" s="5">
        <v>1425</v>
      </c>
      <c r="B1486" s="138">
        <f>'Expenditures 15-22'!K245</f>
        <v>1403</v>
      </c>
      <c r="C1486" s="2" t="s">
        <v>573</v>
      </c>
      <c r="D1486" s="2" t="str">
        <f t="shared" si="22"/>
        <v>Error?</v>
      </c>
    </row>
    <row r="1487" spans="1:4" x14ac:dyDescent="0.2">
      <c r="A1487" s="5">
        <v>1426</v>
      </c>
      <c r="B1487" s="138">
        <f>'Expenditures 15-22'!K246</f>
        <v>24922</v>
      </c>
      <c r="C1487" s="2" t="s">
        <v>573</v>
      </c>
      <c r="D1487" s="2" t="str">
        <f t="shared" si="22"/>
        <v>Error?</v>
      </c>
    </row>
    <row r="1488" spans="1:4" x14ac:dyDescent="0.2">
      <c r="A1488" s="5">
        <v>1427</v>
      </c>
      <c r="B1488" s="138">
        <f>'Expenditures 15-22'!K257</f>
        <v>44910</v>
      </c>
      <c r="C1488" s="2" t="s">
        <v>573</v>
      </c>
      <c r="D1488" s="2" t="str">
        <f t="shared" si="22"/>
        <v>Error?</v>
      </c>
    </row>
    <row r="1489" spans="1:4" x14ac:dyDescent="0.2">
      <c r="A1489" s="5">
        <v>1428</v>
      </c>
      <c r="B1489" s="138">
        <f>'Expenditures 15-22'!K259</f>
        <v>107266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107266</v>
      </c>
      <c r="C1491" s="2" t="s">
        <v>573</v>
      </c>
      <c r="D1491" s="2" t="str">
        <f t="shared" si="22"/>
        <v>Error?</v>
      </c>
    </row>
    <row r="1492" spans="1:4" x14ac:dyDescent="0.2">
      <c r="A1492" s="5">
        <v>1431</v>
      </c>
      <c r="B1492" s="138">
        <f>'Expenditures 15-22'!K263</f>
        <v>5023</v>
      </c>
      <c r="C1492" s="2" t="s">
        <v>573</v>
      </c>
      <c r="D1492" s="2" t="str">
        <f t="shared" si="22"/>
        <v>Error?</v>
      </c>
    </row>
    <row r="1493" spans="1:4" x14ac:dyDescent="0.2">
      <c r="A1493" s="5">
        <v>1432</v>
      </c>
      <c r="B1493" s="138">
        <f>'Expenditures 15-22'!K264</f>
        <v>49820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320514</v>
      </c>
      <c r="C1495" s="2" t="s">
        <v>573</v>
      </c>
      <c r="D1495" s="2" t="str">
        <f t="shared" si="22"/>
        <v>Error?</v>
      </c>
    </row>
    <row r="1496" spans="1:4" x14ac:dyDescent="0.2">
      <c r="A1496" s="5">
        <v>1435</v>
      </c>
      <c r="B1496" s="138">
        <f>'Expenditures 15-22'!K267</f>
        <v>356</v>
      </c>
      <c r="C1496" s="2" t="s">
        <v>573</v>
      </c>
      <c r="D1496" s="2" t="str">
        <f t="shared" si="22"/>
        <v>Error?</v>
      </c>
    </row>
    <row r="1497" spans="1:4" x14ac:dyDescent="0.2">
      <c r="A1497" s="5">
        <v>1436</v>
      </c>
      <c r="B1497" s="138">
        <f>'Expenditures 15-22'!K268</f>
        <v>21678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397391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20776</v>
      </c>
      <c r="C1503" s="2" t="s">
        <v>573</v>
      </c>
      <c r="D1503" s="2" t="str">
        <f t="shared" si="22"/>
        <v>Error?</v>
      </c>
    </row>
    <row r="1504" spans="1:4" x14ac:dyDescent="0.2">
      <c r="A1504" s="5">
        <v>1443</v>
      </c>
      <c r="B1504" s="138">
        <f>'Expenditures 15-22'!K275</f>
        <v>34151</v>
      </c>
      <c r="C1504" s="2" t="s">
        <v>573</v>
      </c>
      <c r="D1504" s="2" t="str">
        <f t="shared" si="22"/>
        <v>Error?</v>
      </c>
    </row>
    <row r="1505" spans="1:4" x14ac:dyDescent="0.2">
      <c r="A1505" s="10">
        <v>1444</v>
      </c>
      <c r="D1505" s="2" t="str">
        <f t="shared" si="22"/>
        <v>OK</v>
      </c>
    </row>
    <row r="1506" spans="1:4" x14ac:dyDescent="0.2">
      <c r="A1506" s="5">
        <v>1445</v>
      </c>
      <c r="B1506" s="138">
        <f>'Expenditures 15-22'!K276</f>
        <v>55550</v>
      </c>
      <c r="C1506" s="2" t="s">
        <v>573</v>
      </c>
      <c r="D1506" s="2" t="str">
        <f t="shared" si="22"/>
        <v>Error?</v>
      </c>
    </row>
    <row r="1507" spans="1:4" x14ac:dyDescent="0.2">
      <c r="A1507" s="10">
        <v>1446</v>
      </c>
      <c r="D1507" s="2" t="str">
        <f t="shared" si="22"/>
        <v>OK</v>
      </c>
    </row>
    <row r="1508" spans="1:4" x14ac:dyDescent="0.2">
      <c r="A1508" s="5">
        <v>1447</v>
      </c>
      <c r="B1508" s="138">
        <f>'Expenditures 15-22'!K277</f>
        <v>110477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901415</v>
      </c>
      <c r="C1510" s="2" t="s">
        <v>573</v>
      </c>
      <c r="D1510" s="2" t="str">
        <f t="shared" si="22"/>
        <v>Error?</v>
      </c>
    </row>
    <row r="1511" spans="1:4" x14ac:dyDescent="0.2">
      <c r="A1511" s="5">
        <v>1450</v>
      </c>
      <c r="B1511" s="138">
        <f>'Expenditures 15-22'!K280</f>
        <v>14557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1523343</v>
      </c>
      <c r="C1517" s="2" t="s">
        <v>573</v>
      </c>
      <c r="D1517" s="2" t="str">
        <f t="shared" si="22"/>
        <v>Error?</v>
      </c>
    </row>
    <row r="1518" spans="1:4" x14ac:dyDescent="0.2">
      <c r="A1518" s="5">
        <v>1457</v>
      </c>
      <c r="B1518" s="138">
        <f>'Expenditures 15-22'!K296</f>
        <v>-548226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782321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782321</v>
      </c>
      <c r="C1535" s="2" t="s">
        <v>573</v>
      </c>
      <c r="D1535" s="2" t="str">
        <f t="shared" ref="D1535:D1598" si="23">IF(ISBLANK(B1535),"OK",IF(A1535-B1535=0,"OK","Error?"))</f>
        <v>Error?</v>
      </c>
    </row>
    <row r="1536" spans="1:4" x14ac:dyDescent="0.2">
      <c r="A1536" s="5">
        <v>1475</v>
      </c>
      <c r="B1536" s="138">
        <f>'Expenditures 15-22'!E312</f>
        <v>782321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4898072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4898072</v>
      </c>
      <c r="C1547" s="2" t="s">
        <v>573</v>
      </c>
      <c r="D1547" s="2" t="str">
        <f t="shared" si="23"/>
        <v>Error?</v>
      </c>
    </row>
    <row r="1548" spans="1:4" x14ac:dyDescent="0.2">
      <c r="A1548" s="5">
        <v>1487</v>
      </c>
      <c r="B1548" s="138">
        <f>'Expenditures 15-22'!G312</f>
        <v>4898072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5680393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5680393</v>
      </c>
      <c r="C1559" s="2" t="s">
        <v>573</v>
      </c>
      <c r="D1559" s="2" t="str">
        <f t="shared" si="23"/>
        <v>Error?</v>
      </c>
    </row>
    <row r="1560" spans="1:4" x14ac:dyDescent="0.2">
      <c r="A1560" s="5">
        <v>1499</v>
      </c>
      <c r="B1560" s="138">
        <f>'Expenditures 15-22'!K312</f>
        <v>5680393</v>
      </c>
      <c r="C1560" s="2" t="s">
        <v>573</v>
      </c>
      <c r="D1560" s="2" t="str">
        <f t="shared" si="23"/>
        <v>Error?</v>
      </c>
    </row>
    <row r="1561" spans="1:4" x14ac:dyDescent="0.2">
      <c r="A1561" s="5">
        <v>1500</v>
      </c>
      <c r="B1561" s="138">
        <f>'Expenditures 15-22'!K313</f>
        <v>-5501107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41087953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41378515</v>
      </c>
      <c r="C1630" s="2" t="s">
        <v>573</v>
      </c>
      <c r="D1630" s="2" t="str">
        <f t="shared" si="24"/>
        <v>Error?</v>
      </c>
    </row>
    <row r="1631" spans="1:4" x14ac:dyDescent="0.2">
      <c r="A1631" s="5">
        <v>1570</v>
      </c>
      <c r="B1631" s="138">
        <f>'Acct Summary 7-8'!D79</f>
        <v>4906783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5172490</v>
      </c>
      <c r="C1644" s="2" t="s">
        <v>573</v>
      </c>
      <c r="D1644" s="2" t="str">
        <f t="shared" si="24"/>
        <v>Error?</v>
      </c>
    </row>
    <row r="1645" spans="1:4" x14ac:dyDescent="0.2">
      <c r="A1645" s="5">
        <v>1584</v>
      </c>
      <c r="B1645" s="138">
        <f>'Acct Summary 7-8'!E79</f>
        <v>17449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17763</v>
      </c>
      <c r="C1658" s="2" t="s">
        <v>573</v>
      </c>
      <c r="D1658" s="2" t="str">
        <f t="shared" si="24"/>
        <v>Error?</v>
      </c>
    </row>
    <row r="1659" spans="1:4" x14ac:dyDescent="0.2">
      <c r="A1659" s="5">
        <v>1598</v>
      </c>
      <c r="B1659" s="138">
        <f>'Acct Summary 7-8'!F79</f>
        <v>2941412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2552238</v>
      </c>
      <c r="C1672" s="2" t="s">
        <v>573</v>
      </c>
      <c r="D1672" s="2" t="str">
        <f t="shared" si="25"/>
        <v>Error?</v>
      </c>
    </row>
    <row r="1673" spans="1:4" x14ac:dyDescent="0.2">
      <c r="A1673" s="5">
        <v>1612</v>
      </c>
      <c r="B1673" s="138">
        <f>'Acct Summary 7-8'!G79</f>
        <v>1879528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1331302</v>
      </c>
      <c r="C1686" s="2" t="s">
        <v>573</v>
      </c>
      <c r="D1686" s="2" t="str">
        <f t="shared" si="25"/>
        <v>Error?</v>
      </c>
    </row>
    <row r="1687" spans="1:4" x14ac:dyDescent="0.2">
      <c r="A1687" s="5">
        <v>1626</v>
      </c>
      <c r="B1687" s="138">
        <f>'Acct Summary 7-8'!H79</f>
        <v>7647907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5146800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27526133</v>
      </c>
      <c r="C1744" s="2" t="s">
        <v>573</v>
      </c>
      <c r="D1744" s="2" t="str">
        <f t="shared" si="26"/>
        <v>Error?</v>
      </c>
    </row>
    <row r="1745" spans="1:5" x14ac:dyDescent="0.2">
      <c r="A1745" s="5">
        <v>1684</v>
      </c>
      <c r="B1745" s="138">
        <f>'Tax Sched 23'!B5</f>
        <v>2915691</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1129205</v>
      </c>
      <c r="C1747" s="2" t="s">
        <v>573</v>
      </c>
      <c r="D1747" s="2" t="str">
        <f t="shared" si="26"/>
        <v>Error?</v>
      </c>
    </row>
    <row r="1748" spans="1:5" x14ac:dyDescent="0.2">
      <c r="A1748" s="5">
        <v>1687</v>
      </c>
      <c r="B1748" s="138">
        <f>'Tax Sched 23'!B8</f>
        <v>847985</v>
      </c>
      <c r="C1748" s="2" t="s">
        <v>573</v>
      </c>
      <c r="D1748" s="2" t="str">
        <f t="shared" si="26"/>
        <v>Error?</v>
      </c>
    </row>
    <row r="1749" spans="1:5" x14ac:dyDescent="0.2">
      <c r="A1749" s="5">
        <v>1688</v>
      </c>
      <c r="B1749" s="138">
        <f>'Tax Sched 23'!B10</f>
        <v>15361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199290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2888328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35521993</v>
      </c>
      <c r="C1759" s="2" t="s">
        <v>573</v>
      </c>
      <c r="D1759" s="2" t="str">
        <f t="shared" si="26"/>
        <v>Error?</v>
      </c>
    </row>
    <row r="1760" spans="1:5" x14ac:dyDescent="0.2">
      <c r="A1760" s="5">
        <v>1699</v>
      </c>
      <c r="B1760" s="138">
        <f>'Tax Sched 23'!D4</f>
        <v>12922458</v>
      </c>
      <c r="C1760" s="2" t="s">
        <v>573</v>
      </c>
      <c r="D1760" s="2" t="str">
        <f t="shared" si="26"/>
        <v>Error?</v>
      </c>
    </row>
    <row r="1761" spans="1:5" x14ac:dyDescent="0.2">
      <c r="A1761" s="5">
        <v>1700</v>
      </c>
      <c r="B1761" s="138">
        <f>'Tax Sched 23'!D5</f>
        <v>899108</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624844</v>
      </c>
      <c r="C1763" s="2" t="s">
        <v>573</v>
      </c>
      <c r="D1763" s="2" t="str">
        <f t="shared" si="26"/>
        <v>Error?</v>
      </c>
    </row>
    <row r="1764" spans="1:5" x14ac:dyDescent="0.2">
      <c r="A1764" s="5">
        <v>1703</v>
      </c>
      <c r="B1764" s="138">
        <f>'Tax Sched 23'!D8</f>
        <v>840245</v>
      </c>
      <c r="C1764" s="2" t="s">
        <v>573</v>
      </c>
      <c r="D1764" s="2" t="str">
        <f t="shared" si="26"/>
        <v>Error?</v>
      </c>
    </row>
    <row r="1765" spans="1:5" x14ac:dyDescent="0.2">
      <c r="A1765" s="5">
        <v>1704</v>
      </c>
      <c r="B1765" s="138">
        <f>'Tax Sched 23'!D10</f>
        <v>7621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-2798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1375676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16238469</v>
      </c>
      <c r="C1775" s="2" t="s">
        <v>573</v>
      </c>
      <c r="D1775" s="2" t="str">
        <f t="shared" si="26"/>
        <v>Error?</v>
      </c>
    </row>
    <row r="1776" spans="1:5" x14ac:dyDescent="0.2">
      <c r="A1776" s="5">
        <v>1715</v>
      </c>
      <c r="B1776" s="138">
        <f>'Tax Sched 23'!C4</f>
        <v>14603675</v>
      </c>
      <c r="D1776" s="2" t="str">
        <f t="shared" si="26"/>
        <v>Error?</v>
      </c>
    </row>
    <row r="1777" spans="1:4" x14ac:dyDescent="0.2">
      <c r="A1777" s="5">
        <v>1716</v>
      </c>
      <c r="B1777" s="138">
        <f>'Tax Sched 23'!C5</f>
        <v>2016583</v>
      </c>
      <c r="D1777" s="2" t="str">
        <f t="shared" si="26"/>
        <v>Error?</v>
      </c>
    </row>
    <row r="1778" spans="1:4" x14ac:dyDescent="0.2">
      <c r="A1778" s="5">
        <v>1717</v>
      </c>
      <c r="B1778" s="138">
        <f>'Tax Sched 23'!C6</f>
        <v>0</v>
      </c>
      <c r="D1778" s="2" t="str">
        <f t="shared" si="26"/>
        <v>Error?</v>
      </c>
    </row>
    <row r="1779" spans="1:4" x14ac:dyDescent="0.2">
      <c r="A1779" s="5">
        <v>1718</v>
      </c>
      <c r="B1779" s="138">
        <f>'Tax Sched 23'!C7</f>
        <v>504361</v>
      </c>
      <c r="D1779" s="2" t="str">
        <f t="shared" si="26"/>
        <v>Error?</v>
      </c>
    </row>
    <row r="1780" spans="1:4" x14ac:dyDescent="0.2">
      <c r="A1780" s="5">
        <v>1719</v>
      </c>
      <c r="B1780" s="138">
        <f>'Tax Sched 23'!C8</f>
        <v>7740</v>
      </c>
      <c r="D1780" s="2" t="str">
        <f t="shared" si="26"/>
        <v>Error?</v>
      </c>
    </row>
    <row r="1781" spans="1:4" x14ac:dyDescent="0.2">
      <c r="A1781" s="5">
        <v>1720</v>
      </c>
      <c r="B1781" s="138">
        <f>'Tax Sched 23'!C10</f>
        <v>7740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202088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1512652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19283524</v>
      </c>
      <c r="C1791" s="2" t="s">
        <v>573</v>
      </c>
      <c r="D1791" s="2" t="str">
        <f t="shared" ref="D1791:D1854" si="27">IF(ISBLANK(B1791),"OK",IF(A1791-B1791=0,"OK","Error?"))</f>
        <v>Error?</v>
      </c>
    </row>
    <row r="1792" spans="1:4" x14ac:dyDescent="0.2">
      <c r="A1792" s="5">
        <v>1731</v>
      </c>
      <c r="B1792" s="138">
        <f>'Tax Sched 23'!F4</f>
        <v>14101854</v>
      </c>
      <c r="C1792" s="2" t="s">
        <v>573</v>
      </c>
      <c r="D1792" s="2" t="str">
        <f t="shared" si="27"/>
        <v>Error?</v>
      </c>
    </row>
    <row r="1793" spans="1:4" x14ac:dyDescent="0.2">
      <c r="A1793" s="5">
        <v>1732</v>
      </c>
      <c r="B1793" s="138">
        <f>'Tax Sched 23'!F5</f>
        <v>1947288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487029</v>
      </c>
      <c r="C1795" s="2" t="s">
        <v>573</v>
      </c>
      <c r="D1795" s="2" t="str">
        <f t="shared" si="27"/>
        <v>Error?</v>
      </c>
    </row>
    <row r="1796" spans="1:4" x14ac:dyDescent="0.2">
      <c r="A1796" s="5">
        <v>1735</v>
      </c>
      <c r="B1796" s="138">
        <f>'Tax Sched 23'!F8</f>
        <v>7473</v>
      </c>
      <c r="C1796" s="2" t="s">
        <v>573</v>
      </c>
      <c r="D1796" s="2" t="str">
        <f t="shared" si="27"/>
        <v>Error?</v>
      </c>
    </row>
    <row r="1797" spans="1:4" x14ac:dyDescent="0.2">
      <c r="A1797" s="5">
        <v>1736</v>
      </c>
      <c r="B1797" s="138">
        <f>'Tax Sched 23'!F10</f>
        <v>7473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195144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1460674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18620890</v>
      </c>
      <c r="C1807" s="2" t="s">
        <v>573</v>
      </c>
      <c r="D1807" s="2" t="str">
        <f t="shared" si="27"/>
        <v>Error?</v>
      </c>
    </row>
    <row r="1808" spans="1:4" x14ac:dyDescent="0.2">
      <c r="A1808" s="5">
        <v>1747</v>
      </c>
      <c r="B1808" s="138">
        <f>'Tax Sched 23'!E4</f>
        <v>28705529</v>
      </c>
      <c r="D1808" s="2" t="str">
        <f t="shared" si="27"/>
        <v>Error?</v>
      </c>
    </row>
    <row r="1809" spans="1:4" x14ac:dyDescent="0.2">
      <c r="A1809" s="5">
        <v>1748</v>
      </c>
      <c r="B1809" s="138">
        <f>'Tax Sched 23'!E5</f>
        <v>3963871</v>
      </c>
      <c r="D1809" s="2" t="str">
        <f t="shared" si="27"/>
        <v>Error?</v>
      </c>
    </row>
    <row r="1810" spans="1:4" x14ac:dyDescent="0.2">
      <c r="A1810" s="5">
        <v>1749</v>
      </c>
      <c r="B1810" s="138">
        <f>'Tax Sched 23'!E6</f>
        <v>0</v>
      </c>
      <c r="D1810" s="2" t="str">
        <f t="shared" si="27"/>
        <v>Error?</v>
      </c>
    </row>
    <row r="1811" spans="1:4" x14ac:dyDescent="0.2">
      <c r="A1811" s="5">
        <v>1750</v>
      </c>
      <c r="B1811" s="138">
        <f>'Tax Sched 23'!E7</f>
        <v>991390</v>
      </c>
      <c r="D1811" s="2" t="str">
        <f t="shared" si="27"/>
        <v>Error?</v>
      </c>
    </row>
    <row r="1812" spans="1:4" x14ac:dyDescent="0.2">
      <c r="A1812" s="5">
        <v>1751</v>
      </c>
      <c r="B1812" s="138">
        <f>'Tax Sched 23'!E8</f>
        <v>15213</v>
      </c>
      <c r="D1812" s="2" t="str">
        <f t="shared" si="27"/>
        <v>Error?</v>
      </c>
    </row>
    <row r="1813" spans="1:4" x14ac:dyDescent="0.2">
      <c r="A1813" s="5">
        <v>1752</v>
      </c>
      <c r="B1813" s="138">
        <f>'Tax Sched 23'!E10</f>
        <v>15213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397232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2973326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37904414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432720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1375712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1375712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1375712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168728</v>
      </c>
      <c r="D2008" s="2" t="str">
        <f t="shared" si="30"/>
        <v>Error?</v>
      </c>
    </row>
    <row r="2009" spans="1:4" x14ac:dyDescent="0.2">
      <c r="A2009" s="5">
        <v>1948</v>
      </c>
      <c r="B2009" s="138">
        <f>'Cap Outlay Deprec 26'!C8</f>
        <v>34135363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2227286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36603292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2752669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281912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5102815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71915</v>
      </c>
      <c r="C2025" s="2" t="s">
        <v>573</v>
      </c>
      <c r="D2025" s="2" t="str">
        <f t="shared" si="30"/>
        <v>Error?</v>
      </c>
    </row>
    <row r="2026" spans="1:4" x14ac:dyDescent="0.2">
      <c r="A2026" s="5">
        <v>1965</v>
      </c>
      <c r="B2026" s="138">
        <f>'Cap Outlay Deprec 26'!F5</f>
        <v>168728</v>
      </c>
      <c r="C2026" s="2" t="s">
        <v>573</v>
      </c>
      <c r="D2026" s="2" t="str">
        <f t="shared" si="30"/>
        <v>Error?</v>
      </c>
    </row>
    <row r="2027" spans="1:4" x14ac:dyDescent="0.2">
      <c r="A2027" s="5">
        <v>1966</v>
      </c>
      <c r="B2027" s="138">
        <f>'Cap Outlay Deprec 26'!F8</f>
        <v>36888032</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2509198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41634192</v>
      </c>
      <c r="C2031" s="2" t="s">
        <v>573</v>
      </c>
      <c r="D2031" s="2" t="str">
        <f t="shared" si="30"/>
        <v>Error?</v>
      </c>
    </row>
    <row r="2032" spans="1:4" x14ac:dyDescent="0.2">
      <c r="A2032" s="10">
        <v>1971</v>
      </c>
      <c r="D2032" s="2" t="str">
        <f t="shared" si="30"/>
        <v>OK</v>
      </c>
    </row>
    <row r="2033" spans="1:4" x14ac:dyDescent="0.2">
      <c r="A2033" s="5">
        <v>1972</v>
      </c>
      <c r="B2033" s="138">
        <f>'Cap Outlay Deprec 26'!H8</f>
        <v>10915348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773461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11688809</v>
      </c>
      <c r="C2037" s="2" t="s">
        <v>573</v>
      </c>
      <c r="D2037" s="2" t="str">
        <f t="shared" si="30"/>
        <v>Error?</v>
      </c>
    </row>
    <row r="2038" spans="1:4" x14ac:dyDescent="0.2">
      <c r="A2038" s="10">
        <v>1977</v>
      </c>
      <c r="D2038" s="2" t="str">
        <f t="shared" si="30"/>
        <v>OK</v>
      </c>
    </row>
    <row r="2039" spans="1:4" x14ac:dyDescent="0.2">
      <c r="A2039" s="5">
        <v>1978</v>
      </c>
      <c r="B2039" s="138">
        <f>'Cap Outlay Deprec 26'!I8</f>
        <v>983879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178297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1162176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11899227</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951758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12850985</v>
      </c>
      <c r="C2055" s="2" t="s">
        <v>573</v>
      </c>
      <c r="D2055" s="2" t="str">
        <f t="shared" si="31"/>
        <v>Error?</v>
      </c>
    </row>
    <row r="2056" spans="1:4" x14ac:dyDescent="0.2">
      <c r="A2056" s="5">
        <v>1995</v>
      </c>
      <c r="B2056" s="138">
        <f>'Cap Outlay Deprec 26'!L5</f>
        <v>168728</v>
      </c>
      <c r="C2056" s="2" t="s">
        <v>573</v>
      </c>
      <c r="D2056" s="2" t="str">
        <f t="shared" si="31"/>
        <v>Error?</v>
      </c>
    </row>
    <row r="2057" spans="1:4" x14ac:dyDescent="0.2">
      <c r="A2057" s="5">
        <v>1996</v>
      </c>
      <c r="B2057" s="138">
        <f>'Cap Outlay Deprec 26'!L8</f>
        <v>24988805</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1557440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28783207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1063812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1063812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5172490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2552238</v>
      </c>
      <c r="D2475" s="2" t="str">
        <f t="shared" si="37"/>
        <v>Error?</v>
      </c>
    </row>
    <row r="2476" spans="1:4" x14ac:dyDescent="0.2">
      <c r="A2476" s="10">
        <v>2415</v>
      </c>
      <c r="D2476" s="2" t="str">
        <f t="shared" si="37"/>
        <v>OK</v>
      </c>
    </row>
    <row r="2477" spans="1:4" x14ac:dyDescent="0.2">
      <c r="A2477" s="5">
        <v>2416</v>
      </c>
      <c r="B2477" s="138">
        <f>'Assets-Liab 5-6'!G38</f>
        <v>1331302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17763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31656626</v>
      </c>
      <c r="C2551" s="2" t="s">
        <v>573</v>
      </c>
      <c r="D2551" s="2" t="str">
        <f t="shared" si="38"/>
        <v>Error?</v>
      </c>
    </row>
    <row r="2552" spans="1:4" x14ac:dyDescent="0.2">
      <c r="A2552" s="10">
        <v>2491</v>
      </c>
      <c r="D2552" s="2" t="str">
        <f t="shared" si="38"/>
        <v>OK</v>
      </c>
    </row>
    <row r="2553" spans="1:4" x14ac:dyDescent="0.2">
      <c r="A2553" s="5">
        <v>2492</v>
      </c>
      <c r="B2553" s="138">
        <f>'Acct Summary 7-8'!C6</f>
        <v>5246486</v>
      </c>
      <c r="C2553" s="2" t="s">
        <v>573</v>
      </c>
      <c r="D2553" s="2" t="str">
        <f t="shared" si="38"/>
        <v>Error?</v>
      </c>
    </row>
    <row r="2554" spans="1:4" x14ac:dyDescent="0.2">
      <c r="A2554" s="5">
        <v>2493</v>
      </c>
      <c r="B2554" s="138">
        <f>'Acct Summary 7-8'!C7</f>
        <v>2133873</v>
      </c>
      <c r="C2554" s="2" t="s">
        <v>573</v>
      </c>
      <c r="D2554" s="2" t="str">
        <f t="shared" si="38"/>
        <v>Error?</v>
      </c>
    </row>
    <row r="2555" spans="1:4" x14ac:dyDescent="0.2">
      <c r="A2555" s="5">
        <v>2494</v>
      </c>
      <c r="B2555" s="138">
        <f>'Acct Summary 7-8'!C8</f>
        <v>39036985</v>
      </c>
      <c r="C2555" s="2" t="s">
        <v>573</v>
      </c>
      <c r="D2555" s="2" t="str">
        <f t="shared" si="38"/>
        <v>Error?</v>
      </c>
    </row>
    <row r="2556" spans="1:4" x14ac:dyDescent="0.2">
      <c r="A2556" s="5">
        <v>2495</v>
      </c>
      <c r="B2556" s="138">
        <f>'Acct Summary 7-8'!C12</f>
        <v>24163645</v>
      </c>
      <c r="C2556" s="2" t="s">
        <v>573</v>
      </c>
      <c r="D2556" s="2" t="str">
        <f t="shared" si="38"/>
        <v>Error?</v>
      </c>
    </row>
    <row r="2557" spans="1:4" x14ac:dyDescent="0.2">
      <c r="A2557" s="5">
        <v>2496</v>
      </c>
      <c r="B2557" s="138">
        <f>'Acct Summary 7-8'!C13</f>
        <v>10349208</v>
      </c>
      <c r="C2557" s="2" t="s">
        <v>573</v>
      </c>
      <c r="D2557" s="2" t="str">
        <f t="shared" si="38"/>
        <v>Error?</v>
      </c>
    </row>
    <row r="2558" spans="1:4" x14ac:dyDescent="0.2">
      <c r="A2558" s="5">
        <v>2497</v>
      </c>
      <c r="B2558" s="138">
        <f>'Acct Summary 7-8'!C14</f>
        <v>83214</v>
      </c>
      <c r="C2558" s="2" t="s">
        <v>573</v>
      </c>
      <c r="D2558" s="2" t="str">
        <f t="shared" si="38"/>
        <v>Error?</v>
      </c>
    </row>
    <row r="2559" spans="1:4" x14ac:dyDescent="0.2">
      <c r="A2559" s="5">
        <v>2498</v>
      </c>
      <c r="B2559" s="138">
        <f>'Acct Summary 7-8'!C15</f>
        <v>1063812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35659879</v>
      </c>
      <c r="C2561" s="2" t="s">
        <v>573</v>
      </c>
      <c r="D2561" s="2" t="str">
        <f t="shared" si="39"/>
        <v>Error?</v>
      </c>
    </row>
    <row r="2562" spans="1:4" x14ac:dyDescent="0.2">
      <c r="A2562" s="5">
        <v>2501</v>
      </c>
      <c r="B2562" s="138">
        <f>'Acct Summary 7-8'!C20</f>
        <v>3377106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3163754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3163754</v>
      </c>
      <c r="C2568" s="2" t="s">
        <v>573</v>
      </c>
      <c r="D2568" s="2" t="str">
        <f t="shared" si="39"/>
        <v>Error?</v>
      </c>
    </row>
    <row r="2569" spans="1:4" x14ac:dyDescent="0.2">
      <c r="A2569" s="5">
        <v>2508</v>
      </c>
      <c r="B2569" s="138">
        <f>'Acct Summary 7-8'!D13</f>
        <v>2897885</v>
      </c>
      <c r="C2569" s="2" t="s">
        <v>573</v>
      </c>
      <c r="D2569" s="2" t="str">
        <f t="shared" si="39"/>
        <v>Error?</v>
      </c>
    </row>
    <row r="2570" spans="1:4" x14ac:dyDescent="0.2">
      <c r="A2570" s="5">
        <v>2509</v>
      </c>
      <c r="B2570" s="138">
        <f>'Acct Summary 7-8'!D14</f>
        <v>162</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2898047</v>
      </c>
      <c r="C2573" s="2" t="s">
        <v>573</v>
      </c>
      <c r="D2573" s="2" t="str">
        <f t="shared" si="39"/>
        <v>Error?</v>
      </c>
    </row>
    <row r="2574" spans="1:4" x14ac:dyDescent="0.2">
      <c r="A2574" s="5">
        <v>2513</v>
      </c>
      <c r="B2574" s="138">
        <f>'Acct Summary 7-8'!D20</f>
        <v>265707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1290095</v>
      </c>
      <c r="C2591" s="2" t="s">
        <v>573</v>
      </c>
      <c r="D2591" s="2" t="str">
        <f t="shared" si="39"/>
        <v>Error?</v>
      </c>
    </row>
    <row r="2592" spans="1:4" x14ac:dyDescent="0.2">
      <c r="A2592" s="10">
        <v>2531</v>
      </c>
      <c r="D2592" s="2" t="str">
        <f t="shared" si="39"/>
        <v>OK</v>
      </c>
    </row>
    <row r="2593" spans="1:4" x14ac:dyDescent="0.2">
      <c r="A2593" s="5">
        <v>2532</v>
      </c>
      <c r="B2593" s="138">
        <f>'Acct Summary 7-8'!F6</f>
        <v>810066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2100161</v>
      </c>
      <c r="C2595" s="2" t="s">
        <v>573</v>
      </c>
      <c r="D2595" s="2" t="str">
        <f t="shared" si="39"/>
        <v>Error?</v>
      </c>
    </row>
    <row r="2596" spans="1:4" x14ac:dyDescent="0.2">
      <c r="A2596" s="5">
        <v>2535</v>
      </c>
      <c r="B2596" s="138">
        <f>'Acct Summary 7-8'!F13</f>
        <v>2489335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2489335</v>
      </c>
      <c r="C2600" s="2" t="s">
        <v>573</v>
      </c>
      <c r="D2600" s="2" t="str">
        <f t="shared" si="39"/>
        <v>Error?</v>
      </c>
    </row>
    <row r="2601" spans="1:4" x14ac:dyDescent="0.2">
      <c r="A2601" s="5">
        <v>2540</v>
      </c>
      <c r="B2601" s="138">
        <f>'Acct Summary 7-8'!F20</f>
        <v>-389174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881755</v>
      </c>
      <c r="C2603" s="2" t="s">
        <v>573</v>
      </c>
      <c r="D2603" s="2" t="str">
        <f t="shared" si="39"/>
        <v>Error?</v>
      </c>
    </row>
    <row r="2604" spans="1:4" x14ac:dyDescent="0.2">
      <c r="A2604" s="5">
        <v>2543</v>
      </c>
      <c r="B2604" s="138">
        <f>'Acct Summary 7-8'!G6</f>
        <v>29438</v>
      </c>
      <c r="C2604" s="2" t="s">
        <v>573</v>
      </c>
      <c r="D2604" s="2" t="str">
        <f t="shared" si="39"/>
        <v>Error?</v>
      </c>
    </row>
    <row r="2605" spans="1:4" x14ac:dyDescent="0.2">
      <c r="A2605" s="5">
        <v>2544</v>
      </c>
      <c r="B2605" s="138">
        <f>'Acct Summary 7-8'!G7</f>
        <v>63924</v>
      </c>
      <c r="C2605" s="2" t="s">
        <v>573</v>
      </c>
      <c r="D2605" s="2" t="str">
        <f t="shared" si="39"/>
        <v>Error?</v>
      </c>
    </row>
    <row r="2606" spans="1:4" x14ac:dyDescent="0.2">
      <c r="A2606" s="5">
        <v>2545</v>
      </c>
      <c r="B2606" s="138">
        <f>'Acct Summary 7-8'!G8</f>
        <v>975117</v>
      </c>
      <c r="C2606" s="2" t="s">
        <v>573</v>
      </c>
      <c r="D2606" s="2" t="str">
        <f t="shared" si="39"/>
        <v>Error?</v>
      </c>
    </row>
    <row r="2607" spans="1:4" x14ac:dyDescent="0.2">
      <c r="A2607" s="5">
        <v>2546</v>
      </c>
      <c r="B2607" s="138">
        <f>'Acct Summary 7-8'!G12</f>
        <v>607371</v>
      </c>
      <c r="C2607" s="2" t="s">
        <v>573</v>
      </c>
      <c r="D2607" s="2" t="str">
        <f t="shared" si="39"/>
        <v>Error?</v>
      </c>
    </row>
    <row r="2608" spans="1:4" x14ac:dyDescent="0.2">
      <c r="A2608" s="5">
        <v>2547</v>
      </c>
      <c r="B2608" s="138">
        <f>'Acct Summary 7-8'!G13</f>
        <v>901415</v>
      </c>
      <c r="C2608" s="2" t="s">
        <v>573</v>
      </c>
      <c r="D2608" s="2" t="str">
        <f t="shared" si="39"/>
        <v>Error?</v>
      </c>
    </row>
    <row r="2609" spans="1:4" x14ac:dyDescent="0.2">
      <c r="A2609" s="5">
        <v>2548</v>
      </c>
      <c r="B2609" s="138">
        <f>'Acct Summary 7-8'!G14</f>
        <v>14557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1523343</v>
      </c>
      <c r="C2612" s="2" t="s">
        <v>573</v>
      </c>
      <c r="D2612" s="2" t="str">
        <f t="shared" si="39"/>
        <v>Error?</v>
      </c>
    </row>
    <row r="2613" spans="1:4" x14ac:dyDescent="0.2">
      <c r="A2613" s="5">
        <v>2552</v>
      </c>
      <c r="B2613" s="138">
        <f>'Acct Summary 7-8'!G20</f>
        <v>-548226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86544</v>
      </c>
      <c r="C2634" s="2" t="s">
        <v>573</v>
      </c>
      <c r="D2634" s="2" t="str">
        <f t="shared" si="40"/>
        <v>Error?</v>
      </c>
    </row>
    <row r="2635" spans="1:4" x14ac:dyDescent="0.2">
      <c r="A2635" s="5">
        <v>2574</v>
      </c>
      <c r="B2635" s="138">
        <f>'Acct Summary 7-8'!E17</f>
        <v>86544</v>
      </c>
      <c r="C2635" s="2" t="s">
        <v>573</v>
      </c>
      <c r="D2635" s="2" t="str">
        <f t="shared" si="40"/>
        <v>Error?</v>
      </c>
    </row>
    <row r="2636" spans="1:4" x14ac:dyDescent="0.2">
      <c r="A2636" s="5">
        <v>2575</v>
      </c>
      <c r="B2636" s="138">
        <f>'Acct Summary 7-8'!E20</f>
        <v>-86230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179286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179286</v>
      </c>
      <c r="C2658" s="2" t="s">
        <v>573</v>
      </c>
      <c r="D2658" s="2" t="str">
        <f t="shared" si="40"/>
        <v>Error?</v>
      </c>
    </row>
    <row r="2659" spans="1:4" x14ac:dyDescent="0.2">
      <c r="A2659" s="5">
        <v>2598</v>
      </c>
      <c r="B2659" s="138">
        <f>'Acct Summary 7-8'!H13</f>
        <v>5680393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5680393</v>
      </c>
      <c r="C2661" s="2" t="s">
        <v>573</v>
      </c>
      <c r="D2661" s="2" t="str">
        <f t="shared" si="40"/>
        <v>Error?</v>
      </c>
    </row>
    <row r="2662" spans="1:4" x14ac:dyDescent="0.2">
      <c r="A2662" s="5">
        <v>2601</v>
      </c>
      <c r="B2662" s="138">
        <f>'Acct Summary 7-8'!H20</f>
        <v>-5501107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215373</v>
      </c>
      <c r="D2718" s="2" t="str">
        <f t="shared" si="41"/>
        <v>Error?</v>
      </c>
    </row>
    <row r="2719" spans="1:4" x14ac:dyDescent="0.2">
      <c r="A2719" s="5">
        <v>2658</v>
      </c>
      <c r="B2719" s="138">
        <f>'Expenditures 15-22'!D51</f>
        <v>46166</v>
      </c>
      <c r="D2719" s="2" t="str">
        <f t="shared" si="41"/>
        <v>Error?</v>
      </c>
    </row>
    <row r="2720" spans="1:4" x14ac:dyDescent="0.2">
      <c r="A2720" s="5">
        <v>2659</v>
      </c>
      <c r="B2720" s="138">
        <f>'Expenditures 15-22'!E51</f>
        <v>22743</v>
      </c>
      <c r="D2720" s="2" t="str">
        <f t="shared" si="41"/>
        <v>Error?</v>
      </c>
    </row>
    <row r="2721" spans="1:4" x14ac:dyDescent="0.2">
      <c r="A2721" s="5">
        <v>2660</v>
      </c>
      <c r="B2721" s="138">
        <f>'Expenditures 15-22'!F51</f>
        <v>4016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645</v>
      </c>
      <c r="D2723" s="2" t="str">
        <f t="shared" si="41"/>
        <v>Error?</v>
      </c>
    </row>
    <row r="2724" spans="1:4" x14ac:dyDescent="0.2">
      <c r="A2724" s="5">
        <v>2663</v>
      </c>
      <c r="B2724" s="138">
        <f>'Expenditures 15-22'!K51</f>
        <v>288943</v>
      </c>
      <c r="C2724" s="2" t="s">
        <v>573</v>
      </c>
      <c r="D2724" s="2" t="str">
        <f t="shared" si="41"/>
        <v>Error?</v>
      </c>
    </row>
    <row r="2725" spans="1:4" x14ac:dyDescent="0.2">
      <c r="A2725" s="5">
        <v>2664</v>
      </c>
      <c r="B2725" s="138">
        <f>'Expenditures 15-22'!D247</f>
        <v>18585</v>
      </c>
      <c r="D2725" s="2" t="str">
        <f t="shared" si="41"/>
        <v>Error?</v>
      </c>
    </row>
    <row r="2726" spans="1:4" x14ac:dyDescent="0.2">
      <c r="A2726" s="5">
        <v>2665</v>
      </c>
      <c r="B2726" s="138">
        <f>'Expenditures 15-22'!K247</f>
        <v>18585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162</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162</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2068234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7474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7670957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112923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7474</v>
      </c>
      <c r="D2908" s="2" t="str">
        <f t="shared" si="44"/>
        <v>Error?</v>
      </c>
    </row>
    <row r="2909" spans="1:4" x14ac:dyDescent="0.2">
      <c r="A2909" s="10">
        <v>2848</v>
      </c>
      <c r="D2909" s="2" t="str">
        <f t="shared" si="44"/>
        <v>OK</v>
      </c>
    </row>
    <row r="2910" spans="1:4" x14ac:dyDescent="0.2">
      <c r="A2910" s="5">
        <v>2849</v>
      </c>
      <c r="B2910" s="138">
        <f>'Assets-Liab 5-6'!I34</f>
        <v>7474</v>
      </c>
      <c r="C2910" s="2" t="s">
        <v>573</v>
      </c>
      <c r="D2910" s="2" t="str">
        <f t="shared" si="44"/>
        <v>Error?</v>
      </c>
    </row>
    <row r="2911" spans="1:4" x14ac:dyDescent="0.2">
      <c r="A2911" s="5">
        <v>2850</v>
      </c>
      <c r="B2911" s="138">
        <f>'Assets-Liab 5-6'!I38</f>
        <v>7663483</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7670957</v>
      </c>
      <c r="C2913" s="2" t="s">
        <v>573</v>
      </c>
      <c r="D2913" s="2" t="str">
        <f t="shared" si="44"/>
        <v>Error?</v>
      </c>
    </row>
    <row r="2914" spans="1:4" x14ac:dyDescent="0.2">
      <c r="A2914" s="5">
        <v>2853</v>
      </c>
      <c r="B2914" s="138">
        <f>'Assets-Liab 5-6'!L33</f>
        <v>112923</v>
      </c>
      <c r="D2914" s="2" t="str">
        <f t="shared" si="44"/>
        <v>Error?</v>
      </c>
    </row>
    <row r="2915" spans="1:4" x14ac:dyDescent="0.2">
      <c r="A2915" s="10">
        <v>2854</v>
      </c>
      <c r="D2915" s="2" t="str">
        <f t="shared" si="44"/>
        <v>OK</v>
      </c>
    </row>
    <row r="2916" spans="1:4" x14ac:dyDescent="0.2">
      <c r="A2916" s="5">
        <v>2855</v>
      </c>
      <c r="B2916" s="138">
        <f>'Assets-Liab 5-6'!L34</f>
        <v>112923</v>
      </c>
      <c r="C2916" s="2" t="s">
        <v>573</v>
      </c>
      <c r="D2916" s="2" t="str">
        <f t="shared" si="44"/>
        <v>Error?</v>
      </c>
    </row>
    <row r="2917" spans="1:4" x14ac:dyDescent="0.2">
      <c r="A2917" s="5">
        <v>2856</v>
      </c>
      <c r="B2917" s="138">
        <f>'Assets-Liab 5-6'!L41</f>
        <v>112923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1060509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3303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1060509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3303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266246</v>
      </c>
      <c r="D3055" s="2" t="str">
        <f t="shared" si="46"/>
        <v>Error?</v>
      </c>
    </row>
    <row r="3056" spans="1:4" x14ac:dyDescent="0.2">
      <c r="A3056" s="5">
        <v>2995</v>
      </c>
      <c r="B3056" s="138">
        <f>'Expenditures 15-22'!D10</f>
        <v>353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91196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357795</v>
      </c>
      <c r="C3062" s="2" t="s">
        <v>573</v>
      </c>
      <c r="D3062" s="2" t="str">
        <f t="shared" si="46"/>
        <v>Error?</v>
      </c>
    </row>
    <row r="3063" spans="1:4" x14ac:dyDescent="0.2">
      <c r="A3063" s="10">
        <v>3002</v>
      </c>
      <c r="D3063" s="2" t="str">
        <f t="shared" si="46"/>
        <v>OK</v>
      </c>
    </row>
    <row r="3064" spans="1:4" x14ac:dyDescent="0.2">
      <c r="A3064" s="5">
        <v>3003</v>
      </c>
      <c r="B3064" s="138">
        <f>'Expenditures 15-22'!D219</f>
        <v>68079</v>
      </c>
      <c r="D3064" s="2" t="str">
        <f t="shared" si="46"/>
        <v>Error?</v>
      </c>
    </row>
    <row r="3065" spans="1:4" x14ac:dyDescent="0.2">
      <c r="A3065" s="5">
        <v>3004</v>
      </c>
      <c r="B3065" s="138">
        <f>'Expenditures 15-22'!K219</f>
        <v>68079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130527</v>
      </c>
      <c r="C3225" s="2" t="s">
        <v>573</v>
      </c>
      <c r="D3225" s="2" t="str">
        <f t="shared" si="49"/>
        <v>Error?</v>
      </c>
    </row>
    <row r="3226" spans="1:4" x14ac:dyDescent="0.2">
      <c r="A3226" s="5">
        <v>3165</v>
      </c>
      <c r="B3226" s="138">
        <f>'Acct Summary 7-8'!I8</f>
        <v>130527</v>
      </c>
      <c r="C3226" s="2" t="s">
        <v>573</v>
      </c>
      <c r="D3226" s="2" t="str">
        <f t="shared" si="49"/>
        <v>Error?</v>
      </c>
    </row>
    <row r="3227" spans="1:4" x14ac:dyDescent="0.2">
      <c r="A3227" s="5">
        <v>3166</v>
      </c>
      <c r="B3227" s="138">
        <f>'Acct Summary 7-8'!I20</f>
        <v>130527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3086544</v>
      </c>
      <c r="C3231" s="2" t="s">
        <v>573</v>
      </c>
      <c r="D3231" s="2" t="str">
        <f t="shared" si="49"/>
        <v>Error?</v>
      </c>
    </row>
    <row r="3232" spans="1:4" x14ac:dyDescent="0.2">
      <c r="A3232" s="5">
        <v>3171</v>
      </c>
      <c r="B3232" s="138">
        <f>'Acct Summary 7-8'!C77</f>
        <v>-3086544</v>
      </c>
      <c r="C3232" s="2" t="s">
        <v>573</v>
      </c>
      <c r="D3232" s="2" t="str">
        <f t="shared" si="49"/>
        <v>Error?</v>
      </c>
    </row>
    <row r="3233" spans="1:4" x14ac:dyDescent="0.2">
      <c r="A3233" s="5">
        <v>3172</v>
      </c>
      <c r="B3233" s="138">
        <f>'Acct Summary 7-8'!C78</f>
        <v>290562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265707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-389174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-548226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86544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86544</v>
      </c>
      <c r="C3277" s="2" t="s">
        <v>573</v>
      </c>
      <c r="D3277" s="2" t="str">
        <f t="shared" si="50"/>
        <v>Error?</v>
      </c>
    </row>
    <row r="3278" spans="1:4" x14ac:dyDescent="0.2">
      <c r="A3278" s="5">
        <v>3217</v>
      </c>
      <c r="B3278" s="138">
        <f>'Acct Summary 7-8'!E78</f>
        <v>314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3000000</v>
      </c>
      <c r="C3299" s="2" t="s">
        <v>573</v>
      </c>
      <c r="D3299" s="2" t="str">
        <f t="shared" si="50"/>
        <v>Error?</v>
      </c>
    </row>
    <row r="3300" spans="1:4" x14ac:dyDescent="0.2">
      <c r="A3300" s="5">
        <v>3239</v>
      </c>
      <c r="B3300" s="138">
        <f>'Acct Summary 7-8'!H78</f>
        <v>-2501107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130527</v>
      </c>
      <c r="C3320" s="2" t="s">
        <v>573</v>
      </c>
      <c r="D3320" s="2" t="str">
        <f t="shared" si="50"/>
        <v>Error?</v>
      </c>
    </row>
    <row r="3321" spans="1:4" x14ac:dyDescent="0.2">
      <c r="A3321" s="5">
        <v>3260</v>
      </c>
      <c r="B3321" s="138">
        <f>'Acct Summary 7-8'!I79</f>
        <v>7532956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7663483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3121627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413048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20576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32668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3588578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178236</v>
      </c>
      <c r="D3387" s="2" t="str">
        <f t="shared" si="51"/>
        <v>Error?</v>
      </c>
    </row>
    <row r="3388" spans="1:4" x14ac:dyDescent="0.2">
      <c r="A3388" s="5">
        <v>3327</v>
      </c>
      <c r="B3388" s="138">
        <f>'Expenditures 15-22'!D217</f>
        <v>258990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178236</v>
      </c>
      <c r="C3390" s="2" t="s">
        <v>573</v>
      </c>
      <c r="D3390" s="2" t="str">
        <f t="shared" si="51"/>
        <v>Error?</v>
      </c>
    </row>
    <row r="3391" spans="1:4" x14ac:dyDescent="0.2">
      <c r="A3391" s="5">
        <v>3330</v>
      </c>
      <c r="B3391" s="138">
        <f>'Expenditures 15-22'!K217</f>
        <v>258990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44851558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5270354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17763</v>
      </c>
      <c r="D3417" s="2" t="str">
        <f t="shared" si="52"/>
        <v>Error?</v>
      </c>
    </row>
    <row r="3418" spans="1:4" x14ac:dyDescent="0.2">
      <c r="A3418" s="10">
        <v>3357</v>
      </c>
      <c r="D3418" s="2" t="str">
        <f t="shared" si="52"/>
        <v>OK</v>
      </c>
    </row>
    <row r="3419" spans="1:4" x14ac:dyDescent="0.2">
      <c r="A3419" s="5">
        <v>3358</v>
      </c>
      <c r="B3419" s="138">
        <f>'Assets-Liab 5-6'!F4</f>
        <v>2552238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1458929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6771198</v>
      </c>
      <c r="D3425" s="2" t="str">
        <f t="shared" si="52"/>
        <v>Error?</v>
      </c>
    </row>
    <row r="3426" spans="1:4" x14ac:dyDescent="0.2">
      <c r="A3426" s="10">
        <v>3365</v>
      </c>
      <c r="D3426" s="2" t="str">
        <f t="shared" si="52"/>
        <v>OK</v>
      </c>
    </row>
    <row r="3427" spans="1:4" x14ac:dyDescent="0.2">
      <c r="A3427" s="5">
        <v>3366</v>
      </c>
      <c r="B3427" s="138">
        <f>'Assets-Liab 5-6'!I4</f>
        <v>7663483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112923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-428685</v>
      </c>
      <c r="C3447" s="2" t="s">
        <v>573</v>
      </c>
      <c r="D3447" s="2" t="str">
        <f t="shared" si="52"/>
        <v>Error?</v>
      </c>
    </row>
    <row r="3448" spans="1:4" x14ac:dyDescent="0.2">
      <c r="A3448" s="5">
        <v>3387</v>
      </c>
      <c r="B3448" s="138">
        <f>'Tax Sched 23'!C16</f>
        <v>428685</v>
      </c>
      <c r="D3448" s="2" t="str">
        <f t="shared" si="52"/>
        <v>Error?</v>
      </c>
    </row>
    <row r="3449" spans="1:4" x14ac:dyDescent="0.2">
      <c r="A3449" s="5">
        <v>3388</v>
      </c>
      <c r="B3449" s="138">
        <f>'Tax Sched 23'!F16</f>
        <v>413955</v>
      </c>
      <c r="C3449" s="2" t="s">
        <v>573</v>
      </c>
      <c r="D3449" s="2" t="str">
        <f t="shared" si="52"/>
        <v>Error?</v>
      </c>
    </row>
    <row r="3450" spans="1:4" x14ac:dyDescent="0.2">
      <c r="A3450" s="5">
        <v>3389</v>
      </c>
      <c r="B3450" s="138">
        <f>'Tax Sched 23'!E16</f>
        <v>842640</v>
      </c>
      <c r="D3450" s="2" t="str">
        <f t="shared" si="52"/>
        <v>Error?</v>
      </c>
    </row>
    <row r="3451" spans="1:4" x14ac:dyDescent="0.2">
      <c r="A3451" s="5">
        <v>3390</v>
      </c>
      <c r="B3451" s="138">
        <f>'Cap Outlay Deprec 26'!C15</f>
        <v>71915</v>
      </c>
      <c r="D3451" s="2" t="str">
        <f t="shared" si="52"/>
        <v>Error?</v>
      </c>
    </row>
    <row r="3452" spans="1:4" x14ac:dyDescent="0.2">
      <c r="A3452" s="5">
        <v>3391</v>
      </c>
      <c r="B3452" s="138">
        <f>'Cap Outlay Deprec 26'!D15</f>
        <v>2068234</v>
      </c>
      <c r="D3452" s="2" t="str">
        <f t="shared" si="52"/>
        <v>Error?</v>
      </c>
    </row>
    <row r="3453" spans="1:4" x14ac:dyDescent="0.2">
      <c r="A3453" s="5">
        <v>3392</v>
      </c>
      <c r="B3453" s="138">
        <f>'Cap Outlay Deprec 26'!E15</f>
        <v>71915</v>
      </c>
      <c r="D3453" s="2" t="str">
        <f t="shared" si="52"/>
        <v>Error?</v>
      </c>
    </row>
    <row r="3454" spans="1:4" x14ac:dyDescent="0.2">
      <c r="A3454" s="5">
        <v>3393</v>
      </c>
      <c r="B3454" s="138">
        <f>'Cap Outlay Deprec 26'!F15</f>
        <v>2068234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2068234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433903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15559131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54596116</v>
      </c>
      <c r="C4122" s="2" t="s">
        <v>573</v>
      </c>
      <c r="D4122" s="2" t="str">
        <f t="shared" si="63"/>
        <v>Error?</v>
      </c>
    </row>
    <row r="4123" spans="1:4" x14ac:dyDescent="0.2">
      <c r="A4123" s="5">
        <v>4062</v>
      </c>
      <c r="B4123" s="138">
        <f>'Acct Summary 7-8'!D10</f>
        <v>3163754</v>
      </c>
      <c r="C4123" s="2" t="s">
        <v>573</v>
      </c>
      <c r="D4123" s="2" t="str">
        <f t="shared" si="63"/>
        <v>Error?</v>
      </c>
    </row>
    <row r="4124" spans="1:4" x14ac:dyDescent="0.2">
      <c r="A4124" s="5">
        <v>4063</v>
      </c>
      <c r="B4124" s="138">
        <f>'Acct Summary 7-8'!E10</f>
        <v>314</v>
      </c>
      <c r="C4124" s="2" t="s">
        <v>573</v>
      </c>
      <c r="D4124" s="2" t="str">
        <f t="shared" si="63"/>
        <v>Error?</v>
      </c>
    </row>
    <row r="4125" spans="1:4" x14ac:dyDescent="0.2">
      <c r="A4125" s="5">
        <v>4064</v>
      </c>
      <c r="B4125" s="138">
        <f>'Acct Summary 7-8'!F10</f>
        <v>2100161</v>
      </c>
      <c r="C4125" s="2" t="s">
        <v>573</v>
      </c>
      <c r="D4125" s="2" t="str">
        <f t="shared" si="63"/>
        <v>Error?</v>
      </c>
    </row>
    <row r="4126" spans="1:4" x14ac:dyDescent="0.2">
      <c r="A4126" s="5">
        <v>4065</v>
      </c>
      <c r="B4126" s="138">
        <f>'Acct Summary 7-8'!G10</f>
        <v>975117</v>
      </c>
      <c r="C4126" s="2" t="s">
        <v>573</v>
      </c>
      <c r="D4126" s="2" t="str">
        <f t="shared" si="63"/>
        <v>Error?</v>
      </c>
    </row>
    <row r="4127" spans="1:4" x14ac:dyDescent="0.2">
      <c r="A4127" s="5">
        <v>4066</v>
      </c>
      <c r="B4127" s="138">
        <f>'Acct Summary 7-8'!H10</f>
        <v>179286</v>
      </c>
      <c r="C4127" s="2" t="s">
        <v>573</v>
      </c>
      <c r="D4127" s="2" t="str">
        <f t="shared" si="63"/>
        <v>Error?</v>
      </c>
    </row>
    <row r="4128" spans="1:4" x14ac:dyDescent="0.2">
      <c r="A4128" s="5">
        <v>4067</v>
      </c>
      <c r="B4128" s="138">
        <f>'Acct Summary 7-8'!I10</f>
        <v>130527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15559131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51219010</v>
      </c>
      <c r="C4136" s="2" t="s">
        <v>573</v>
      </c>
      <c r="D4136" s="2" t="str">
        <f t="shared" si="63"/>
        <v>Error?</v>
      </c>
    </row>
    <row r="4137" spans="1:4" x14ac:dyDescent="0.2">
      <c r="A4137" s="5">
        <v>4076</v>
      </c>
      <c r="B4137" s="138">
        <f>'Acct Summary 7-8'!D19</f>
        <v>2898047</v>
      </c>
      <c r="C4137" s="2" t="s">
        <v>573</v>
      </c>
      <c r="D4137" s="2" t="str">
        <f t="shared" si="63"/>
        <v>Error?</v>
      </c>
    </row>
    <row r="4138" spans="1:4" x14ac:dyDescent="0.2">
      <c r="A4138" s="5">
        <v>4077</v>
      </c>
      <c r="B4138" s="138">
        <f>'Acct Summary 7-8'!E19</f>
        <v>86544</v>
      </c>
      <c r="C4138" s="2" t="s">
        <v>573</v>
      </c>
      <c r="D4138" s="2" t="str">
        <f t="shared" si="63"/>
        <v>Error?</v>
      </c>
    </row>
    <row r="4139" spans="1:4" x14ac:dyDescent="0.2">
      <c r="A4139" s="5">
        <v>4078</v>
      </c>
      <c r="B4139" s="138">
        <f>'Acct Summary 7-8'!F19</f>
        <v>2489335</v>
      </c>
      <c r="C4139" s="2" t="s">
        <v>573</v>
      </c>
      <c r="D4139" s="2" t="str">
        <f t="shared" si="63"/>
        <v>Error?</v>
      </c>
    </row>
    <row r="4140" spans="1:4" x14ac:dyDescent="0.2">
      <c r="A4140" s="5">
        <v>4079</v>
      </c>
      <c r="B4140" s="138">
        <f>'Acct Summary 7-8'!G19</f>
        <v>1523343</v>
      </c>
      <c r="C4140" s="2" t="s">
        <v>573</v>
      </c>
      <c r="D4140" s="2" t="str">
        <f t="shared" si="63"/>
        <v>Error?</v>
      </c>
    </row>
    <row r="4141" spans="1:4" x14ac:dyDescent="0.2">
      <c r="A4141" s="5">
        <v>4080</v>
      </c>
      <c r="B4141" s="138">
        <f>'Acct Summary 7-8'!H19</f>
        <v>5680393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346176</v>
      </c>
      <c r="C4171" s="2" t="s">
        <v>573</v>
      </c>
      <c r="D4171" s="2" t="str">
        <f t="shared" si="64"/>
        <v>Error?</v>
      </c>
    </row>
    <row r="4172" spans="1:4" x14ac:dyDescent="0.2">
      <c r="A4172" s="5">
        <v>4111</v>
      </c>
      <c r="B4172" s="138">
        <f>'Short-Term Long-Term Debt 24'!J49</f>
        <v>328413</v>
      </c>
      <c r="C4172" s="2" t="s">
        <v>573</v>
      </c>
      <c r="D4172" s="2" t="str">
        <f t="shared" si="64"/>
        <v>Error?</v>
      </c>
    </row>
    <row r="4173" spans="1:4" x14ac:dyDescent="0.2">
      <c r="A4173" s="5">
        <v>4112</v>
      </c>
      <c r="B4173" s="138">
        <f>'Short-Term Long-Term Debt 24'!H49</f>
        <v>86544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3396.4</v>
      </c>
      <c r="C4265" s="2" t="s">
        <v>573</v>
      </c>
      <c r="D4265" s="2" t="str">
        <f t="shared" si="65"/>
        <v>Error?</v>
      </c>
      <c r="E4265" s="128"/>
    </row>
    <row r="4266" spans="1:5" x14ac:dyDescent="0.2">
      <c r="A4266" s="12">
        <v>4205</v>
      </c>
      <c r="B4266" s="138">
        <f>('FP Info 3'!F10)*100000</f>
        <v>469</v>
      </c>
      <c r="C4266" s="2" t="s">
        <v>573</v>
      </c>
      <c r="D4266" s="2" t="str">
        <f t="shared" si="65"/>
        <v>Error?</v>
      </c>
      <c r="E4266" s="128"/>
    </row>
    <row r="4267" spans="1:5" x14ac:dyDescent="0.2">
      <c r="A4267" s="12">
        <v>4206</v>
      </c>
      <c r="B4267" s="138">
        <f>('FP Info 3'!H10)*100000</f>
        <v>117.3</v>
      </c>
      <c r="C4267" s="2" t="s">
        <v>573</v>
      </c>
      <c r="D4267" s="2" t="str">
        <f t="shared" si="65"/>
        <v>Error?</v>
      </c>
      <c r="E4267" s="128"/>
    </row>
    <row r="4268" spans="1:5" x14ac:dyDescent="0.2">
      <c r="A4268" s="12">
        <v>4207</v>
      </c>
      <c r="B4268" s="138">
        <f>('FP Info 3'!J10)*100000</f>
        <v>3982.9999999999995</v>
      </c>
      <c r="C4268" s="2" t="s">
        <v>573</v>
      </c>
      <c r="D4268" s="2" t="str">
        <f t="shared" si="65"/>
        <v>Error?</v>
      </c>
    </row>
    <row r="4269" spans="1:5" x14ac:dyDescent="0.2">
      <c r="A4269" s="12">
        <v>4208</v>
      </c>
      <c r="B4269" s="138">
        <f>'FP Info 3'!J16</f>
        <v>56766726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32222</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58080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363723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33175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55209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81309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845175156</v>
      </c>
      <c r="D4995" s="2" t="str">
        <f t="shared" si="77"/>
        <v>Error?</v>
      </c>
    </row>
    <row r="4996" spans="1:4" x14ac:dyDescent="0.2">
      <c r="A4996" s="12">
        <v>4935</v>
      </c>
      <c r="B4996" s="138">
        <f>'FP Info 3'!H31</f>
        <v>58317085.764000006</v>
      </c>
      <c r="D4996" s="2" t="str">
        <f t="shared" si="77"/>
        <v>Error?</v>
      </c>
    </row>
    <row r="4997" spans="1:4" x14ac:dyDescent="0.2">
      <c r="A4997" s="12">
        <v>4936</v>
      </c>
      <c r="B4997" s="138">
        <f>'FP Info 3'!H37</f>
        <v>346176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27526133</v>
      </c>
      <c r="D5061" s="2" t="str">
        <f t="shared" si="78"/>
        <v>Error?</v>
      </c>
    </row>
    <row r="5062" spans="1:4" x14ac:dyDescent="0.2">
      <c r="A5062" s="10">
        <v>5001</v>
      </c>
      <c r="D5062" s="2" t="str">
        <f t="shared" si="78"/>
        <v>OK</v>
      </c>
    </row>
    <row r="5063" spans="1:4" x14ac:dyDescent="0.2">
      <c r="A5063" s="5">
        <v>5002</v>
      </c>
      <c r="B5063" s="138">
        <f>'Revenues 9-14'!C7</f>
        <v>2888328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30414461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595690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595690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10049</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204392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15280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15280</v>
      </c>
      <c r="C5102" s="2" t="s">
        <v>573</v>
      </c>
      <c r="D5102" s="2" t="str">
        <f t="shared" si="78"/>
        <v>Error?</v>
      </c>
    </row>
    <row r="5103" spans="1:4" x14ac:dyDescent="0.2">
      <c r="A5103" s="5">
        <v>5042</v>
      </c>
      <c r="B5103" s="138">
        <f>'Revenues 9-14'!C84</f>
        <v>226667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784</v>
      </c>
      <c r="D5111" s="2" t="str">
        <f t="shared" si="78"/>
        <v>Error?</v>
      </c>
    </row>
    <row r="5112" spans="1:4" x14ac:dyDescent="0.2">
      <c r="A5112" s="5">
        <v>5051</v>
      </c>
      <c r="B5112" s="138">
        <f>'Revenues 9-14'!C93</f>
        <v>227451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64775</v>
      </c>
      <c r="D5116" s="2" t="str">
        <f t="shared" si="78"/>
        <v>Error?</v>
      </c>
    </row>
    <row r="5117" spans="1:4" x14ac:dyDescent="0.2">
      <c r="A5117" s="5">
        <v>5056</v>
      </c>
      <c r="B5117" s="138">
        <f>'Revenues 9-14'!C105</f>
        <v>7657</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106420</v>
      </c>
      <c r="D5119" s="2" t="str">
        <f t="shared" ref="D5119:D5182" si="79">IF(ISBLANK(B5119),"OK",IF(A5119-B5119=0,"OK","Error?"))</f>
        <v>Error?</v>
      </c>
    </row>
    <row r="5120" spans="1:4" x14ac:dyDescent="0.2">
      <c r="A5120" s="5">
        <v>5059</v>
      </c>
      <c r="B5120" s="138">
        <f>'Revenues 9-14'!C108</f>
        <v>199352</v>
      </c>
      <c r="C5120" s="2" t="s">
        <v>573</v>
      </c>
      <c r="D5120" s="2" t="str">
        <f t="shared" si="79"/>
        <v>Error?</v>
      </c>
    </row>
    <row r="5121" spans="1:4" x14ac:dyDescent="0.2">
      <c r="A5121" s="5">
        <v>5060</v>
      </c>
      <c r="B5121" s="138">
        <f>'Revenues 9-14'!C109</f>
        <v>31656626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4259012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4259012</v>
      </c>
      <c r="C5132" s="2" t="s">
        <v>573</v>
      </c>
      <c r="D5132" s="2" t="str">
        <f t="shared" si="79"/>
        <v>Error?</v>
      </c>
    </row>
    <row r="5133" spans="1:4" x14ac:dyDescent="0.2">
      <c r="A5133" s="5">
        <v>5072</v>
      </c>
      <c r="B5133" s="138">
        <f>'Revenues 9-14'!C125</f>
        <v>274996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14308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289304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8967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689203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987474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5246486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393892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78098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471990</v>
      </c>
      <c r="C5246" s="2" t="s">
        <v>573</v>
      </c>
      <c r="D5246" s="2" t="str">
        <f t="shared" si="80"/>
        <v>Error?</v>
      </c>
    </row>
    <row r="5247" spans="1:4" x14ac:dyDescent="0.2">
      <c r="A5247" s="5">
        <v>5186</v>
      </c>
      <c r="B5247" s="138">
        <f>'Revenues 9-14'!C200</f>
        <v>325534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33175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357756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23491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652551</v>
      </c>
      <c r="D5278" s="2" t="str">
        <f t="shared" si="81"/>
        <v>Error?</v>
      </c>
    </row>
    <row r="5279" spans="1:4" x14ac:dyDescent="0.2">
      <c r="A5279" s="5">
        <v>5218</v>
      </c>
      <c r="B5279" s="138">
        <f>'Revenues 9-14'!C214</f>
        <v>30611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706653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5978</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2133873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2133873</v>
      </c>
      <c r="C5326" s="2" t="s">
        <v>573</v>
      </c>
      <c r="D5326" s="2" t="str">
        <f t="shared" si="82"/>
        <v>Error?</v>
      </c>
    </row>
    <row r="5327" spans="1:5" x14ac:dyDescent="0.2">
      <c r="A5327" s="5">
        <v>5266</v>
      </c>
      <c r="B5327" s="138">
        <f>'Revenues 9-14'!C268</f>
        <v>39036985</v>
      </c>
      <c r="C5327" s="2" t="s">
        <v>573</v>
      </c>
      <c r="D5327" s="2" t="str">
        <f t="shared" si="82"/>
        <v>Error?</v>
      </c>
    </row>
    <row r="5328" spans="1:5" x14ac:dyDescent="0.2">
      <c r="A5328" s="5">
        <v>5267</v>
      </c>
      <c r="B5328" s="138">
        <f>'Revenues 9-14'!D5</f>
        <v>2915691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2915691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126651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126651</v>
      </c>
      <c r="C5339" s="2" t="s">
        <v>573</v>
      </c>
      <c r="D5339" s="2" t="str">
        <f t="shared" si="82"/>
        <v>Error?</v>
      </c>
    </row>
    <row r="5340" spans="1:4" x14ac:dyDescent="0.2">
      <c r="A5340" s="5">
        <v>5279</v>
      </c>
      <c r="B5340" s="138">
        <f>'Revenues 9-14'!D65</f>
        <v>82462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82462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513</v>
      </c>
      <c r="D5349" s="2" t="str">
        <f t="shared" si="82"/>
        <v>Error?</v>
      </c>
    </row>
    <row r="5350" spans="1:4" x14ac:dyDescent="0.2">
      <c r="A5350" s="5">
        <v>5289</v>
      </c>
      <c r="B5350" s="138">
        <f>'Revenues 9-14'!D96</f>
        <v>8183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30254</v>
      </c>
      <c r="D5354" s="2" t="str">
        <f t="shared" si="82"/>
        <v>Error?</v>
      </c>
    </row>
    <row r="5355" spans="1:4" x14ac:dyDescent="0.2">
      <c r="A5355" s="5">
        <v>5294</v>
      </c>
      <c r="B5355" s="138">
        <f>'Revenues 9-14'!D108</f>
        <v>38950</v>
      </c>
      <c r="C5355" s="2" t="s">
        <v>573</v>
      </c>
      <c r="D5355" s="2" t="str">
        <f t="shared" si="82"/>
        <v>Error?</v>
      </c>
    </row>
    <row r="5356" spans="1:4" x14ac:dyDescent="0.2">
      <c r="A5356" s="5">
        <v>5295</v>
      </c>
      <c r="B5356" s="138">
        <f>'Revenues 9-14'!D109</f>
        <v>3163754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3163754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314</v>
      </c>
      <c r="C5552" s="2" t="s">
        <v>573</v>
      </c>
      <c r="D5552" s="2" t="str">
        <f t="shared" si="85"/>
        <v>Error?</v>
      </c>
    </row>
    <row r="5553" spans="1:4" x14ac:dyDescent="0.2">
      <c r="A5553" s="5">
        <v>5492</v>
      </c>
      <c r="B5553" s="138">
        <f>'Revenues 9-14'!F5</f>
        <v>1129205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1129205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1039</v>
      </c>
      <c r="D5563" s="2" t="str">
        <f t="shared" si="85"/>
        <v>Error?</v>
      </c>
    </row>
    <row r="5564" spans="1:4" x14ac:dyDescent="0.2">
      <c r="A5564" s="5">
        <v>5503</v>
      </c>
      <c r="B5564" s="138">
        <f>'Revenues 9-14'!F43</f>
        <v>118139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119178</v>
      </c>
      <c r="C5579" s="2" t="s">
        <v>573</v>
      </c>
      <c r="D5579" s="2" t="str">
        <f t="shared" si="86"/>
        <v>Error?</v>
      </c>
    </row>
    <row r="5580" spans="1:4" x14ac:dyDescent="0.2">
      <c r="A5580" s="5">
        <v>5519</v>
      </c>
      <c r="B5580" s="138">
        <f>'Revenues 9-14'!F65</f>
        <v>41712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41712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1290095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391132</v>
      </c>
      <c r="D5615" s="2" t="str">
        <f t="shared" si="86"/>
        <v>Error?</v>
      </c>
    </row>
    <row r="5616" spans="1:4" x14ac:dyDescent="0.2">
      <c r="A5616" s="10">
        <v>5555</v>
      </c>
      <c r="D5616" s="2" t="str">
        <f t="shared" si="86"/>
        <v>OK</v>
      </c>
    </row>
    <row r="5617" spans="1:5" x14ac:dyDescent="0.2">
      <c r="A5617" s="5">
        <v>5556</v>
      </c>
      <c r="B5617" s="138">
        <f>'Revenues 9-14'!F153</f>
        <v>418934</v>
      </c>
      <c r="D5617" s="2" t="str">
        <f t="shared" si="86"/>
        <v>Error?</v>
      </c>
    </row>
    <row r="5618" spans="1:5" x14ac:dyDescent="0.2">
      <c r="A5618" s="5">
        <v>5557</v>
      </c>
      <c r="B5618" s="138">
        <f>'Revenues 9-14'!F155</f>
        <v>810066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810066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810066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2100161</v>
      </c>
      <c r="C5720" s="2" t="s">
        <v>573</v>
      </c>
      <c r="D5720" s="2" t="str">
        <f t="shared" si="88"/>
        <v>Error?</v>
      </c>
    </row>
    <row r="5721" spans="1:4" x14ac:dyDescent="0.2">
      <c r="A5721" s="5">
        <v>5660</v>
      </c>
      <c r="B5721" s="138">
        <f>'Revenues 9-14'!G5</f>
        <v>847985</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847985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16000</v>
      </c>
      <c r="C5730" s="2" t="s">
        <v>573</v>
      </c>
      <c r="D5730" s="2" t="str">
        <f t="shared" si="88"/>
        <v>Error?</v>
      </c>
    </row>
    <row r="5731" spans="1:4" x14ac:dyDescent="0.2">
      <c r="A5731" s="5">
        <v>5670</v>
      </c>
      <c r="B5731" s="138">
        <f>'Revenues 9-14'!G65</f>
        <v>17770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17770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29438</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29438</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29438</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63924</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63924</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63924</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63924</v>
      </c>
      <c r="C5869" s="2" t="s">
        <v>573</v>
      </c>
      <c r="D5869" s="2" t="str">
        <f t="shared" si="90"/>
        <v>Error?</v>
      </c>
    </row>
    <row r="5870" spans="1:4" x14ac:dyDescent="0.2">
      <c r="A5870" s="5">
        <v>5809</v>
      </c>
      <c r="B5870" s="138">
        <f>'Revenues 9-14'!G268</f>
        <v>975117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107160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107160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72126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179286</v>
      </c>
      <c r="C5915" s="2" t="s">
        <v>573</v>
      </c>
      <c r="D5915" s="2" t="str">
        <f t="shared" si="91"/>
        <v>Error?</v>
      </c>
    </row>
    <row r="5916" spans="1:4" x14ac:dyDescent="0.2">
      <c r="A5916" s="5">
        <v>5855</v>
      </c>
      <c r="B5916" s="138">
        <f>'Revenues 9-14'!I5</f>
        <v>15361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15361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115166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115166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130527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881755</v>
      </c>
      <c r="C6024" s="2" t="s">
        <v>573</v>
      </c>
      <c r="D6024" s="2" t="str">
        <f t="shared" si="93"/>
        <v>Error?</v>
      </c>
    </row>
    <row r="6025" spans="1:5" x14ac:dyDescent="0.2">
      <c r="A6025" s="5">
        <v>5964</v>
      </c>
      <c r="B6025" s="138">
        <f>'Revenues 9-14'!H109</f>
        <v>179286</v>
      </c>
      <c r="C6025" s="2" t="s">
        <v>573</v>
      </c>
      <c r="D6025" s="2" t="str">
        <f t="shared" si="93"/>
        <v>Error?</v>
      </c>
    </row>
    <row r="6026" spans="1:5" x14ac:dyDescent="0.2">
      <c r="A6026" s="5">
        <v>5965</v>
      </c>
      <c r="B6026" s="138">
        <f>'Revenues 9-14'!I109</f>
        <v>130527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194343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52783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2859.9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413370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174795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377692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272503</v>
      </c>
      <c r="D6142" s="2" t="str">
        <f t="shared" si="94"/>
        <v>Error?</v>
      </c>
      <c r="E6142" s="2" t="s">
        <v>190</v>
      </c>
    </row>
    <row r="6143" spans="1:5" x14ac:dyDescent="0.2">
      <c r="A6143">
        <v>6082</v>
      </c>
      <c r="B6143" s="138">
        <f>'Assets-Liab 5-6'!D27</f>
        <v>53369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1624398</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3522251</v>
      </c>
      <c r="D6169" s="2" t="str">
        <f t="shared" si="95"/>
        <v>Error?</v>
      </c>
      <c r="E6169" s="2" t="s">
        <v>190</v>
      </c>
    </row>
    <row r="6170" spans="1:5" x14ac:dyDescent="0.2">
      <c r="A6170">
        <v>6109</v>
      </c>
      <c r="B6170" s="138">
        <f>'Assets-Liab 5-6'!D30</f>
        <v>44495</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195144</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195144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182548</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377692</v>
      </c>
      <c r="D6216" s="2" t="str">
        <f t="shared" si="96"/>
        <v>Error?</v>
      </c>
      <c r="E6216" s="2" t="s">
        <v>190</v>
      </c>
    </row>
    <row r="6217" spans="1:5" x14ac:dyDescent="0.2">
      <c r="A6217">
        <v>6156</v>
      </c>
      <c r="B6217" s="138">
        <f>'Assets-Liab 5-6'!J4</f>
        <v>182548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195144</v>
      </c>
      <c r="D6219" s="2" t="str">
        <f t="shared" si="96"/>
        <v>Error?</v>
      </c>
      <c r="E6219" s="2" t="s">
        <v>190</v>
      </c>
    </row>
    <row r="6220" spans="1:5" x14ac:dyDescent="0.2">
      <c r="A6220">
        <v>6159</v>
      </c>
      <c r="B6220" s="138">
        <f>'Acct Summary 7-8'!J4</f>
        <v>199999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199999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199999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261475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261475</v>
      </c>
      <c r="D6229" s="2" t="str">
        <f t="shared" si="96"/>
        <v>Error?</v>
      </c>
      <c r="E6229" s="2" t="s">
        <v>190</v>
      </c>
    </row>
    <row r="6230" spans="1:5" x14ac:dyDescent="0.2">
      <c r="A6230">
        <v>6169</v>
      </c>
      <c r="B6230" s="138">
        <f>'Acct Summary 7-8'!J20</f>
        <v>-61476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86544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-61476</v>
      </c>
      <c r="D6263" s="2" t="str">
        <f t="shared" si="96"/>
        <v>Error?</v>
      </c>
      <c r="E6263" s="2" t="s">
        <v>190</v>
      </c>
    </row>
    <row r="6264" spans="1:5" x14ac:dyDescent="0.2">
      <c r="A6264">
        <v>6203</v>
      </c>
      <c r="B6264" s="138">
        <f>'Acct Summary 7-8'!J79</f>
        <v>244024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182548</v>
      </c>
      <c r="D6266" s="2" t="str">
        <f t="shared" si="96"/>
        <v>Error?</v>
      </c>
      <c r="E6266" s="2" t="s">
        <v>190</v>
      </c>
    </row>
    <row r="6267" spans="1:5" x14ac:dyDescent="0.2">
      <c r="A6267">
        <v>6206</v>
      </c>
      <c r="B6267" s="138">
        <f>'Acct Summary 7-8'!C82</f>
        <v>290562</v>
      </c>
      <c r="D6267" s="2" t="str">
        <f t="shared" si="96"/>
        <v>Error?</v>
      </c>
      <c r="E6267" s="2" t="s">
        <v>190</v>
      </c>
    </row>
    <row r="6268" spans="1:5" x14ac:dyDescent="0.2">
      <c r="A6268">
        <v>6207</v>
      </c>
      <c r="B6268" s="138">
        <f>'Acct Summary 7-8'!D82</f>
        <v>265707</v>
      </c>
      <c r="D6268" s="2" t="str">
        <f t="shared" si="96"/>
        <v>Error?</v>
      </c>
      <c r="E6268" s="2" t="s">
        <v>190</v>
      </c>
    </row>
    <row r="6269" spans="1:5" x14ac:dyDescent="0.2">
      <c r="A6269">
        <v>6208</v>
      </c>
      <c r="B6269" s="138">
        <f>'Acct Summary 7-8'!E82</f>
        <v>314</v>
      </c>
      <c r="D6269" s="2" t="str">
        <f t="shared" si="96"/>
        <v>Error?</v>
      </c>
      <c r="E6269" s="2" t="s">
        <v>190</v>
      </c>
    </row>
    <row r="6270" spans="1:5" x14ac:dyDescent="0.2">
      <c r="A6270">
        <v>6209</v>
      </c>
      <c r="B6270" s="138">
        <f>'Acct Summary 7-8'!F82</f>
        <v>-389174</v>
      </c>
      <c r="D6270" s="2" t="str">
        <f t="shared" si="96"/>
        <v>Error?</v>
      </c>
      <c r="E6270" s="2" t="s">
        <v>190</v>
      </c>
    </row>
    <row r="6271" spans="1:5" x14ac:dyDescent="0.2">
      <c r="A6271">
        <v>6210</v>
      </c>
      <c r="B6271" s="138">
        <f>'Acct Summary 7-8'!G82</f>
        <v>-548226</v>
      </c>
      <c r="D6271" s="2" t="str">
        <f t="shared" ref="D6271:D6334" si="97">IF(ISBLANK(B6271),"OK",IF(A6271-B6271=0,"OK","Error?"))</f>
        <v>Error?</v>
      </c>
      <c r="E6271" s="2" t="s">
        <v>190</v>
      </c>
    </row>
    <row r="6272" spans="1:5" x14ac:dyDescent="0.2">
      <c r="A6272">
        <v>6211</v>
      </c>
      <c r="B6272" s="138">
        <f>'Acct Summary 7-8'!H82</f>
        <v>-2501107</v>
      </c>
      <c r="D6272" s="2" t="str">
        <f t="shared" si="97"/>
        <v>Error?</v>
      </c>
      <c r="E6272" s="2" t="s">
        <v>190</v>
      </c>
    </row>
    <row r="6273" spans="1:5" x14ac:dyDescent="0.2">
      <c r="A6273">
        <v>6212</v>
      </c>
      <c r="B6273" s="138">
        <f>'Acct Summary 7-8'!I82</f>
        <v>130527</v>
      </c>
      <c r="D6273" s="2" t="str">
        <f t="shared" si="97"/>
        <v>Error?</v>
      </c>
      <c r="E6273" s="2" t="s">
        <v>190</v>
      </c>
    </row>
    <row r="6274" spans="1:5" x14ac:dyDescent="0.2">
      <c r="A6274">
        <v>6213</v>
      </c>
      <c r="B6274" s="138">
        <f>'Acct Summary 7-8'!J82</f>
        <v>-61476</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7.0220499696521249E-3</v>
      </c>
      <c r="D6276" s="2" t="str">
        <f t="shared" si="97"/>
        <v>Error?</v>
      </c>
      <c r="E6276" s="2" t="s">
        <v>190</v>
      </c>
    </row>
    <row r="6277" spans="1:5" x14ac:dyDescent="0.2">
      <c r="A6277">
        <v>6216</v>
      </c>
      <c r="B6277" s="138">
        <f>'Acct Summary 7-8'!D83</f>
        <v>5.1369263159522782E-2</v>
      </c>
      <c r="D6277" s="2" t="str">
        <f t="shared" si="97"/>
        <v>Error?</v>
      </c>
      <c r="E6277" s="2" t="s">
        <v>190</v>
      </c>
    </row>
    <row r="6278" spans="1:5" x14ac:dyDescent="0.2">
      <c r="A6278">
        <v>6217</v>
      </c>
      <c r="B6278" s="138">
        <f>'Acct Summary 7-8'!E83</f>
        <v>1.7677194167651861E-2</v>
      </c>
      <c r="D6278" s="2" t="str">
        <f t="shared" si="97"/>
        <v>Error?</v>
      </c>
      <c r="E6278" s="2" t="s">
        <v>190</v>
      </c>
    </row>
    <row r="6279" spans="1:5" x14ac:dyDescent="0.2">
      <c r="A6279">
        <v>6218</v>
      </c>
      <c r="B6279" s="138">
        <f>'Acct Summary 7-8'!F83</f>
        <v>-0.15248342826962064</v>
      </c>
      <c r="D6279" s="2" t="str">
        <f t="shared" si="97"/>
        <v>Error?</v>
      </c>
      <c r="E6279" s="2" t="s">
        <v>190</v>
      </c>
    </row>
    <row r="6280" spans="1:5" x14ac:dyDescent="0.2">
      <c r="A6280">
        <v>6219</v>
      </c>
      <c r="B6280" s="138">
        <f>'Acct Summary 7-8'!G83</f>
        <v>-0.41179687253530756</v>
      </c>
      <c r="D6280" s="2" t="str">
        <f t="shared" si="97"/>
        <v>Error?</v>
      </c>
      <c r="E6280" s="2" t="s">
        <v>190</v>
      </c>
    </row>
    <row r="6281" spans="1:5" x14ac:dyDescent="0.2">
      <c r="A6281">
        <v>6220</v>
      </c>
      <c r="B6281" s="138">
        <f>'Acct Summary 7-8'!H83</f>
        <v>-0.48595379653376858</v>
      </c>
      <c r="D6281" s="2" t="str">
        <f t="shared" si="97"/>
        <v>Error?</v>
      </c>
      <c r="E6281" s="2" t="s">
        <v>190</v>
      </c>
    </row>
    <row r="6282" spans="1:5" x14ac:dyDescent="0.2">
      <c r="A6282">
        <v>6221</v>
      </c>
      <c r="B6282" s="138">
        <f>'Acct Summary 7-8'!I83</f>
        <v>1.7032333731281196E-2</v>
      </c>
      <c r="D6282" s="2" t="str">
        <f t="shared" si="97"/>
        <v>Error?</v>
      </c>
      <c r="E6282" s="2" t="s">
        <v>190</v>
      </c>
    </row>
    <row r="6283" spans="1:5" x14ac:dyDescent="0.2">
      <c r="A6283">
        <v>6222</v>
      </c>
      <c r="B6283" s="138">
        <f>'Acct Summary 7-8'!J83</f>
        <v>-0.33676622039134912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86544</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199290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199290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709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709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72126</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199999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423654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123862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520600</v>
      </c>
      <c r="D6848" s="2" t="str">
        <f t="shared" si="106"/>
        <v>Error?</v>
      </c>
    </row>
    <row r="6849" spans="1:4" x14ac:dyDescent="0.2">
      <c r="A6849">
        <v>6788</v>
      </c>
      <c r="B6849" s="138">
        <f>'Expenditures 15-22'!I8</f>
        <v>659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241941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20075</v>
      </c>
      <c r="D6878" s="2" t="str">
        <f t="shared" si="106"/>
        <v>Error?</v>
      </c>
    </row>
    <row r="6879" spans="1:4" x14ac:dyDescent="0.2">
      <c r="A6879">
        <v>6818</v>
      </c>
      <c r="B6879" s="138">
        <f>'Expenditures 15-22'!K21</f>
        <v>20075</v>
      </c>
      <c r="D6879" s="2" t="str">
        <f t="shared" si="106"/>
        <v>Error?</v>
      </c>
    </row>
    <row r="6880" spans="1:4" x14ac:dyDescent="0.2">
      <c r="A6880">
        <v>6819</v>
      </c>
      <c r="B6880" s="138">
        <f>'Expenditures 15-22'!H22</f>
        <v>1037356</v>
      </c>
      <c r="D6880" s="2" t="str">
        <f t="shared" si="106"/>
        <v>Error?</v>
      </c>
    </row>
    <row r="6881" spans="1:4" x14ac:dyDescent="0.2">
      <c r="A6881">
        <v>6820</v>
      </c>
      <c r="B6881" s="138">
        <f>'Expenditures 15-22'!K22</f>
        <v>1037356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124521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2152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70170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72322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5290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5290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3550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8008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210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29283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29493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115113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239634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75857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75857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75857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261475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75857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199999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29440</v>
      </c>
      <c r="D7073" s="2" t="str">
        <f t="shared" si="109"/>
        <v>Error?</v>
      </c>
    </row>
    <row r="7074" spans="1:4" x14ac:dyDescent="0.2">
      <c r="A7074">
        <v>7013</v>
      </c>
      <c r="B7074" s="138">
        <f>'Expenditures 15-22'!K216</f>
        <v>29440</v>
      </c>
      <c r="D7074" s="2" t="str">
        <f t="shared" si="109"/>
        <v>Error?</v>
      </c>
    </row>
    <row r="7075" spans="1:4" x14ac:dyDescent="0.2">
      <c r="A7075">
        <v>7014</v>
      </c>
      <c r="B7075" s="138">
        <f>'Expenditures 15-22'!D218</f>
        <v>33242</v>
      </c>
      <c r="D7075" s="2" t="str">
        <f t="shared" si="109"/>
        <v>Error?</v>
      </c>
    </row>
    <row r="7076" spans="1:4" x14ac:dyDescent="0.2">
      <c r="A7076">
        <v>7015</v>
      </c>
      <c r="B7076" s="138">
        <f>'Expenditures 15-22'!K218</f>
        <v>33242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117804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117804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5627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5627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63763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63763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18158</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18158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17894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17894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243317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18158</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261475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243317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18158</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261475</v>
      </c>
      <c r="D7224" s="2" t="str">
        <f t="shared" si="111"/>
        <v>Error?</v>
      </c>
    </row>
    <row r="7225" spans="1:4" x14ac:dyDescent="0.2">
      <c r="A7225">
        <v>7164</v>
      </c>
      <c r="B7225" s="138">
        <f>'Expenditures 15-22'!K343</f>
        <v>-61476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58696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38250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223200</v>
      </c>
      <c r="D7251" s="2" t="str">
        <f t="shared" si="112"/>
        <v>Error?</v>
      </c>
    </row>
    <row r="7252" spans="1:4" x14ac:dyDescent="0.2">
      <c r="A7252">
        <f t="shared" si="113"/>
        <v>7191</v>
      </c>
      <c r="B7252" s="138">
        <f>'Expenditures 15-22'!D9</f>
        <v>14622</v>
      </c>
      <c r="D7252" s="2" t="str">
        <f t="shared" si="112"/>
        <v>Error?</v>
      </c>
    </row>
    <row r="7253" spans="1:4" x14ac:dyDescent="0.2">
      <c r="A7253">
        <f t="shared" si="113"/>
        <v>7192</v>
      </c>
      <c r="B7253" s="138">
        <f>'Expenditures 15-22'!E9</f>
        <v>184</v>
      </c>
      <c r="D7253" s="2" t="str">
        <f t="shared" si="112"/>
        <v>Error?</v>
      </c>
    </row>
    <row r="7254" spans="1:4" x14ac:dyDescent="0.2">
      <c r="A7254">
        <f t="shared" si="113"/>
        <v>7193</v>
      </c>
      <c r="B7254" s="138">
        <f>'Expenditures 15-22'!F9</f>
        <v>3935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333649</v>
      </c>
      <c r="D7624" s="2" t="str">
        <f t="shared" si="124"/>
        <v>Error?</v>
      </c>
      <c r="E7624" s="2" t="s">
        <v>19</v>
      </c>
    </row>
    <row r="7625" spans="1:5" x14ac:dyDescent="0.2">
      <c r="A7625">
        <f t="shared" si="123"/>
        <v>7564</v>
      </c>
      <c r="B7625" s="138">
        <f>'Cap Outlay Deprec 26'!I17</f>
        <v>33364.9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1195540.8999999999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3000000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32810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32810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5419</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5419</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4458</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1375712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247237</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247237</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3558840.05</v>
      </c>
      <c r="D7797" s="2" t="str">
        <f t="shared" si="127"/>
        <v>Error?</v>
      </c>
      <c r="E7797" s="4" t="s">
        <v>1903</v>
      </c>
    </row>
    <row r="7798" spans="1:5" x14ac:dyDescent="0.2">
      <c r="A7798">
        <v>7737</v>
      </c>
      <c r="B7798" s="138">
        <f>'Contracts Paid in CY 29'!F141</f>
        <v>575787.19999999995</v>
      </c>
      <c r="D7798" s="2" t="str">
        <f t="shared" si="127"/>
        <v>Error?</v>
      </c>
      <c r="E7798" s="4" t="s">
        <v>1903</v>
      </c>
    </row>
    <row r="7799" spans="1:5" x14ac:dyDescent="0.2">
      <c r="A7799">
        <v>7738</v>
      </c>
      <c r="B7799" s="138">
        <f>'Contracts Paid in CY 29'!G141</f>
        <v>2983052.85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42" sqref="I42:O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26" t="s">
        <v>1190</v>
      </c>
      <c r="B3" s="2426"/>
      <c r="C3" s="2426"/>
      <c r="D3" s="2426"/>
      <c r="E3" s="2426"/>
      <c r="F3" s="2426"/>
      <c r="G3" s="2426"/>
      <c r="H3" s="2426"/>
      <c r="I3" s="2426"/>
      <c r="J3" s="2426"/>
      <c r="K3" s="2426"/>
      <c r="L3" s="2426"/>
    </row>
    <row r="4" spans="1:29" ht="13.5" customHeight="1" x14ac:dyDescent="0.2">
      <c r="A4" s="2395" t="s">
        <v>1988</v>
      </c>
      <c r="B4" s="2416"/>
      <c r="C4" s="2416"/>
      <c r="D4" s="2416"/>
      <c r="E4" s="2416"/>
      <c r="F4" s="2416"/>
      <c r="G4" s="2416"/>
      <c r="H4" s="2416"/>
      <c r="I4" s="2416"/>
      <c r="J4" s="2416"/>
      <c r="K4" s="2416"/>
      <c r="L4" s="241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7" t="str">
        <f>COVER!A17</f>
        <v>Woodridge SD 68</v>
      </c>
      <c r="B7" s="2418"/>
      <c r="C7" s="2418"/>
      <c r="D7" s="2419"/>
      <c r="E7" s="2420">
        <f>COVER!A13</f>
        <v>19022068002</v>
      </c>
      <c r="F7" s="2421"/>
      <c r="G7" s="2427">
        <f>COVER!T23</f>
        <v>65033233</v>
      </c>
      <c r="H7" s="2428"/>
      <c r="I7" s="2428"/>
      <c r="J7" s="2428"/>
      <c r="K7" s="2428"/>
      <c r="L7" s="242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0"/>
      <c r="B9" s="2431"/>
      <c r="C9" s="2431"/>
      <c r="D9" s="2431"/>
      <c r="E9" s="2431"/>
      <c r="F9" s="2432"/>
      <c r="G9" s="2401" t="str">
        <f>COVER!T13</f>
        <v>Lauterbach &amp; Amen</v>
      </c>
      <c r="H9" s="2433"/>
      <c r="I9" s="2433"/>
      <c r="J9" s="2433"/>
      <c r="K9" s="2433"/>
      <c r="L9" s="2434"/>
    </row>
    <row r="10" spans="1:29" ht="13.5" customHeight="1" x14ac:dyDescent="0.2">
      <c r="A10" s="2407" t="str">
        <f>COVER!A38</f>
        <v>Patrick J. Broncato</v>
      </c>
      <c r="B10" s="2408"/>
      <c r="C10" s="2408"/>
      <c r="D10" s="2408"/>
      <c r="E10" s="2408"/>
      <c r="F10" s="2409"/>
      <c r="G10" s="2401" t="str">
        <f>COVER!T17</f>
        <v>668 N. River Road</v>
      </c>
      <c r="H10" s="2402"/>
      <c r="I10" s="2402"/>
      <c r="J10" s="2402"/>
      <c r="K10" s="2402"/>
      <c r="L10" s="2403"/>
    </row>
    <row r="11" spans="1:29" ht="13.5" customHeight="1" x14ac:dyDescent="0.2">
      <c r="A11" s="1184" t="s">
        <v>1519</v>
      </c>
      <c r="B11" s="1185"/>
      <c r="C11" s="1186"/>
      <c r="D11" s="1191"/>
      <c r="E11" s="1186"/>
      <c r="F11" s="1190"/>
      <c r="G11" s="2401" t="str">
        <f>COVER!T19</f>
        <v>Naperville</v>
      </c>
      <c r="H11" s="2402"/>
      <c r="I11" s="2402"/>
      <c r="J11" s="2402"/>
      <c r="K11" s="2402"/>
      <c r="L11" s="2403"/>
    </row>
    <row r="12" spans="1:29" ht="13.5" customHeight="1" x14ac:dyDescent="0.2">
      <c r="A12" s="2410" t="s">
        <v>1518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1520</v>
      </c>
      <c r="H13" s="2397"/>
      <c r="I13" s="2413" t="str">
        <f>COVER!T25</f>
        <v>mberan@lauterbachamen.com</v>
      </c>
      <c r="J13" s="2414"/>
      <c r="K13" s="2414"/>
      <c r="L13" s="2415"/>
    </row>
    <row r="14" spans="1:29" ht="13.5" customHeight="1" x14ac:dyDescent="0.2">
      <c r="A14" s="2401" t="str">
        <f>COVER!A19</f>
        <v>7925 Janes Ave</v>
      </c>
      <c r="B14" s="2402"/>
      <c r="C14" s="2402"/>
      <c r="D14" s="2402"/>
      <c r="E14" s="2402"/>
      <c r="F14" s="2403"/>
      <c r="G14" s="1195" t="s">
        <v>1185</v>
      </c>
      <c r="H14" s="1193"/>
      <c r="I14" s="1193"/>
      <c r="J14" s="1193"/>
      <c r="K14" s="1193"/>
      <c r="L14" s="1194"/>
    </row>
    <row r="15" spans="1:29" ht="13.5" customHeight="1" x14ac:dyDescent="0.2">
      <c r="A15" s="2401" t="str">
        <f>COVER!A21</f>
        <v xml:space="preserve">Woodridge </v>
      </c>
      <c r="B15" s="2402"/>
      <c r="C15" s="2402"/>
      <c r="D15" s="2402"/>
      <c r="E15" s="2402"/>
      <c r="F15" s="2403"/>
      <c r="G15" s="2398" t="str">
        <f>COVER!T15</f>
        <v>Matt Beran</v>
      </c>
      <c r="H15" s="2399"/>
      <c r="I15" s="2399"/>
      <c r="J15" s="2399"/>
      <c r="K15" s="2399"/>
      <c r="L15" s="2400"/>
    </row>
    <row r="16" spans="1:29" ht="12.2" customHeight="1" x14ac:dyDescent="0.2">
      <c r="A16" s="2423">
        <f>COVER!A25</f>
        <v>60517</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5" t="s">
        <v>1184</v>
      </c>
      <c r="H17" s="1193"/>
      <c r="I17" s="1193"/>
      <c r="J17" s="1193"/>
      <c r="K17" s="1197" t="s">
        <v>1183</v>
      </c>
      <c r="L17" s="1190"/>
      <c r="M17" s="1183"/>
    </row>
    <row r="18" spans="1:13" ht="12.2" customHeight="1" x14ac:dyDescent="0.2">
      <c r="A18" s="2407"/>
      <c r="B18" s="2408"/>
      <c r="C18" s="2408"/>
      <c r="D18" s="2408"/>
      <c r="E18" s="2408"/>
      <c r="F18" s="2409"/>
      <c r="G18" s="2417">
        <f>COVER!T21</f>
        <v>6303931483</v>
      </c>
      <c r="H18" s="2418"/>
      <c r="I18" s="2418"/>
      <c r="J18" s="2418"/>
      <c r="K18" s="2417">
        <f>COVER!X21</f>
        <v>6303932516</v>
      </c>
      <c r="L18" s="242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2064</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2064</v>
      </c>
      <c r="C26" s="1202" t="s">
        <v>1699</v>
      </c>
    </row>
    <row r="27" spans="1:13" s="1198" customFormat="1" ht="9" customHeight="1" x14ac:dyDescent="0.2">
      <c r="B27" s="1203"/>
      <c r="C27" s="1202"/>
    </row>
    <row r="28" spans="1:13" s="1198" customFormat="1" ht="12.2" customHeight="1" x14ac:dyDescent="0.2">
      <c r="A28" s="1205"/>
      <c r="B28" s="1201" t="s">
        <v>2064</v>
      </c>
      <c r="C28" s="1202" t="s">
        <v>1700</v>
      </c>
    </row>
    <row r="29" spans="1:13" s="1198" customFormat="1" ht="9" customHeight="1" x14ac:dyDescent="0.2">
      <c r="A29" s="1205"/>
      <c r="B29" s="1203"/>
      <c r="C29" s="1202"/>
    </row>
    <row r="30" spans="1:13" s="1198" customFormat="1" ht="12.2" customHeight="1" x14ac:dyDescent="0.2">
      <c r="B30" s="1201" t="s">
        <v>2064</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2064</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2064</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2064</v>
      </c>
      <c r="C38" s="1202" t="s">
        <v>1566</v>
      </c>
    </row>
    <row r="39" spans="1:8" ht="9" customHeight="1" x14ac:dyDescent="0.2">
      <c r="B39" s="1203"/>
      <c r="C39" s="1206"/>
    </row>
    <row r="40" spans="1:8" s="1198" customFormat="1" ht="13.5" customHeight="1" x14ac:dyDescent="0.2">
      <c r="B40" s="1201" t="s">
        <v>2064</v>
      </c>
      <c r="C40" s="1202" t="s">
        <v>1567</v>
      </c>
    </row>
    <row r="41" spans="1:8" ht="9" customHeight="1" x14ac:dyDescent="0.2">
      <c r="A41" s="1207"/>
      <c r="B41" s="1203"/>
      <c r="C41" s="1206"/>
    </row>
    <row r="42" spans="1:8" s="1198" customFormat="1" ht="13.5" customHeight="1" x14ac:dyDescent="0.2">
      <c r="B42" s="1201" t="s">
        <v>2145</v>
      </c>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2064</v>
      </c>
      <c r="C46" s="1209" t="s">
        <v>1568</v>
      </c>
      <c r="D46" s="1196"/>
      <c r="E46" s="1196"/>
      <c r="F46" s="1196"/>
      <c r="G46" s="1196"/>
      <c r="H46" s="1196"/>
    </row>
    <row r="47" spans="1:8" ht="9" customHeight="1" x14ac:dyDescent="0.2"/>
    <row r="48" spans="1:8" ht="12.2" customHeight="1" x14ac:dyDescent="0.2">
      <c r="B48" s="1874" t="s">
        <v>2064</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42" sqref="I42:O4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Woodridge SD 68</v>
      </c>
      <c r="B1" s="2416"/>
      <c r="C1" s="2416"/>
      <c r="D1" s="2416"/>
    </row>
    <row r="2" spans="1:11" s="1212" customFormat="1" ht="12.75" x14ac:dyDescent="0.2">
      <c r="A2" s="2440">
        <f>'Single Audit Cover'!E7</f>
        <v>19022068002</v>
      </c>
      <c r="B2" s="2441"/>
      <c r="C2" s="2441"/>
      <c r="D2" s="2441"/>
    </row>
    <row r="3" spans="1:11" s="1212" customFormat="1" ht="12.75" x14ac:dyDescent="0.2">
      <c r="A3" s="2439" t="s">
        <v>1513</v>
      </c>
      <c r="B3" s="2416"/>
      <c r="C3" s="2416"/>
      <c r="D3" s="241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2064</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2064</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2064</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2064</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2064</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2064</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2064</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2064</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2064</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2064</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2064</v>
      </c>
      <c r="C42" s="1229">
        <v>11</v>
      </c>
      <c r="D42" s="1240" t="s">
        <v>1574</v>
      </c>
      <c r="E42" s="312"/>
    </row>
    <row r="43" spans="1:5" ht="3" customHeight="1" x14ac:dyDescent="0.2">
      <c r="A43" s="1219"/>
      <c r="B43" s="1236"/>
      <c r="C43" s="1237"/>
      <c r="D43" s="1218"/>
    </row>
    <row r="44" spans="1:5" x14ac:dyDescent="0.2">
      <c r="A44" s="1219"/>
      <c r="B44" s="1222" t="s">
        <v>2145</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2145</v>
      </c>
      <c r="C48" s="1223">
        <f>C44+1</f>
        <v>13</v>
      </c>
      <c r="D48" s="1234" t="s">
        <v>1575</v>
      </c>
    </row>
    <row r="49" spans="1:4" ht="3" customHeight="1" x14ac:dyDescent="0.2">
      <c r="A49" s="1219"/>
      <c r="B49" s="1226"/>
      <c r="C49" s="1223"/>
      <c r="D49" s="1234"/>
    </row>
    <row r="50" spans="1:4" x14ac:dyDescent="0.2">
      <c r="A50" s="1219"/>
      <c r="B50" s="1222" t="s">
        <v>2145</v>
      </c>
      <c r="C50" s="1223">
        <f>C48+1</f>
        <v>14</v>
      </c>
      <c r="D50" s="1234" t="s">
        <v>1212</v>
      </c>
    </row>
    <row r="51" spans="1:4" ht="3" customHeight="1" x14ac:dyDescent="0.2">
      <c r="A51" s="1219"/>
      <c r="B51" s="1226"/>
      <c r="C51" s="1223"/>
      <c r="D51" s="1234"/>
    </row>
    <row r="52" spans="1:4" x14ac:dyDescent="0.2">
      <c r="A52" s="1219"/>
      <c r="B52" s="1222" t="s">
        <v>2145</v>
      </c>
      <c r="C52" s="1223">
        <f>C50+1</f>
        <v>15</v>
      </c>
      <c r="D52" s="1234" t="s">
        <v>1211</v>
      </c>
    </row>
    <row r="53" spans="1:4" ht="3" customHeight="1" x14ac:dyDescent="0.2">
      <c r="A53" s="1219"/>
      <c r="B53" s="1226"/>
      <c r="C53" s="1223"/>
      <c r="D53" s="1234"/>
    </row>
    <row r="54" spans="1:4" x14ac:dyDescent="0.2">
      <c r="A54" s="1219"/>
      <c r="B54" s="1222" t="s">
        <v>2145</v>
      </c>
      <c r="C54" s="1223">
        <f>C52+1</f>
        <v>16</v>
      </c>
      <c r="D54" s="1234" t="s">
        <v>1210</v>
      </c>
    </row>
    <row r="55" spans="1:4" ht="3" customHeight="1" x14ac:dyDescent="0.2">
      <c r="A55" s="1219"/>
      <c r="B55" s="1226"/>
      <c r="C55" s="1223"/>
      <c r="D55" s="1234"/>
    </row>
    <row r="56" spans="1:4" x14ac:dyDescent="0.2">
      <c r="A56" s="1219"/>
      <c r="B56" s="1222" t="s">
        <v>2064</v>
      </c>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t="s">
        <v>2064</v>
      </c>
      <c r="C72" s="1223">
        <f>C56+1</f>
        <v>18</v>
      </c>
      <c r="D72" s="1244" t="s">
        <v>1714</v>
      </c>
    </row>
    <row r="73" spans="1:4" ht="3" customHeight="1" x14ac:dyDescent="0.2">
      <c r="A73" s="1219"/>
      <c r="B73" s="1226"/>
      <c r="C73" s="1223"/>
      <c r="D73" s="1244"/>
    </row>
    <row r="74" spans="1:4" x14ac:dyDescent="0.2">
      <c r="A74" s="1219"/>
      <c r="B74" s="1222" t="s">
        <v>2064</v>
      </c>
      <c r="C74" s="1223">
        <f>C72+1</f>
        <v>19</v>
      </c>
      <c r="D74" s="1234" t="s">
        <v>1205</v>
      </c>
    </row>
    <row r="75" spans="1:4" ht="3" customHeight="1" x14ac:dyDescent="0.2">
      <c r="A75" s="1219"/>
      <c r="B75" s="1226"/>
      <c r="C75" s="1223"/>
      <c r="D75" s="1234"/>
    </row>
    <row r="76" spans="1:4" x14ac:dyDescent="0.2">
      <c r="A76" s="1219"/>
      <c r="B76" s="1222" t="s">
        <v>2064</v>
      </c>
      <c r="C76" s="1223">
        <f>C74+1</f>
        <v>20</v>
      </c>
      <c r="D76" s="1245" t="s">
        <v>1715</v>
      </c>
    </row>
    <row r="77" spans="1:4" ht="3" customHeight="1" x14ac:dyDescent="0.2">
      <c r="A77" s="1219"/>
      <c r="B77" s="1226"/>
      <c r="C77" s="1223"/>
      <c r="D77" s="1245"/>
    </row>
    <row r="78" spans="1:4" x14ac:dyDescent="0.2">
      <c r="A78" s="1219"/>
      <c r="B78" s="1222" t="s">
        <v>2064</v>
      </c>
      <c r="C78" s="1223">
        <f>C76+1</f>
        <v>21</v>
      </c>
      <c r="D78" s="1218" t="s">
        <v>1716</v>
      </c>
    </row>
    <row r="79" spans="1:4" ht="3" customHeight="1" x14ac:dyDescent="0.2">
      <c r="A79" s="1219"/>
      <c r="B79" s="1226"/>
      <c r="C79" s="1223"/>
      <c r="D79" s="1218"/>
    </row>
    <row r="80" spans="1:4" x14ac:dyDescent="0.2">
      <c r="A80" s="1219"/>
      <c r="B80" s="1222" t="s">
        <v>2064</v>
      </c>
      <c r="C80" s="1223">
        <f>C78+1</f>
        <v>22</v>
      </c>
      <c r="D80" s="1246" t="s">
        <v>1717</v>
      </c>
    </row>
    <row r="81" spans="1:4" ht="3" customHeight="1" x14ac:dyDescent="0.2">
      <c r="A81" s="1219"/>
      <c r="B81" s="1226"/>
      <c r="C81" s="1223"/>
      <c r="D81" s="1246"/>
    </row>
    <row r="82" spans="1:4" x14ac:dyDescent="0.2">
      <c r="A82" s="1219"/>
      <c r="B82" s="1222" t="s">
        <v>2064</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2064</v>
      </c>
      <c r="C85" s="1223">
        <f>C82+1</f>
        <v>24</v>
      </c>
      <c r="D85" s="1234" t="s">
        <v>1203</v>
      </c>
    </row>
    <row r="86" spans="1:4" ht="3" customHeight="1" x14ac:dyDescent="0.2">
      <c r="A86" s="1219"/>
      <c r="B86" s="1226"/>
      <c r="C86" s="1223"/>
      <c r="D86" s="1234"/>
    </row>
    <row r="87" spans="1:4" x14ac:dyDescent="0.2">
      <c r="A87" s="1219"/>
      <c r="B87" s="1222" t="s">
        <v>2064</v>
      </c>
      <c r="C87" s="1223">
        <f>C85+1</f>
        <v>25</v>
      </c>
      <c r="D87" s="1234" t="s">
        <v>1202</v>
      </c>
    </row>
    <row r="88" spans="1:4" ht="3" customHeight="1" x14ac:dyDescent="0.2">
      <c r="A88" s="1219"/>
      <c r="B88" s="1226"/>
      <c r="C88" s="1223"/>
      <c r="D88" s="1234"/>
    </row>
    <row r="89" spans="1:4" x14ac:dyDescent="0.2">
      <c r="A89" s="1219"/>
      <c r="B89" s="1222" t="s">
        <v>2064</v>
      </c>
      <c r="C89" s="1223">
        <f>C87+1</f>
        <v>26</v>
      </c>
      <c r="D89" s="1234" t="s">
        <v>1201</v>
      </c>
    </row>
    <row r="90" spans="1:4" ht="3" customHeight="1" x14ac:dyDescent="0.2">
      <c r="A90" s="1219"/>
      <c r="B90" s="1226"/>
      <c r="C90" s="1223"/>
      <c r="D90" s="1234"/>
    </row>
    <row r="91" spans="1:4" x14ac:dyDescent="0.2">
      <c r="A91" s="1219"/>
      <c r="B91" s="1222" t="s">
        <v>2145</v>
      </c>
      <c r="C91" s="1223">
        <f>C89+1</f>
        <v>27</v>
      </c>
      <c r="D91" s="1234" t="s">
        <v>1719</v>
      </c>
    </row>
    <row r="92" spans="1:4" x14ac:dyDescent="0.2">
      <c r="A92" s="1219"/>
      <c r="B92" s="1247"/>
      <c r="C92" s="1241" t="s">
        <v>2145</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2064</v>
      </c>
      <c r="C96" s="1223">
        <f>C91+1</f>
        <v>28</v>
      </c>
      <c r="D96" s="1234" t="s">
        <v>1720</v>
      </c>
    </row>
    <row r="97" spans="1:4" ht="3" customHeight="1" x14ac:dyDescent="0.2">
      <c r="A97" s="1219"/>
      <c r="B97" s="1226"/>
      <c r="C97" s="1223"/>
      <c r="D97" s="1234"/>
    </row>
    <row r="98" spans="1:4" x14ac:dyDescent="0.2">
      <c r="A98" s="1219"/>
      <c r="B98" s="1222" t="s">
        <v>2064</v>
      </c>
      <c r="C98" s="1223">
        <f>C96+1</f>
        <v>29</v>
      </c>
      <c r="D98" s="1248" t="s">
        <v>1721</v>
      </c>
    </row>
    <row r="99" spans="1:4" ht="3" customHeight="1" x14ac:dyDescent="0.2">
      <c r="A99" s="1219"/>
      <c r="B99" s="1226"/>
      <c r="C99" s="1223"/>
      <c r="D99" s="1248"/>
    </row>
    <row r="100" spans="1:4" x14ac:dyDescent="0.2">
      <c r="A100" s="1219"/>
      <c r="B100" s="1222" t="s">
        <v>2064</v>
      </c>
      <c r="C100" s="1223">
        <f>C98+1</f>
        <v>30</v>
      </c>
      <c r="D100" s="1234" t="s">
        <v>1722</v>
      </c>
    </row>
    <row r="101" spans="1:4" ht="3" customHeight="1" x14ac:dyDescent="0.2">
      <c r="A101" s="1219"/>
      <c r="B101" s="1226"/>
      <c r="C101" s="1223"/>
      <c r="D101" s="1249"/>
    </row>
    <row r="102" spans="1:4" x14ac:dyDescent="0.2">
      <c r="A102" s="1219"/>
      <c r="B102" s="1222" t="s">
        <v>2064</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2064</v>
      </c>
      <c r="C106" s="1223">
        <f>C102+1</f>
        <v>32</v>
      </c>
      <c r="D106" s="1218" t="s">
        <v>1580</v>
      </c>
    </row>
    <row r="107" spans="1:4" ht="3" customHeight="1" x14ac:dyDescent="0.2">
      <c r="A107" s="1219"/>
      <c r="B107" s="1226"/>
      <c r="C107" s="1223"/>
      <c r="D107" s="1218"/>
    </row>
    <row r="108" spans="1:4" x14ac:dyDescent="0.2">
      <c r="A108" s="1219"/>
      <c r="B108" s="1222" t="s">
        <v>2145</v>
      </c>
      <c r="C108" s="1223">
        <v>33</v>
      </c>
      <c r="D108" s="1218" t="s">
        <v>1723</v>
      </c>
    </row>
    <row r="109" spans="1:4" ht="3" customHeight="1" x14ac:dyDescent="0.2">
      <c r="A109" s="1219"/>
      <c r="B109" s="1226"/>
      <c r="C109" s="1223"/>
      <c r="D109" s="1218"/>
    </row>
    <row r="110" spans="1:4" x14ac:dyDescent="0.2">
      <c r="A110" s="1219"/>
      <c r="B110" s="1222" t="s">
        <v>2145</v>
      </c>
      <c r="C110" s="1223">
        <f>C108+1</f>
        <v>34</v>
      </c>
      <c r="D110" s="1218" t="s">
        <v>1198</v>
      </c>
    </row>
    <row r="111" spans="1:4" ht="3" customHeight="1" x14ac:dyDescent="0.2">
      <c r="A111" s="1219"/>
      <c r="B111" s="1226"/>
      <c r="C111" s="1223"/>
      <c r="D111" s="1218"/>
    </row>
    <row r="112" spans="1:4" x14ac:dyDescent="0.2">
      <c r="A112" s="1219"/>
      <c r="B112" s="1222" t="s">
        <v>2145</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2145</v>
      </c>
      <c r="C115" s="1223">
        <f>C112+1</f>
        <v>36</v>
      </c>
      <c r="D115" s="1234" t="s">
        <v>1195</v>
      </c>
    </row>
    <row r="116" spans="1:4" ht="3" customHeight="1" x14ac:dyDescent="0.2">
      <c r="A116" s="1219"/>
      <c r="B116" s="1226"/>
      <c r="C116" s="1223"/>
      <c r="D116" s="1234"/>
    </row>
    <row r="117" spans="1:4" x14ac:dyDescent="0.2">
      <c r="A117" s="1219"/>
      <c r="B117" s="1222" t="s">
        <v>2145</v>
      </c>
      <c r="C117" s="1223">
        <f>C115+1</f>
        <v>37</v>
      </c>
      <c r="D117" s="1234" t="s">
        <v>1724</v>
      </c>
    </row>
    <row r="118" spans="1:4" ht="3" customHeight="1" x14ac:dyDescent="0.2">
      <c r="A118" s="1219"/>
      <c r="B118" s="1226"/>
      <c r="C118" s="1223"/>
      <c r="D118" s="1234"/>
    </row>
    <row r="119" spans="1:4" x14ac:dyDescent="0.2">
      <c r="A119" s="1219"/>
      <c r="B119" s="1222" t="s">
        <v>2145</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2145</v>
      </c>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I42" sqref="I42:O4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Woodridge SD 68</v>
      </c>
      <c r="B1" s="2443"/>
      <c r="C1" s="2443"/>
      <c r="D1" s="2443"/>
      <c r="E1" s="2443"/>
    </row>
    <row r="2" spans="1:5" x14ac:dyDescent="0.2">
      <c r="A2" s="2444">
        <f>'Single Audit Cover'!E7</f>
        <v>19022068002</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2197797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52783</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-363723</v>
      </c>
    </row>
    <row r="19" spans="1:4" ht="13.5" thickBot="1" x14ac:dyDescent="0.25">
      <c r="A19" s="1262" t="s">
        <v>1235</v>
      </c>
      <c r="D19" s="1263">
        <f>SUM(D10:D17)</f>
        <v>1886857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1886857</v>
      </c>
    </row>
    <row r="33" spans="1:4" x14ac:dyDescent="0.2">
      <c r="D33" s="1266"/>
    </row>
    <row r="34" spans="1:4" x14ac:dyDescent="0.2">
      <c r="A34" s="317" t="s">
        <v>1232</v>
      </c>
    </row>
    <row r="35" spans="1:4" x14ac:dyDescent="0.2">
      <c r="A35" s="317" t="s">
        <v>1231</v>
      </c>
      <c r="B35" s="1255" t="s">
        <v>1230</v>
      </c>
      <c r="D35" s="1267">
        <f>' SEFA'!F54</f>
        <v>1886857</v>
      </c>
    </row>
    <row r="37" spans="1:4" x14ac:dyDescent="0.2">
      <c r="A37" s="1257" t="s">
        <v>1229</v>
      </c>
    </row>
    <row r="39" spans="1:4" ht="13.35" customHeight="1" x14ac:dyDescent="0.2">
      <c r="A39" s="1264" t="s">
        <v>1228</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1886857</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79"/>
  <sheetViews>
    <sheetView showGridLines="0" topLeftCell="A10" zoomScaleNormal="100" workbookViewId="0">
      <selection activeCell="I42" sqref="I42:O42"/>
    </sheetView>
  </sheetViews>
  <sheetFormatPr defaultColWidth="33.5703125" defaultRowHeight="12.75" x14ac:dyDescent="0.2"/>
  <cols>
    <col min="1" max="1" width="0.140625" style="316" customWidth="1"/>
    <col min="2" max="2" width="32.855468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7" t="str">
        <f>'Single Audit Cover'!A7</f>
        <v>Woodridge SD 68</v>
      </c>
      <c r="C1" s="2447"/>
      <c r="D1" s="2447"/>
      <c r="E1" s="2447"/>
      <c r="F1" s="2447"/>
      <c r="G1" s="2447"/>
      <c r="H1" s="2447"/>
      <c r="I1" s="2447"/>
      <c r="J1" s="2447"/>
      <c r="K1" s="2447"/>
      <c r="L1" s="2447"/>
      <c r="M1" s="2447"/>
    </row>
    <row r="2" spans="2:14" ht="15" x14ac:dyDescent="0.2">
      <c r="B2" s="2448">
        <f>'Single Audit Cover'!E7</f>
        <v>19022068002</v>
      </c>
      <c r="C2" s="2448"/>
      <c r="D2" s="2448"/>
      <c r="E2" s="2448"/>
      <c r="F2" s="2448"/>
      <c r="G2" s="2448"/>
      <c r="H2" s="2448"/>
      <c r="I2" s="2448"/>
      <c r="J2" s="2448"/>
      <c r="K2" s="2448"/>
      <c r="L2" s="2448"/>
      <c r="M2" s="2448"/>
      <c r="N2" s="1875"/>
    </row>
    <row r="3" spans="2:14" ht="15" x14ac:dyDescent="0.2">
      <c r="B3" s="2449" t="s">
        <v>1219</v>
      </c>
      <c r="C3" s="2449"/>
      <c r="D3" s="2449"/>
      <c r="E3" s="2449"/>
      <c r="F3" s="2449"/>
      <c r="G3" s="2449"/>
      <c r="H3" s="2449"/>
      <c r="I3" s="2449"/>
      <c r="J3" s="2449"/>
      <c r="K3" s="2449"/>
      <c r="L3" s="2449"/>
      <c r="M3" s="2449"/>
      <c r="N3" s="1875"/>
    </row>
    <row r="4" spans="2:14" ht="15" x14ac:dyDescent="0.2">
      <c r="B4" s="2439" t="str">
        <f>'Single Audit Cover'!A4</f>
        <v>Year Ending June 30, 2019</v>
      </c>
      <c r="C4" s="2439"/>
      <c r="D4" s="2439"/>
      <c r="E4" s="2439"/>
      <c r="F4" s="2439"/>
      <c r="G4" s="2439"/>
      <c r="H4" s="2439"/>
      <c r="I4" s="2439"/>
      <c r="J4" s="2439"/>
      <c r="K4" s="2439"/>
      <c r="L4" s="2439"/>
      <c r="M4" s="2439"/>
      <c r="N4" s="1875"/>
    </row>
    <row r="6" spans="2:14" x14ac:dyDescent="0.2">
      <c r="B6" s="1876"/>
      <c r="C6" s="1877"/>
      <c r="D6" s="1878" t="s">
        <v>1265</v>
      </c>
      <c r="E6" s="1879" t="s">
        <v>527</v>
      </c>
      <c r="F6" s="1880"/>
      <c r="G6" s="1881" t="s">
        <v>1733</v>
      </c>
      <c r="H6" s="1879"/>
      <c r="I6" s="1879"/>
      <c r="J6" s="1879"/>
      <c r="K6" s="1882"/>
      <c r="L6" s="1883"/>
      <c r="M6" s="1884"/>
    </row>
    <row r="7" spans="2:14" x14ac:dyDescent="0.2">
      <c r="B7" s="1885" t="s">
        <v>1581</v>
      </c>
      <c r="C7" s="1886"/>
      <c r="D7" s="1887"/>
      <c r="E7" s="1888"/>
      <c r="F7" s="1889"/>
      <c r="G7" s="1888"/>
      <c r="H7" s="1890" t="s">
        <v>1262</v>
      </c>
      <c r="I7" s="1888"/>
      <c r="J7" s="1891" t="s">
        <v>1262</v>
      </c>
      <c r="K7" s="1892"/>
      <c r="L7" s="1893" t="s">
        <v>1260</v>
      </c>
      <c r="M7" s="1894"/>
    </row>
    <row r="8" spans="2:14" x14ac:dyDescent="0.2">
      <c r="B8" s="1895"/>
      <c r="C8" s="1886" t="s">
        <v>1264</v>
      </c>
      <c r="D8" s="1887" t="s">
        <v>1263</v>
      </c>
      <c r="E8" s="1896" t="s">
        <v>1262</v>
      </c>
      <c r="F8" s="1897" t="s">
        <v>1262</v>
      </c>
      <c r="G8" s="1898" t="s">
        <v>1262</v>
      </c>
      <c r="H8" s="1890" t="s">
        <v>1838</v>
      </c>
      <c r="I8" s="1892" t="s">
        <v>1262</v>
      </c>
      <c r="J8" s="1891" t="s">
        <v>1989</v>
      </c>
      <c r="K8" s="1892" t="s">
        <v>1261</v>
      </c>
      <c r="L8" s="1893" t="s">
        <v>1257</v>
      </c>
      <c r="M8" s="1894" t="s">
        <v>30</v>
      </c>
    </row>
    <row r="9" spans="2:14" ht="14.25" x14ac:dyDescent="0.2">
      <c r="B9" s="1899" t="s">
        <v>1259</v>
      </c>
      <c r="C9" s="1886" t="s">
        <v>1734</v>
      </c>
      <c r="D9" s="1887" t="s">
        <v>1735</v>
      </c>
      <c r="E9" s="1896" t="s">
        <v>1838</v>
      </c>
      <c r="F9" s="1897" t="s">
        <v>1989</v>
      </c>
      <c r="G9" s="1898" t="s">
        <v>1838</v>
      </c>
      <c r="H9" s="1890" t="s">
        <v>1582</v>
      </c>
      <c r="I9" s="1892" t="s">
        <v>1989</v>
      </c>
      <c r="J9" s="1891" t="s">
        <v>1582</v>
      </c>
      <c r="K9" s="1892" t="s">
        <v>1258</v>
      </c>
      <c r="L9" s="1900" t="s">
        <v>1583</v>
      </c>
      <c r="M9" s="1894"/>
    </row>
    <row r="10" spans="2:14" ht="11.85" customHeight="1" x14ac:dyDescent="0.2">
      <c r="B10" s="1899" t="s">
        <v>1256</v>
      </c>
      <c r="C10" s="1901" t="s">
        <v>1255</v>
      </c>
      <c r="D10" s="1902" t="s">
        <v>1254</v>
      </c>
      <c r="E10" s="1903" t="s">
        <v>1253</v>
      </c>
      <c r="F10" s="1904" t="s">
        <v>1252</v>
      </c>
      <c r="G10" s="1905" t="s">
        <v>1251</v>
      </c>
      <c r="H10" s="1906" t="s">
        <v>1266</v>
      </c>
      <c r="I10" s="1907" t="s">
        <v>1250</v>
      </c>
      <c r="J10" s="1908" t="s">
        <v>1266</v>
      </c>
      <c r="K10" s="1909" t="s">
        <v>1249</v>
      </c>
      <c r="L10" s="1909" t="s">
        <v>1248</v>
      </c>
      <c r="M10" s="1910" t="s">
        <v>1247</v>
      </c>
    </row>
    <row r="11" spans="2:14" ht="20.100000000000001" customHeight="1" x14ac:dyDescent="0.2">
      <c r="B11" s="1299" t="s">
        <v>2137</v>
      </c>
      <c r="C11" s="1300"/>
      <c r="D11" s="1301"/>
      <c r="E11" s="1911"/>
      <c r="F11" s="1911"/>
      <c r="G11" s="1911"/>
      <c r="H11" s="1911"/>
      <c r="I11" s="1911"/>
      <c r="J11" s="1911"/>
      <c r="K11" s="1911"/>
      <c r="L11" s="1911"/>
      <c r="M11" s="1911"/>
    </row>
    <row r="12" spans="2:14" ht="20.100000000000001" customHeight="1" x14ac:dyDescent="0.2">
      <c r="B12" s="1912" t="s">
        <v>2138</v>
      </c>
      <c r="C12" s="1300"/>
      <c r="D12" s="1301"/>
      <c r="E12" s="1911"/>
      <c r="F12" s="1911"/>
      <c r="G12" s="1911"/>
      <c r="H12" s="1911"/>
      <c r="I12" s="1911"/>
      <c r="J12" s="1911"/>
      <c r="K12" s="1911"/>
      <c r="L12" s="1911"/>
      <c r="M12" s="1911"/>
    </row>
    <row r="13" spans="2:14" ht="20.100000000000001" customHeight="1" x14ac:dyDescent="0.2">
      <c r="B13" s="1913" t="s">
        <v>2139</v>
      </c>
      <c r="C13" s="1302"/>
      <c r="D13" s="1303"/>
      <c r="E13" s="1914"/>
      <c r="F13" s="1914"/>
      <c r="G13" s="1914"/>
      <c r="H13" s="1914"/>
      <c r="I13" s="1914"/>
      <c r="J13" s="1914"/>
      <c r="K13" s="1914"/>
      <c r="L13" s="1911"/>
      <c r="M13" s="1914"/>
    </row>
    <row r="14" spans="2:14" ht="20.100000000000001" customHeight="1" x14ac:dyDescent="0.2">
      <c r="B14" s="1915" t="s">
        <v>1059</v>
      </c>
      <c r="C14" s="1302">
        <v>10.553000000000001</v>
      </c>
      <c r="D14" s="1303" t="s">
        <v>2140</v>
      </c>
      <c r="E14" s="1914">
        <v>89673</v>
      </c>
      <c r="F14" s="1914">
        <v>13271</v>
      </c>
      <c r="G14" s="1914">
        <v>89673</v>
      </c>
      <c r="H14" s="1914">
        <v>0</v>
      </c>
      <c r="I14" s="1914">
        <v>13271</v>
      </c>
      <c r="J14" s="1914">
        <v>0</v>
      </c>
      <c r="K14" s="1914"/>
      <c r="L14" s="1911">
        <f t="shared" ref="L14:L54" si="0">+G14+I14+K14</f>
        <v>102944</v>
      </c>
      <c r="M14" s="1914"/>
    </row>
    <row r="15" spans="2:14" ht="20.100000000000001" customHeight="1" x14ac:dyDescent="0.2">
      <c r="B15" s="1915" t="s">
        <v>1059</v>
      </c>
      <c r="C15" s="1302">
        <v>10.553000000000001</v>
      </c>
      <c r="D15" s="1303" t="s">
        <v>2141</v>
      </c>
      <c r="E15" s="1914">
        <v>0</v>
      </c>
      <c r="F15" s="1914">
        <v>64827</v>
      </c>
      <c r="G15" s="1914">
        <v>0</v>
      </c>
      <c r="H15" s="1914">
        <v>0</v>
      </c>
      <c r="I15" s="1914">
        <v>64827</v>
      </c>
      <c r="J15" s="1914">
        <v>0</v>
      </c>
      <c r="K15" s="1914"/>
      <c r="L15" s="1911">
        <f t="shared" si="0"/>
        <v>64827</v>
      </c>
      <c r="M15" s="1914"/>
    </row>
    <row r="16" spans="2:14" ht="20.100000000000001" customHeight="1" x14ac:dyDescent="0.2">
      <c r="B16" s="1915" t="s">
        <v>1058</v>
      </c>
      <c r="C16" s="1302">
        <v>10.555</v>
      </c>
      <c r="D16" s="1303" t="s">
        <v>2142</v>
      </c>
      <c r="E16" s="1914">
        <v>385444</v>
      </c>
      <c r="F16" s="1914">
        <v>72628</v>
      </c>
      <c r="G16" s="1914">
        <v>385444</v>
      </c>
      <c r="H16" s="1914">
        <v>0</v>
      </c>
      <c r="I16" s="1914">
        <v>72628</v>
      </c>
      <c r="J16" s="1914">
        <v>0</v>
      </c>
      <c r="K16" s="1914"/>
      <c r="L16" s="1911">
        <f t="shared" si="0"/>
        <v>458072</v>
      </c>
      <c r="M16" s="1914"/>
    </row>
    <row r="17" spans="2:13" ht="20.100000000000001" customHeight="1" x14ac:dyDescent="0.2">
      <c r="B17" s="1915" t="s">
        <v>1058</v>
      </c>
      <c r="C17" s="1302">
        <v>10.555</v>
      </c>
      <c r="D17" s="1303" t="s">
        <v>2143</v>
      </c>
      <c r="E17" s="1914">
        <v>0</v>
      </c>
      <c r="F17" s="1914">
        <v>321264</v>
      </c>
      <c r="G17" s="1914">
        <v>0</v>
      </c>
      <c r="H17" s="1914">
        <v>0</v>
      </c>
      <c r="I17" s="1914">
        <v>321264</v>
      </c>
      <c r="J17" s="1914">
        <v>0</v>
      </c>
      <c r="K17" s="1914"/>
      <c r="L17" s="1911">
        <f t="shared" si="0"/>
        <v>321264</v>
      </c>
      <c r="M17" s="1914"/>
    </row>
    <row r="18" spans="2:13" ht="20.100000000000001" customHeight="1" x14ac:dyDescent="0.2">
      <c r="B18" s="1915" t="s">
        <v>2144</v>
      </c>
      <c r="C18" s="1302">
        <v>10.555</v>
      </c>
      <c r="D18" s="1303" t="s">
        <v>2145</v>
      </c>
      <c r="E18" s="1914">
        <v>0</v>
      </c>
      <c r="F18" s="1914">
        <v>52783</v>
      </c>
      <c r="G18" s="1914">
        <v>0</v>
      </c>
      <c r="H18" s="1914">
        <v>0</v>
      </c>
      <c r="I18" s="1914">
        <v>52783</v>
      </c>
      <c r="J18" s="1914">
        <v>0</v>
      </c>
      <c r="K18" s="1914"/>
      <c r="L18" s="1911">
        <f t="shared" si="0"/>
        <v>52783</v>
      </c>
      <c r="M18" s="1914"/>
    </row>
    <row r="19" spans="2:13" ht="5.0999999999999996" customHeight="1" x14ac:dyDescent="0.2">
      <c r="B19" s="1915"/>
      <c r="C19" s="1302"/>
      <c r="D19" s="1303"/>
      <c r="E19" s="1914"/>
      <c r="F19" s="1914"/>
      <c r="G19" s="1914"/>
      <c r="H19" s="1914"/>
      <c r="I19" s="1914"/>
      <c r="J19" s="1914"/>
      <c r="K19" s="1914"/>
      <c r="L19" s="1911"/>
      <c r="M19" s="1914"/>
    </row>
    <row r="20" spans="2:13" ht="20.100000000000001" customHeight="1" x14ac:dyDescent="0.2">
      <c r="B20" s="1916" t="s">
        <v>2146</v>
      </c>
      <c r="C20" s="1302"/>
      <c r="D20" s="1303"/>
      <c r="E20" s="1917">
        <f t="shared" ref="E20:K20" si="1">SUM(E14:E19)</f>
        <v>475117</v>
      </c>
      <c r="F20" s="1917">
        <f t="shared" si="1"/>
        <v>524773</v>
      </c>
      <c r="G20" s="1917">
        <f t="shared" si="1"/>
        <v>475117</v>
      </c>
      <c r="H20" s="1917">
        <f t="shared" si="1"/>
        <v>0</v>
      </c>
      <c r="I20" s="1917">
        <f t="shared" si="1"/>
        <v>524773</v>
      </c>
      <c r="J20" s="1917">
        <f t="shared" si="1"/>
        <v>0</v>
      </c>
      <c r="K20" s="1917">
        <f t="shared" si="1"/>
        <v>0</v>
      </c>
      <c r="L20" s="1918">
        <f>+G20+I20+K20</f>
        <v>999890</v>
      </c>
      <c r="M20" s="1914"/>
    </row>
    <row r="21" spans="2:13" s="1922" customFormat="1" ht="20.100000000000001" customHeight="1" x14ac:dyDescent="0.2">
      <c r="B21" s="1919" t="s">
        <v>2147</v>
      </c>
      <c r="C21" s="1920"/>
      <c r="D21" s="1921"/>
      <c r="E21" s="1917">
        <f>+E20</f>
        <v>475117</v>
      </c>
      <c r="F21" s="1917">
        <f t="shared" ref="F21:K21" si="2">+F20</f>
        <v>524773</v>
      </c>
      <c r="G21" s="1917">
        <f t="shared" si="2"/>
        <v>475117</v>
      </c>
      <c r="H21" s="1917">
        <f t="shared" si="2"/>
        <v>0</v>
      </c>
      <c r="I21" s="1917">
        <f t="shared" si="2"/>
        <v>524773</v>
      </c>
      <c r="J21" s="1917">
        <f t="shared" si="2"/>
        <v>0</v>
      </c>
      <c r="K21" s="1917">
        <f t="shared" si="2"/>
        <v>0</v>
      </c>
      <c r="L21" s="1918">
        <f t="shared" si="0"/>
        <v>999890</v>
      </c>
      <c r="M21" s="1917"/>
    </row>
    <row r="22" spans="2:13" ht="20.100000000000001" customHeight="1" x14ac:dyDescent="0.2">
      <c r="B22" s="1299"/>
      <c r="C22" s="1302"/>
      <c r="D22" s="1303"/>
      <c r="E22" s="1914"/>
      <c r="F22" s="1914"/>
      <c r="G22" s="1914"/>
      <c r="H22" s="1914"/>
      <c r="I22" s="1914"/>
      <c r="J22" s="1914"/>
      <c r="K22" s="1914"/>
      <c r="L22" s="1911"/>
      <c r="M22" s="1914"/>
    </row>
    <row r="23" spans="2:13" ht="20.100000000000001" customHeight="1" x14ac:dyDescent="0.2">
      <c r="B23" s="1299" t="s">
        <v>2148</v>
      </c>
      <c r="C23" s="1302"/>
      <c r="D23" s="1303"/>
      <c r="E23" s="1914"/>
      <c r="F23" s="1914"/>
      <c r="G23" s="1914"/>
      <c r="H23" s="1914"/>
      <c r="I23" s="1914"/>
      <c r="J23" s="1914"/>
      <c r="K23" s="1914"/>
      <c r="L23" s="1911"/>
      <c r="M23" s="1914"/>
    </row>
    <row r="24" spans="2:13" s="1926" customFormat="1" ht="20.100000000000001" customHeight="1" x14ac:dyDescent="0.2">
      <c r="B24" s="1912" t="s">
        <v>2149</v>
      </c>
      <c r="C24" s="1923"/>
      <c r="D24" s="1924"/>
      <c r="E24" s="1925"/>
      <c r="F24" s="1925"/>
      <c r="G24" s="1925"/>
      <c r="H24" s="1925"/>
      <c r="I24" s="1925"/>
      <c r="J24" s="1925"/>
      <c r="K24" s="1925"/>
      <c r="L24" s="1911"/>
      <c r="M24" s="1925"/>
    </row>
    <row r="25" spans="2:13" ht="20.100000000000001" customHeight="1" x14ac:dyDescent="0.2">
      <c r="B25" s="1913" t="s">
        <v>2150</v>
      </c>
      <c r="C25" s="1302"/>
      <c r="D25" s="1303"/>
      <c r="E25" s="1914"/>
      <c r="F25" s="1914"/>
      <c r="G25" s="1914"/>
      <c r="H25" s="1914"/>
      <c r="I25" s="1914"/>
      <c r="J25" s="1914"/>
      <c r="K25" s="1914"/>
      <c r="L25" s="1911"/>
      <c r="M25" s="1914"/>
    </row>
    <row r="26" spans="2:13" ht="20.100000000000001" customHeight="1" x14ac:dyDescent="0.2">
      <c r="B26" s="1915" t="s">
        <v>2151</v>
      </c>
      <c r="C26" s="1302">
        <v>84.027000000000001</v>
      </c>
      <c r="D26" s="1303" t="s">
        <v>2152</v>
      </c>
      <c r="E26" s="1914">
        <v>611662</v>
      </c>
      <c r="F26" s="1914">
        <v>0</v>
      </c>
      <c r="G26" s="1914">
        <v>611662</v>
      </c>
      <c r="H26" s="1914">
        <v>0</v>
      </c>
      <c r="I26" s="1914">
        <v>0</v>
      </c>
      <c r="J26" s="1914">
        <v>0</v>
      </c>
      <c r="K26" s="1914"/>
      <c r="L26" s="1911">
        <f t="shared" ref="L26:L30" si="3">+G26+I26+K26</f>
        <v>611662</v>
      </c>
      <c r="M26" s="1914"/>
    </row>
    <row r="27" spans="2:13" ht="20.100000000000001" customHeight="1" x14ac:dyDescent="0.2">
      <c r="B27" s="1915" t="s">
        <v>2153</v>
      </c>
      <c r="C27" s="1302">
        <v>84.027000000000001</v>
      </c>
      <c r="D27" s="1303" t="s">
        <v>2154</v>
      </c>
      <c r="E27" s="1914">
        <v>0</v>
      </c>
      <c r="F27" s="1914">
        <v>652551</v>
      </c>
      <c r="G27" s="1914">
        <v>0</v>
      </c>
      <c r="H27" s="1914">
        <v>0</v>
      </c>
      <c r="I27" s="1914">
        <v>652551</v>
      </c>
      <c r="J27" s="1914">
        <v>0</v>
      </c>
      <c r="K27" s="1914"/>
      <c r="L27" s="1911">
        <f t="shared" si="3"/>
        <v>652551</v>
      </c>
      <c r="M27" s="1914"/>
    </row>
    <row r="28" spans="2:13" ht="20.100000000000001" customHeight="1" x14ac:dyDescent="0.2">
      <c r="B28" s="1915" t="s">
        <v>2155</v>
      </c>
      <c r="C28" s="1302">
        <v>84.027000000000001</v>
      </c>
      <c r="D28" s="1303" t="s">
        <v>2156</v>
      </c>
      <c r="E28" s="1914">
        <v>30919</v>
      </c>
      <c r="F28" s="1914">
        <v>30611</v>
      </c>
      <c r="G28" s="1914">
        <v>30919</v>
      </c>
      <c r="H28" s="1914">
        <v>0</v>
      </c>
      <c r="I28" s="1914">
        <v>30611</v>
      </c>
      <c r="J28" s="1914">
        <v>0</v>
      </c>
      <c r="K28" s="1914"/>
      <c r="L28" s="1911">
        <f t="shared" si="3"/>
        <v>61530</v>
      </c>
      <c r="M28" s="1914"/>
    </row>
    <row r="29" spans="2:13" ht="20.100000000000001" customHeight="1" x14ac:dyDescent="0.2">
      <c r="B29" s="1915" t="s">
        <v>2157</v>
      </c>
      <c r="C29" s="1302">
        <v>84.173000000000002</v>
      </c>
      <c r="D29" s="1303" t="s">
        <v>2158</v>
      </c>
      <c r="E29" s="1914">
        <v>21218</v>
      </c>
      <c r="F29" s="1914">
        <v>0</v>
      </c>
      <c r="G29" s="1914">
        <v>21218</v>
      </c>
      <c r="H29" s="1914">
        <v>0</v>
      </c>
      <c r="I29" s="1914">
        <v>0</v>
      </c>
      <c r="J29" s="1914">
        <v>0</v>
      </c>
      <c r="K29" s="1914"/>
      <c r="L29" s="1911">
        <f t="shared" si="3"/>
        <v>21218</v>
      </c>
      <c r="M29" s="1914"/>
    </row>
    <row r="30" spans="2:13" ht="20.100000000000001" customHeight="1" x14ac:dyDescent="0.2">
      <c r="B30" s="1915" t="s">
        <v>2159</v>
      </c>
      <c r="C30" s="1302">
        <v>84.173000000000002</v>
      </c>
      <c r="D30" s="1303" t="s">
        <v>2160</v>
      </c>
      <c r="E30" s="1914">
        <v>0</v>
      </c>
      <c r="F30" s="1914">
        <v>23491</v>
      </c>
      <c r="G30" s="1914">
        <v>0</v>
      </c>
      <c r="H30" s="1914">
        <v>0</v>
      </c>
      <c r="I30" s="1914">
        <v>23491</v>
      </c>
      <c r="J30" s="1914">
        <v>0</v>
      </c>
      <c r="K30" s="1914"/>
      <c r="L30" s="1911">
        <f t="shared" si="3"/>
        <v>23491</v>
      </c>
      <c r="M30" s="1914"/>
    </row>
    <row r="31" spans="2:13" ht="5.0999999999999996" customHeight="1" x14ac:dyDescent="0.2">
      <c r="B31" s="1915"/>
      <c r="C31" s="1302"/>
      <c r="D31" s="1303"/>
      <c r="E31" s="1914"/>
      <c r="F31" s="1914"/>
      <c r="G31" s="1914"/>
      <c r="H31" s="1914"/>
      <c r="I31" s="1914"/>
      <c r="J31" s="1914"/>
      <c r="K31" s="1914"/>
      <c r="L31" s="1911"/>
      <c r="M31" s="1914"/>
    </row>
    <row r="32" spans="2:13" s="1922" customFormat="1" ht="20.100000000000001" customHeight="1" x14ac:dyDescent="0.2">
      <c r="B32" s="1916" t="s">
        <v>2161</v>
      </c>
      <c r="C32" s="1920"/>
      <c r="D32" s="1921"/>
      <c r="E32" s="1917">
        <f t="shared" ref="E32:K32" si="4">SUM(E26:E31)</f>
        <v>663799</v>
      </c>
      <c r="F32" s="1917">
        <f t="shared" si="4"/>
        <v>706653</v>
      </c>
      <c r="G32" s="1917">
        <f t="shared" si="4"/>
        <v>663799</v>
      </c>
      <c r="H32" s="1917">
        <f t="shared" si="4"/>
        <v>0</v>
      </c>
      <c r="I32" s="1917">
        <f t="shared" si="4"/>
        <v>706653</v>
      </c>
      <c r="J32" s="1917">
        <f t="shared" si="4"/>
        <v>0</v>
      </c>
      <c r="K32" s="1917">
        <f t="shared" si="4"/>
        <v>0</v>
      </c>
      <c r="L32" s="1918">
        <f t="shared" ref="L32:L33" si="5">+G32+I32+K32</f>
        <v>1370452</v>
      </c>
      <c r="M32" s="1917"/>
    </row>
    <row r="33" spans="2:13" s="1922" customFormat="1" ht="20.100000000000001" customHeight="1" x14ac:dyDescent="0.2">
      <c r="B33" s="1919" t="s">
        <v>2162</v>
      </c>
      <c r="C33" s="1920"/>
      <c r="D33" s="1921"/>
      <c r="E33" s="1917">
        <f>+E32</f>
        <v>663799</v>
      </c>
      <c r="F33" s="1917">
        <f t="shared" ref="F33:K33" si="6">+F32</f>
        <v>706653</v>
      </c>
      <c r="G33" s="1917">
        <f t="shared" si="6"/>
        <v>663799</v>
      </c>
      <c r="H33" s="1917">
        <f t="shared" si="6"/>
        <v>0</v>
      </c>
      <c r="I33" s="1917">
        <f t="shared" si="6"/>
        <v>706653</v>
      </c>
      <c r="J33" s="1917">
        <f t="shared" si="6"/>
        <v>0</v>
      </c>
      <c r="K33" s="1917">
        <f t="shared" si="6"/>
        <v>0</v>
      </c>
      <c r="L33" s="1911">
        <f t="shared" si="5"/>
        <v>1370452</v>
      </c>
      <c r="M33" s="1917"/>
    </row>
    <row r="34" spans="2:13" ht="20.100000000000001" customHeight="1" x14ac:dyDescent="0.2">
      <c r="B34" s="1915"/>
      <c r="C34" s="1302"/>
      <c r="D34" s="1303"/>
      <c r="E34" s="1914"/>
      <c r="F34" s="1914"/>
      <c r="G34" s="1914"/>
      <c r="H34" s="1914"/>
      <c r="I34" s="1914"/>
      <c r="J34" s="1914"/>
      <c r="K34" s="1914"/>
      <c r="L34" s="1911"/>
      <c r="M34" s="1914"/>
    </row>
    <row r="35" spans="2:13" ht="20.100000000000001" customHeight="1" x14ac:dyDescent="0.2">
      <c r="B35" s="1299" t="s">
        <v>2163</v>
      </c>
      <c r="C35" s="1302"/>
      <c r="D35" s="1303"/>
      <c r="E35" s="1914"/>
      <c r="F35" s="1914"/>
      <c r="G35" s="1914"/>
      <c r="H35" s="1914"/>
      <c r="I35" s="1914"/>
      <c r="J35" s="1914"/>
      <c r="K35" s="1914"/>
      <c r="L35" s="1911"/>
      <c r="M35" s="1914"/>
    </row>
    <row r="36" spans="2:13" ht="20.100000000000001" customHeight="1" x14ac:dyDescent="0.2">
      <c r="B36" s="1912" t="s">
        <v>2149</v>
      </c>
      <c r="C36" s="1302"/>
      <c r="D36" s="1303"/>
      <c r="E36" s="1914"/>
      <c r="F36" s="1914"/>
      <c r="G36" s="1914"/>
      <c r="H36" s="1914"/>
      <c r="I36" s="1914"/>
      <c r="J36" s="1914"/>
      <c r="K36" s="1914"/>
      <c r="L36" s="1911"/>
      <c r="M36" s="1914"/>
    </row>
    <row r="37" spans="2:13" ht="20.100000000000001" customHeight="1" x14ac:dyDescent="0.2">
      <c r="B37" s="1913" t="s">
        <v>2139</v>
      </c>
      <c r="C37" s="1302"/>
      <c r="D37" s="1303"/>
      <c r="E37" s="1914"/>
      <c r="F37" s="1914"/>
      <c r="G37" s="1914"/>
      <c r="H37" s="1914"/>
      <c r="I37" s="1914"/>
      <c r="J37" s="1914"/>
      <c r="K37" s="1914"/>
      <c r="L37" s="1911"/>
      <c r="M37" s="1914"/>
    </row>
    <row r="38" spans="2:13" ht="20.100000000000001" customHeight="1" x14ac:dyDescent="0.2">
      <c r="B38" s="1915" t="s">
        <v>918</v>
      </c>
      <c r="C38" s="1302">
        <v>84.01</v>
      </c>
      <c r="D38" s="1303" t="s">
        <v>2164</v>
      </c>
      <c r="E38" s="1914">
        <v>0</v>
      </c>
      <c r="F38" s="1914">
        <v>389458</v>
      </c>
      <c r="G38" s="1914">
        <v>0</v>
      </c>
      <c r="H38" s="1914">
        <v>0</v>
      </c>
      <c r="I38" s="1914">
        <v>389458</v>
      </c>
      <c r="J38" s="1914">
        <v>0</v>
      </c>
      <c r="K38" s="1914"/>
      <c r="L38" s="1911">
        <f t="shared" ref="L38:L39" si="7">+G38+I38+K38</f>
        <v>389458</v>
      </c>
      <c r="M38" s="1914"/>
    </row>
    <row r="39" spans="2:13" ht="20.100000000000001" customHeight="1" x14ac:dyDescent="0.2">
      <c r="B39" s="1915" t="s">
        <v>2165</v>
      </c>
      <c r="C39" s="1302">
        <v>84.01</v>
      </c>
      <c r="D39" s="1303" t="s">
        <v>2166</v>
      </c>
      <c r="E39" s="1914">
        <v>0</v>
      </c>
      <c r="F39" s="1914">
        <v>32222</v>
      </c>
      <c r="G39" s="1914">
        <v>0</v>
      </c>
      <c r="H39" s="1914">
        <v>0</v>
      </c>
      <c r="I39" s="1914">
        <v>32222</v>
      </c>
      <c r="J39" s="1914">
        <v>0</v>
      </c>
      <c r="K39" s="1914"/>
      <c r="L39" s="1911">
        <f t="shared" si="7"/>
        <v>32222</v>
      </c>
      <c r="M39" s="1914"/>
    </row>
    <row r="40" spans="2:13" ht="20.100000000000001" customHeight="1" x14ac:dyDescent="0.2">
      <c r="B40" s="1915" t="s">
        <v>758</v>
      </c>
      <c r="C40" s="1302">
        <v>84.367000000000004</v>
      </c>
      <c r="D40" s="1303" t="s">
        <v>2167</v>
      </c>
      <c r="E40" s="1914">
        <v>0</v>
      </c>
      <c r="F40" s="1914">
        <v>81309</v>
      </c>
      <c r="G40" s="1914">
        <v>0</v>
      </c>
      <c r="H40" s="1914">
        <v>0</v>
      </c>
      <c r="I40" s="1914">
        <v>81309</v>
      </c>
      <c r="J40" s="1914">
        <v>0</v>
      </c>
      <c r="K40" s="1914"/>
      <c r="L40" s="1911">
        <f t="shared" si="0"/>
        <v>81309</v>
      </c>
      <c r="M40" s="1914"/>
    </row>
    <row r="41" spans="2:13" ht="20.100000000000001" customHeight="1" x14ac:dyDescent="0.2">
      <c r="B41" s="1915" t="s">
        <v>2168</v>
      </c>
      <c r="C41" s="1302">
        <v>84.364999999999995</v>
      </c>
      <c r="D41" s="1303" t="s">
        <v>2169</v>
      </c>
      <c r="E41" s="1914">
        <v>0</v>
      </c>
      <c r="F41" s="1914">
        <v>5978</v>
      </c>
      <c r="G41" s="1914">
        <v>0</v>
      </c>
      <c r="H41" s="1914">
        <v>0</v>
      </c>
      <c r="I41" s="1914">
        <v>5978</v>
      </c>
      <c r="J41" s="1914">
        <v>0</v>
      </c>
      <c r="K41" s="1914"/>
      <c r="L41" s="1911">
        <f t="shared" si="0"/>
        <v>5978</v>
      </c>
      <c r="M41" s="1914"/>
    </row>
    <row r="42" spans="2:13" ht="20.100000000000001" customHeight="1" x14ac:dyDescent="0.2">
      <c r="B42" s="1915" t="s">
        <v>1456</v>
      </c>
      <c r="C42" s="1302">
        <v>84.364999999999995</v>
      </c>
      <c r="D42" s="1303" t="s">
        <v>2170</v>
      </c>
      <c r="E42" s="1914">
        <v>0</v>
      </c>
      <c r="F42" s="1914">
        <v>55209</v>
      </c>
      <c r="G42" s="1914">
        <v>0</v>
      </c>
      <c r="H42" s="1914">
        <v>0</v>
      </c>
      <c r="I42" s="1914">
        <v>55209</v>
      </c>
      <c r="J42" s="1914">
        <v>0</v>
      </c>
      <c r="K42" s="1914"/>
      <c r="L42" s="1911">
        <f t="shared" si="0"/>
        <v>55209</v>
      </c>
      <c r="M42" s="1914"/>
    </row>
    <row r="43" spans="2:13" ht="21" customHeight="1" x14ac:dyDescent="0.2">
      <c r="B43" s="1915" t="s">
        <v>2171</v>
      </c>
      <c r="C43" s="1302">
        <v>84.364999999999995</v>
      </c>
      <c r="D43" s="1303" t="s">
        <v>2172</v>
      </c>
      <c r="E43" s="1914">
        <v>0</v>
      </c>
      <c r="F43" s="1914">
        <v>33175</v>
      </c>
      <c r="G43" s="1914">
        <v>0</v>
      </c>
      <c r="H43" s="1914">
        <v>0</v>
      </c>
      <c r="I43" s="1914">
        <v>33175</v>
      </c>
      <c r="J43" s="1914">
        <v>0</v>
      </c>
      <c r="K43" s="1914"/>
      <c r="L43" s="1911">
        <f t="shared" si="0"/>
        <v>33175</v>
      </c>
      <c r="M43" s="1914"/>
    </row>
    <row r="44" spans="2:13" ht="5.0999999999999996" customHeight="1" x14ac:dyDescent="0.2">
      <c r="B44" s="1915"/>
      <c r="C44" s="1302"/>
      <c r="D44" s="1303"/>
      <c r="E44" s="1914"/>
      <c r="F44" s="1914"/>
      <c r="G44" s="1914"/>
      <c r="H44" s="1914"/>
      <c r="I44" s="1914"/>
      <c r="J44" s="1914"/>
      <c r="K44" s="1914"/>
      <c r="L44" s="1911"/>
      <c r="M44" s="1914"/>
    </row>
    <row r="45" spans="2:13" s="1922" customFormat="1" ht="20.100000000000001" customHeight="1" x14ac:dyDescent="0.2">
      <c r="B45" s="1916" t="s">
        <v>2161</v>
      </c>
      <c r="C45" s="1920"/>
      <c r="D45" s="1921"/>
      <c r="E45" s="1917">
        <f t="shared" ref="E45:K45" si="8">SUM(E38:E44)</f>
        <v>0</v>
      </c>
      <c r="F45" s="1917">
        <f t="shared" si="8"/>
        <v>597351</v>
      </c>
      <c r="G45" s="1917">
        <f t="shared" si="8"/>
        <v>0</v>
      </c>
      <c r="H45" s="1917">
        <f t="shared" si="8"/>
        <v>0</v>
      </c>
      <c r="I45" s="1917">
        <f t="shared" si="8"/>
        <v>597351</v>
      </c>
      <c r="J45" s="1917">
        <f t="shared" si="8"/>
        <v>0</v>
      </c>
      <c r="K45" s="1917">
        <f t="shared" si="8"/>
        <v>0</v>
      </c>
      <c r="L45" s="1918">
        <f t="shared" si="0"/>
        <v>597351</v>
      </c>
      <c r="M45" s="1917"/>
    </row>
    <row r="46" spans="2:13" ht="20.100000000000001" customHeight="1" x14ac:dyDescent="0.2">
      <c r="B46" s="1299"/>
      <c r="C46" s="1302"/>
      <c r="D46" s="1303"/>
      <c r="E46" s="1914"/>
      <c r="F46" s="1914"/>
      <c r="G46" s="1914"/>
      <c r="H46" s="1914"/>
      <c r="I46" s="1914"/>
      <c r="J46" s="1914"/>
      <c r="K46" s="1914"/>
      <c r="L46" s="1911"/>
      <c r="M46" s="1914"/>
    </row>
    <row r="47" spans="2:13" ht="20.100000000000001" customHeight="1" x14ac:dyDescent="0.2">
      <c r="B47" s="1912" t="s">
        <v>2173</v>
      </c>
      <c r="C47" s="1302"/>
      <c r="D47" s="1303"/>
      <c r="E47" s="1914"/>
      <c r="F47" s="1914"/>
      <c r="G47" s="1914"/>
      <c r="H47" s="1914"/>
      <c r="I47" s="1914"/>
      <c r="J47" s="1914"/>
      <c r="K47" s="1914"/>
      <c r="L47" s="1911"/>
      <c r="M47" s="1914"/>
    </row>
    <row r="48" spans="2:13" ht="20.100000000000001" customHeight="1" x14ac:dyDescent="0.2">
      <c r="B48" s="1913" t="s">
        <v>2174</v>
      </c>
      <c r="C48" s="1302"/>
      <c r="D48" s="1303"/>
      <c r="E48" s="1914"/>
      <c r="F48" s="1914"/>
      <c r="G48" s="1914"/>
      <c r="H48" s="1914"/>
      <c r="I48" s="1914"/>
      <c r="J48" s="1914"/>
      <c r="K48" s="1914"/>
      <c r="L48" s="1911"/>
      <c r="M48" s="1914"/>
    </row>
    <row r="49" spans="2:14" ht="20.100000000000001" customHeight="1" x14ac:dyDescent="0.2">
      <c r="B49" s="1915" t="s">
        <v>2175</v>
      </c>
      <c r="C49" s="1302">
        <v>93.778000000000006</v>
      </c>
      <c r="D49" s="1303" t="s">
        <v>2145</v>
      </c>
      <c r="E49" s="1914">
        <v>0</v>
      </c>
      <c r="F49" s="1914">
        <v>58080</v>
      </c>
      <c r="G49" s="1914">
        <v>0</v>
      </c>
      <c r="H49" s="1914">
        <v>0</v>
      </c>
      <c r="I49" s="1914">
        <v>58080</v>
      </c>
      <c r="J49" s="1914">
        <v>0</v>
      </c>
      <c r="K49" s="1914"/>
      <c r="L49" s="1911">
        <f t="shared" si="0"/>
        <v>58080</v>
      </c>
      <c r="M49" s="1914"/>
    </row>
    <row r="50" spans="2:14" ht="5.0999999999999996" customHeight="1" x14ac:dyDescent="0.2">
      <c r="B50" s="1915"/>
      <c r="C50" s="1302"/>
      <c r="D50" s="1303"/>
      <c r="E50" s="1914"/>
      <c r="F50" s="1914"/>
      <c r="G50" s="1914"/>
      <c r="H50" s="1914"/>
      <c r="I50" s="1914"/>
      <c r="J50" s="1914"/>
      <c r="K50" s="1914"/>
      <c r="L50" s="1911"/>
      <c r="M50" s="1914"/>
    </row>
    <row r="51" spans="2:14" s="1922" customFormat="1" ht="20.100000000000001" customHeight="1" x14ac:dyDescent="0.2">
      <c r="B51" s="1916" t="s">
        <v>2176</v>
      </c>
      <c r="C51" s="1920"/>
      <c r="D51" s="1921"/>
      <c r="E51" s="1917">
        <f>SUM(E49:E50)</f>
        <v>0</v>
      </c>
      <c r="F51" s="1917">
        <f t="shared" ref="F51:K51" si="9">SUM(F49:F50)</f>
        <v>58080</v>
      </c>
      <c r="G51" s="1917">
        <f t="shared" si="9"/>
        <v>0</v>
      </c>
      <c r="H51" s="1917">
        <f t="shared" si="9"/>
        <v>0</v>
      </c>
      <c r="I51" s="1917">
        <f t="shared" si="9"/>
        <v>58080</v>
      </c>
      <c r="J51" s="1917">
        <f t="shared" si="9"/>
        <v>0</v>
      </c>
      <c r="K51" s="1917">
        <f t="shared" si="9"/>
        <v>0</v>
      </c>
      <c r="L51" s="1911">
        <f t="shared" si="0"/>
        <v>58080</v>
      </c>
      <c r="M51" s="1917"/>
    </row>
    <row r="52" spans="2:14" s="1922" customFormat="1" ht="20.100000000000001" customHeight="1" x14ac:dyDescent="0.2">
      <c r="B52" s="1919" t="s">
        <v>2177</v>
      </c>
      <c r="C52" s="1920"/>
      <c r="D52" s="1921"/>
      <c r="E52" s="1917">
        <f>+E45+E51</f>
        <v>0</v>
      </c>
      <c r="F52" s="1917">
        <f t="shared" ref="F52:K52" si="10">+F45+F51</f>
        <v>655431</v>
      </c>
      <c r="G52" s="1917">
        <f t="shared" si="10"/>
        <v>0</v>
      </c>
      <c r="H52" s="1917">
        <f t="shared" si="10"/>
        <v>0</v>
      </c>
      <c r="I52" s="1917">
        <f t="shared" si="10"/>
        <v>655431</v>
      </c>
      <c r="J52" s="1917">
        <f t="shared" si="10"/>
        <v>0</v>
      </c>
      <c r="K52" s="1917">
        <f t="shared" si="10"/>
        <v>0</v>
      </c>
      <c r="L52" s="1911">
        <f t="shared" si="0"/>
        <v>655431</v>
      </c>
      <c r="M52" s="1917"/>
    </row>
    <row r="53" spans="2:14" ht="20.100000000000001" customHeight="1" x14ac:dyDescent="0.2">
      <c r="B53" s="1299"/>
      <c r="C53" s="1302"/>
      <c r="D53" s="1303"/>
      <c r="E53" s="1914"/>
      <c r="F53" s="1914"/>
      <c r="G53" s="1914"/>
      <c r="H53" s="1914"/>
      <c r="I53" s="1914"/>
      <c r="J53" s="1914"/>
      <c r="K53" s="1914"/>
      <c r="L53" s="1911"/>
      <c r="M53" s="1914"/>
    </row>
    <row r="54" spans="2:14" s="1922" customFormat="1" ht="20.100000000000001" customHeight="1" x14ac:dyDescent="0.2">
      <c r="B54" s="1919" t="s">
        <v>2178</v>
      </c>
      <c r="C54" s="1920"/>
      <c r="D54" s="1921"/>
      <c r="E54" s="1917">
        <f t="shared" ref="E54:K54" si="11">+E52+E33+E21</f>
        <v>1138916</v>
      </c>
      <c r="F54" s="1917">
        <f t="shared" si="11"/>
        <v>1886857</v>
      </c>
      <c r="G54" s="1917">
        <f t="shared" si="11"/>
        <v>1138916</v>
      </c>
      <c r="H54" s="1917">
        <f t="shared" si="11"/>
        <v>0</v>
      </c>
      <c r="I54" s="1917">
        <f t="shared" si="11"/>
        <v>1886857</v>
      </c>
      <c r="J54" s="1917">
        <f t="shared" si="11"/>
        <v>0</v>
      </c>
      <c r="K54" s="1917">
        <f t="shared" si="11"/>
        <v>0</v>
      </c>
      <c r="L54" s="1918">
        <f t="shared" si="0"/>
        <v>3025773</v>
      </c>
      <c r="M54" s="1917"/>
    </row>
    <row r="55" spans="2:14" ht="12.75" customHeight="1" x14ac:dyDescent="0.2">
      <c r="B55" s="1927"/>
      <c r="C55" s="1928"/>
      <c r="D55" s="1929"/>
      <c r="E55" s="1930"/>
      <c r="F55" s="1930"/>
      <c r="G55" s="1930"/>
      <c r="H55" s="1930"/>
      <c r="I55" s="1930"/>
      <c r="J55" s="1930"/>
      <c r="K55" s="1930"/>
      <c r="L55" s="1930"/>
      <c r="M55" s="1930"/>
      <c r="N55" s="1931"/>
    </row>
    <row r="56" spans="2:14" x14ac:dyDescent="0.2">
      <c r="B56" s="1219"/>
      <c r="C56" s="1932"/>
      <c r="D56" s="1933"/>
      <c r="E56" s="1219"/>
      <c r="F56" s="1219"/>
      <c r="G56" s="1228"/>
      <c r="H56" s="1228"/>
      <c r="I56" s="1228"/>
      <c r="J56" s="1228"/>
      <c r="K56" s="1228"/>
      <c r="L56" s="1228"/>
      <c r="M56" s="1219"/>
      <c r="N56" s="1931"/>
    </row>
    <row r="57" spans="2:14" ht="13.5" customHeight="1" x14ac:dyDescent="0.2">
      <c r="B57" s="1212" t="s">
        <v>1736</v>
      </c>
      <c r="C57" s="1932"/>
      <c r="D57" s="1933"/>
      <c r="E57" s="1219"/>
      <c r="F57" s="1219"/>
      <c r="G57" s="1228"/>
      <c r="H57" s="1228"/>
      <c r="I57" s="1228"/>
      <c r="J57" s="1228"/>
      <c r="K57" s="1228"/>
      <c r="L57" s="1228"/>
      <c r="M57" s="1219"/>
      <c r="N57" s="1931"/>
    </row>
    <row r="58" spans="2:14" ht="8.25" customHeight="1" x14ac:dyDescent="0.2">
      <c r="B58" s="1212"/>
      <c r="C58" s="1932"/>
      <c r="D58" s="1933"/>
      <c r="E58" s="1219"/>
      <c r="F58" s="1219"/>
      <c r="G58" s="1228"/>
      <c r="H58" s="1228"/>
      <c r="I58" s="1228"/>
      <c r="J58" s="1228"/>
      <c r="K58" s="1228"/>
      <c r="L58" s="1228"/>
      <c r="M58" s="1219"/>
      <c r="N58" s="1931"/>
    </row>
    <row r="59" spans="2:14" x14ac:dyDescent="0.2">
      <c r="B59" s="1934" t="s">
        <v>1839</v>
      </c>
      <c r="C59" s="1935"/>
      <c r="D59" s="1936"/>
      <c r="E59" s="1937"/>
      <c r="F59" s="1937"/>
      <c r="G59" s="1937"/>
      <c r="H59" s="1937"/>
      <c r="I59" s="316"/>
      <c r="J59" s="316"/>
    </row>
    <row r="60" spans="2:14" x14ac:dyDescent="0.2">
      <c r="B60" s="1939"/>
      <c r="G60" s="316"/>
      <c r="H60" s="316"/>
      <c r="I60" s="316"/>
      <c r="J60" s="316"/>
    </row>
    <row r="61" spans="2:14" ht="13.5" customHeight="1" x14ac:dyDescent="0.2">
      <c r="B61" s="1939" t="s">
        <v>1246</v>
      </c>
      <c r="G61" s="316"/>
      <c r="H61" s="316"/>
      <c r="I61" s="316"/>
      <c r="J61" s="316"/>
    </row>
    <row r="62" spans="2:14" ht="13.5" customHeight="1" x14ac:dyDescent="0.2">
      <c r="B62" s="1942"/>
      <c r="C62" s="1943"/>
      <c r="D62" s="1944"/>
      <c r="E62" s="1945"/>
      <c r="F62" s="1945"/>
      <c r="G62" s="1945"/>
      <c r="H62" s="1945"/>
      <c r="I62" s="1945"/>
      <c r="J62" s="1945"/>
      <c r="K62" s="1946"/>
      <c r="L62" s="1946"/>
      <c r="M62" s="1945"/>
    </row>
    <row r="63" spans="2:14" ht="9.6" customHeight="1" x14ac:dyDescent="0.2">
      <c r="B63" s="1947"/>
      <c r="G63" s="316"/>
      <c r="H63" s="316"/>
      <c r="I63" s="316"/>
      <c r="J63" s="316"/>
    </row>
    <row r="64" spans="2:14" ht="11.25" customHeight="1" x14ac:dyDescent="0.2">
      <c r="B64" s="1948" t="s">
        <v>1737</v>
      </c>
      <c r="C64" s="1949"/>
      <c r="D64" s="1949"/>
      <c r="E64" s="1949"/>
      <c r="F64" s="1949"/>
      <c r="G64" s="1949"/>
      <c r="H64" s="1949"/>
      <c r="I64" s="1950"/>
      <c r="J64" s="1950"/>
      <c r="K64" s="1950"/>
      <c r="L64" s="1950"/>
      <c r="M64" s="1950"/>
    </row>
    <row r="65" spans="2:13" ht="11.25" customHeight="1" x14ac:dyDescent="0.2">
      <c r="B65" s="1951" t="s">
        <v>1584</v>
      </c>
      <c r="C65" s="1950"/>
      <c r="D65" s="1950"/>
      <c r="E65" s="1950"/>
      <c r="F65" s="1950"/>
      <c r="G65" s="1950"/>
      <c r="H65" s="1950"/>
      <c r="I65" s="1950"/>
      <c r="J65" s="1950"/>
      <c r="K65" s="1950"/>
      <c r="L65" s="1950"/>
      <c r="M65" s="1950"/>
    </row>
    <row r="66" spans="2:13" ht="3.95" customHeight="1" x14ac:dyDescent="0.2">
      <c r="B66" s="1951"/>
      <c r="C66" s="1950"/>
      <c r="D66" s="1950"/>
      <c r="E66" s="1950"/>
      <c r="F66" s="1950"/>
      <c r="G66" s="1950"/>
      <c r="H66" s="1950"/>
      <c r="I66" s="1950"/>
      <c r="J66" s="1950"/>
      <c r="K66" s="1950"/>
      <c r="L66" s="1950"/>
      <c r="M66" s="1950"/>
    </row>
    <row r="67" spans="2:13" ht="11.25" customHeight="1" x14ac:dyDescent="0.2">
      <c r="B67" s="1948" t="s">
        <v>1738</v>
      </c>
      <c r="C67" s="1950"/>
      <c r="D67" s="1950"/>
      <c r="E67" s="1950"/>
      <c r="F67" s="1950"/>
      <c r="G67" s="1950"/>
      <c r="H67" s="1950"/>
      <c r="I67" s="1950"/>
      <c r="J67" s="1950"/>
      <c r="K67" s="1950"/>
      <c r="L67" s="1950"/>
      <c r="M67" s="1950"/>
    </row>
    <row r="68" spans="2:13" ht="11.25" customHeight="1" x14ac:dyDescent="0.2">
      <c r="B68" s="1219" t="s">
        <v>1585</v>
      </c>
      <c r="C68" s="1932"/>
      <c r="D68" s="1933"/>
      <c r="E68" s="1219"/>
      <c r="F68" s="1219"/>
      <c r="G68" s="1219"/>
      <c r="H68" s="1219"/>
      <c r="I68" s="1219"/>
      <c r="J68" s="1219"/>
      <c r="K68" s="1228"/>
      <c r="L68" s="1228"/>
      <c r="M68" s="1219"/>
    </row>
    <row r="69" spans="2:13" ht="3.95" customHeight="1" x14ac:dyDescent="0.2">
      <c r="B69" s="1219"/>
      <c r="C69" s="1932"/>
      <c r="D69" s="1933"/>
      <c r="E69" s="1219"/>
      <c r="F69" s="1219"/>
      <c r="G69" s="1219"/>
      <c r="H69" s="1219"/>
      <c r="I69" s="1219"/>
      <c r="J69" s="1219"/>
      <c r="K69" s="1228"/>
      <c r="L69" s="1228"/>
      <c r="M69" s="1219"/>
    </row>
    <row r="70" spans="2:13" ht="11.25" customHeight="1" x14ac:dyDescent="0.2">
      <c r="B70" s="1952" t="s">
        <v>1739</v>
      </c>
      <c r="C70" s="1932"/>
      <c r="D70" s="1933"/>
      <c r="E70" s="1219"/>
      <c r="F70" s="1219"/>
      <c r="G70" s="1219"/>
      <c r="H70" s="1219"/>
      <c r="I70" s="1219"/>
      <c r="J70" s="1219"/>
      <c r="K70" s="1228"/>
      <c r="L70" s="1228"/>
      <c r="M70" s="1219"/>
    </row>
    <row r="71" spans="2:13" ht="3.95" customHeight="1" x14ac:dyDescent="0.2">
      <c r="B71" s="1952"/>
      <c r="C71" s="1932"/>
      <c r="D71" s="1933"/>
      <c r="E71" s="1219"/>
      <c r="F71" s="1219"/>
      <c r="G71" s="1219"/>
      <c r="H71" s="1219"/>
      <c r="I71" s="1219"/>
      <c r="J71" s="1219"/>
      <c r="K71" s="1228"/>
      <c r="L71" s="1228"/>
      <c r="M71" s="1219"/>
    </row>
    <row r="72" spans="2:13" ht="11.25" customHeight="1" x14ac:dyDescent="0.2">
      <c r="B72" s="1953" t="s">
        <v>1740</v>
      </c>
      <c r="C72" s="1932"/>
      <c r="D72" s="1933"/>
      <c r="E72" s="1219"/>
      <c r="F72" s="1219"/>
      <c r="G72" s="1219"/>
      <c r="H72" s="1219"/>
      <c r="I72" s="1219"/>
      <c r="J72" s="1219"/>
      <c r="K72" s="1228"/>
      <c r="L72" s="1228"/>
      <c r="M72" s="1219"/>
    </row>
    <row r="73" spans="2:13" ht="11.25" customHeight="1" x14ac:dyDescent="0.2">
      <c r="B73" s="1219" t="s">
        <v>1586</v>
      </c>
      <c r="G73" s="316"/>
      <c r="H73" s="316"/>
      <c r="I73" s="316"/>
      <c r="J73" s="316"/>
    </row>
    <row r="74" spans="2:13" ht="11.1" customHeight="1" x14ac:dyDescent="0.2">
      <c r="B74" s="1219"/>
      <c r="G74" s="316"/>
      <c r="H74" s="316"/>
      <c r="I74" s="316"/>
      <c r="J74" s="316"/>
    </row>
    <row r="75" spans="2:13" ht="11.1" customHeight="1" x14ac:dyDescent="0.2">
      <c r="B75" s="1219"/>
      <c r="G75" s="316"/>
      <c r="H75" s="316"/>
      <c r="I75" s="316"/>
      <c r="J75" s="316"/>
    </row>
    <row r="76" spans="2:13" ht="13.5" customHeight="1" x14ac:dyDescent="0.2">
      <c r="M76" s="1954"/>
    </row>
    <row r="77" spans="2:13" ht="13.5" customHeight="1" x14ac:dyDescent="0.2">
      <c r="M77" s="1954"/>
    </row>
    <row r="78" spans="2:13" ht="13.5" customHeight="1" x14ac:dyDescent="0.2">
      <c r="M78" s="1954"/>
    </row>
    <row r="79" spans="2:13" ht="13.5" customHeight="1" x14ac:dyDescent="0.2">
      <c r="G79" s="316"/>
      <c r="H79" s="316"/>
      <c r="I79" s="316"/>
      <c r="J79" s="316"/>
    </row>
    <row r="80" spans="2:13" ht="13.5" customHeight="1" x14ac:dyDescent="0.2">
      <c r="G80" s="316"/>
      <c r="H80" s="316"/>
      <c r="I80" s="316"/>
      <c r="J80" s="316"/>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c r="G85" s="316"/>
      <c r="H85" s="316"/>
      <c r="I85" s="316"/>
      <c r="J85" s="316"/>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I42" sqref="I42:O4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Woodridge SD 68</v>
      </c>
      <c r="B1" s="2459"/>
      <c r="C1" s="2459"/>
      <c r="D1" s="2459"/>
      <c r="E1" s="2459"/>
      <c r="F1" s="2459"/>
    </row>
    <row r="2" spans="1:7" ht="13.5" customHeight="1" x14ac:dyDescent="0.2">
      <c r="A2" s="2460">
        <f>'Single Audit Cover'!E7</f>
        <v>19022068002</v>
      </c>
      <c r="B2" s="2460"/>
      <c r="C2" s="2460"/>
      <c r="D2" s="2460"/>
      <c r="E2" s="2460"/>
      <c r="F2" s="2460"/>
      <c r="G2" s="1272"/>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3" t="s">
        <v>1728</v>
      </c>
      <c r="C6" s="317"/>
      <c r="D6" s="317"/>
    </row>
    <row r="7" spans="1:7" ht="60.95" customHeight="1" x14ac:dyDescent="0.2">
      <c r="A7" s="2458" t="s">
        <v>2179</v>
      </c>
      <c r="B7" s="2458"/>
      <c r="C7" s="2458"/>
      <c r="D7" s="2458"/>
      <c r="E7" s="2458"/>
      <c r="F7" s="245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2064</v>
      </c>
      <c r="F10" s="1277" t="s">
        <v>99</v>
      </c>
      <c r="G10" s="1275"/>
    </row>
    <row r="11" spans="1:7" ht="12" customHeight="1" x14ac:dyDescent="0.2">
      <c r="A11" s="1276"/>
      <c r="B11" s="1277"/>
      <c r="C11" s="1839"/>
      <c r="D11" s="1277"/>
      <c r="E11" s="1839"/>
      <c r="F11" s="1277"/>
      <c r="G11" s="1275"/>
    </row>
    <row r="12" spans="1:7" x14ac:dyDescent="0.2">
      <c r="A12" s="1273" t="s">
        <v>1587</v>
      </c>
      <c r="C12" s="1257"/>
      <c r="D12" s="1257"/>
    </row>
    <row r="13" spans="1:7" ht="15" customHeight="1" x14ac:dyDescent="0.2">
      <c r="A13" s="2458" t="s">
        <v>1730</v>
      </c>
      <c r="B13" s="2458"/>
      <c r="C13" s="2458"/>
      <c r="D13" s="2458"/>
      <c r="E13" s="2458"/>
      <c r="F13" s="2458"/>
    </row>
    <row r="14" spans="1:7" ht="9.75" customHeight="1" x14ac:dyDescent="0.2">
      <c r="C14" s="1257"/>
      <c r="D14" s="1257"/>
    </row>
    <row r="15" spans="1:7" ht="13.5" customHeight="1" x14ac:dyDescent="0.2">
      <c r="C15" s="1783" t="s">
        <v>1270</v>
      </c>
      <c r="D15" s="2456" t="s">
        <v>1269</v>
      </c>
      <c r="E15" s="2456"/>
      <c r="F15" s="2456"/>
    </row>
    <row r="16" spans="1:7" ht="13.5" customHeight="1" x14ac:dyDescent="0.2">
      <c r="A16" s="1279"/>
      <c r="B16" s="1273" t="s">
        <v>1268</v>
      </c>
      <c r="C16" s="1783" t="s">
        <v>1267</v>
      </c>
      <c r="D16" s="2457" t="s">
        <v>1588</v>
      </c>
      <c r="E16" s="2457"/>
      <c r="F16" s="2457"/>
    </row>
    <row r="17" spans="1:6" ht="20.45" customHeight="1" x14ac:dyDescent="0.2">
      <c r="A17" s="1280"/>
      <c r="B17" s="1281"/>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00"/>
      <c r="D30" s="1840"/>
      <c r="E30" s="1283"/>
    </row>
    <row r="31" spans="1:6" ht="12" customHeight="1" x14ac:dyDescent="0.2">
      <c r="A31" s="1284" t="s">
        <v>1549</v>
      </c>
      <c r="B31" s="328"/>
      <c r="C31" s="1400"/>
      <c r="D31" s="1840"/>
      <c r="E31" s="1283"/>
    </row>
    <row r="32" spans="1:6" ht="30" customHeight="1" x14ac:dyDescent="0.2">
      <c r="A32" s="2452" t="s">
        <v>1731</v>
      </c>
      <c r="B32" s="2452"/>
      <c r="C32" s="2452"/>
      <c r="D32" s="2452"/>
      <c r="E32" s="2452"/>
      <c r="F32" s="2452"/>
    </row>
    <row r="33" spans="1:6" ht="13.5" customHeight="1" x14ac:dyDescent="0.2">
      <c r="A33" s="328" t="s">
        <v>1434</v>
      </c>
      <c r="B33" s="328"/>
      <c r="C33" s="1285">
        <v>52783</v>
      </c>
      <c r="D33" s="1840"/>
      <c r="E33" s="1283"/>
    </row>
    <row r="34" spans="1:6" ht="13.5" customHeight="1" x14ac:dyDescent="0.2">
      <c r="A34" s="328" t="s">
        <v>1837</v>
      </c>
      <c r="B34" s="328"/>
      <c r="C34" s="1286">
        <v>0</v>
      </c>
      <c r="D34" s="1840" t="s">
        <v>1589</v>
      </c>
      <c r="E34" s="2453">
        <f>+C33+C34</f>
        <v>52783</v>
      </c>
      <c r="F34" s="2454"/>
    </row>
    <row r="35" spans="1:6" ht="12" customHeight="1" x14ac:dyDescent="0.2">
      <c r="A35" s="328"/>
      <c r="B35" s="328"/>
      <c r="C35" s="1841"/>
      <c r="D35" s="1840"/>
      <c r="E35" s="1287"/>
      <c r="F35" s="1288"/>
    </row>
    <row r="36" spans="1:6" ht="13.5" customHeight="1" x14ac:dyDescent="0.2">
      <c r="A36" s="1284" t="s">
        <v>1550</v>
      </c>
      <c r="B36" s="328"/>
      <c r="C36" s="1400"/>
      <c r="D36" s="1840"/>
      <c r="E36" s="1283"/>
    </row>
    <row r="37" spans="1:6" ht="14.25" customHeight="1" x14ac:dyDescent="0.2">
      <c r="A37" s="328" t="s">
        <v>1484</v>
      </c>
      <c r="B37" s="328"/>
      <c r="C37" s="1842"/>
      <c r="D37" s="1840"/>
      <c r="E37" s="1283"/>
    </row>
    <row r="38" spans="1:6" ht="14.25" customHeight="1" x14ac:dyDescent="0.2">
      <c r="A38" s="328"/>
      <c r="B38" s="328" t="s">
        <v>1435</v>
      </c>
      <c r="C38" s="1289">
        <v>0</v>
      </c>
      <c r="D38" s="1840"/>
      <c r="E38" s="1283"/>
    </row>
    <row r="39" spans="1:6" ht="14.25" customHeight="1" x14ac:dyDescent="0.2">
      <c r="A39" s="328"/>
      <c r="B39" s="328" t="s">
        <v>1436</v>
      </c>
      <c r="C39" s="1289">
        <v>0</v>
      </c>
      <c r="D39" s="1840"/>
      <c r="E39" s="1283"/>
    </row>
    <row r="40" spans="1:6" ht="14.25" customHeight="1" x14ac:dyDescent="0.2">
      <c r="A40" s="328"/>
      <c r="B40" s="328" t="s">
        <v>1437</v>
      </c>
      <c r="C40" s="1289">
        <v>0</v>
      </c>
      <c r="D40" s="1840"/>
      <c r="E40" s="1283"/>
    </row>
    <row r="41" spans="1:6" ht="14.25" customHeight="1" x14ac:dyDescent="0.2">
      <c r="A41" s="328"/>
      <c r="B41" s="328" t="s">
        <v>1438</v>
      </c>
      <c r="C41" s="1289">
        <v>0</v>
      </c>
      <c r="D41" s="1840"/>
      <c r="E41" s="1283"/>
    </row>
    <row r="42" spans="1:6" ht="14.25" customHeight="1" x14ac:dyDescent="0.2">
      <c r="A42" s="328" t="s">
        <v>1439</v>
      </c>
      <c r="B42" s="328"/>
      <c r="C42" s="1838">
        <v>0</v>
      </c>
      <c r="D42" s="1840"/>
      <c r="E42" s="1283"/>
    </row>
    <row r="43" spans="1:6" ht="14.25" customHeight="1" x14ac:dyDescent="0.2">
      <c r="A43" s="328" t="s">
        <v>1440</v>
      </c>
      <c r="B43" s="328"/>
      <c r="C43" s="1290" t="s">
        <v>383</v>
      </c>
      <c r="D43" s="1840"/>
      <c r="E43" s="1283"/>
    </row>
    <row r="44" spans="1:6" ht="14.25" customHeight="1" x14ac:dyDescent="0.2">
      <c r="A44" s="328"/>
      <c r="B44" s="328"/>
      <c r="C44" s="1842" t="s">
        <v>1441</v>
      </c>
      <c r="D44" s="1840"/>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34"/>
    </row>
    <row r="50" spans="1:5" s="1297" customFormat="1" ht="3.75" customHeight="1" x14ac:dyDescent="0.2">
      <c r="A50" s="1296"/>
      <c r="B50" s="1782"/>
      <c r="C50" s="1782"/>
      <c r="D50" s="1782"/>
      <c r="E50" s="1334"/>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I42" sqref="I42:O4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33420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77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79518</v>
      </c>
      <c r="G85" s="276">
        <v>95277</v>
      </c>
      <c r="H85" s="276">
        <v>72442</v>
      </c>
      <c r="I85" s="276"/>
      <c r="J85" s="277">
        <f>SUM(E85:I85)</f>
        <v>247237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247237</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2065</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361</v>
      </c>
      <c r="E119" s="310"/>
      <c r="F119" s="1776" t="s">
        <v>1905</v>
      </c>
      <c r="G119" s="328"/>
      <c r="H119" s="328"/>
      <c r="I119" s="304"/>
    </row>
    <row r="120" spans="1:9" x14ac:dyDescent="0.2">
      <c r="A120" s="329"/>
      <c r="B120" s="180"/>
      <c r="C120" s="330"/>
      <c r="D120" s="256"/>
      <c r="E120" s="256"/>
      <c r="F120" s="256"/>
      <c r="G120" s="256"/>
      <c r="H120" s="256"/>
      <c r="I120" s="304"/>
    </row>
    <row r="121" spans="1:9" x14ac:dyDescent="0.2">
      <c r="A121" s="329"/>
      <c r="B121" s="142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I42" sqref="I42:O42"/>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Woodridge SD 68</v>
      </c>
      <c r="C1" s="2475"/>
      <c r="D1" s="2475"/>
      <c r="E1" s="2475"/>
      <c r="F1" s="2475"/>
      <c r="G1" s="2475"/>
      <c r="H1" s="2475"/>
      <c r="I1" s="2475"/>
      <c r="J1" s="1344"/>
    </row>
    <row r="2" spans="2:10" s="317" customFormat="1" ht="12.75" customHeight="1" x14ac:dyDescent="0.2">
      <c r="B2" s="2476">
        <f>'Single Audit Cover'!E7</f>
        <v>19022068002</v>
      </c>
      <c r="C2" s="2477"/>
      <c r="D2" s="2477"/>
      <c r="E2" s="2477"/>
      <c r="F2" s="2477"/>
      <c r="G2" s="2477"/>
      <c r="H2" s="2477"/>
      <c r="I2" s="2477"/>
      <c r="J2" s="1344"/>
    </row>
    <row r="3" spans="2:10" s="317" customFormat="1" ht="12.75" customHeight="1" x14ac:dyDescent="0.2">
      <c r="B3" s="2478" t="s">
        <v>1285</v>
      </c>
      <c r="C3" s="2479"/>
      <c r="D3" s="2479"/>
      <c r="E3" s="2479"/>
      <c r="F3" s="2479"/>
      <c r="G3" s="2479"/>
      <c r="H3" s="2479"/>
      <c r="I3" s="2479"/>
      <c r="J3" s="1345"/>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346" t="s">
        <v>1169</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8" t="s">
        <v>1284</v>
      </c>
      <c r="C7" s="2479"/>
      <c r="D7" s="2479"/>
      <c r="E7" s="2479"/>
      <c r="F7" s="2479"/>
      <c r="G7" s="2479"/>
      <c r="H7" s="2479"/>
      <c r="I7" s="2479"/>
    </row>
    <row r="8" spans="2:10" s="317" customFormat="1" ht="6.2" customHeight="1" x14ac:dyDescent="0.2">
      <c r="B8" s="1348" t="s">
        <v>1169</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1283</v>
      </c>
      <c r="C10" s="1353"/>
      <c r="D10" s="1353"/>
      <c r="E10" s="1255"/>
    </row>
    <row r="11" spans="2:10" s="317" customFormat="1" ht="13.5" customHeight="1" x14ac:dyDescent="0.2">
      <c r="B11" s="1304" t="s">
        <v>1282</v>
      </c>
      <c r="C11" s="2480" t="s">
        <v>2180</v>
      </c>
      <c r="D11" s="2480"/>
      <c r="E11" s="1354"/>
      <c r="F11" s="1354"/>
      <c r="G11" s="1354"/>
    </row>
    <row r="12" spans="2:10" s="317" customFormat="1" ht="11.45" customHeight="1" x14ac:dyDescent="0.2">
      <c r="B12" s="1305"/>
      <c r="C12" s="1355" t="s">
        <v>1442</v>
      </c>
      <c r="D12" s="1356"/>
      <c r="E12" s="1255"/>
    </row>
    <row r="13" spans="2:10" s="317" customFormat="1" ht="12.75" customHeight="1" x14ac:dyDescent="0.2">
      <c r="B13" s="1357"/>
      <c r="C13" s="1322"/>
      <c r="D13" s="1322"/>
      <c r="E13" s="1255"/>
    </row>
    <row r="14" spans="2:10" s="317" customFormat="1" ht="12.75" customHeight="1" x14ac:dyDescent="0.2">
      <c r="B14" s="1307" t="s">
        <v>1281</v>
      </c>
      <c r="C14" s="1279"/>
      <c r="E14" s="1255"/>
    </row>
    <row r="15" spans="2:10" s="317" customFormat="1" ht="13.5" customHeight="1" x14ac:dyDescent="0.2">
      <c r="B15" s="1358" t="s">
        <v>1278</v>
      </c>
      <c r="C15" s="1359"/>
      <c r="D15" s="1333"/>
      <c r="E15" s="1360"/>
      <c r="F15" s="1297" t="s">
        <v>885</v>
      </c>
      <c r="G15" s="1360" t="s">
        <v>2064</v>
      </c>
      <c r="H15" s="1297" t="s">
        <v>1276</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1277</v>
      </c>
      <c r="C17" s="1359"/>
      <c r="D17" s="1333"/>
      <c r="E17" s="1361"/>
      <c r="F17" s="1254"/>
      <c r="G17" s="1361"/>
      <c r="H17" s="1297"/>
      <c r="I17" s="1297"/>
    </row>
    <row r="18" spans="2:9" s="317" customFormat="1" ht="12.75" customHeight="1" x14ac:dyDescent="0.2">
      <c r="B18" s="1358" t="s">
        <v>1443</v>
      </c>
      <c r="C18" s="1359"/>
      <c r="D18" s="1333"/>
      <c r="E18" s="1360"/>
      <c r="F18" s="1297" t="s">
        <v>885</v>
      </c>
      <c r="G18" s="1360" t="s">
        <v>2064</v>
      </c>
      <c r="H18" s="1297" t="s">
        <v>1276</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1591</v>
      </c>
      <c r="C20" s="1359"/>
      <c r="D20" s="1333"/>
      <c r="E20" s="1360"/>
      <c r="F20" s="1297" t="s">
        <v>885</v>
      </c>
      <c r="G20" s="1360" t="s">
        <v>2064</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1280</v>
      </c>
      <c r="C22" s="1362"/>
      <c r="D22" s="1353"/>
      <c r="E22" s="1318"/>
      <c r="F22" s="1297"/>
      <c r="G22" s="322"/>
      <c r="H22" s="1297"/>
      <c r="I22" s="1297"/>
    </row>
    <row r="23" spans="2:9" s="317" customFormat="1" ht="12.75" customHeight="1" x14ac:dyDescent="0.2">
      <c r="B23" s="1307" t="s">
        <v>1279</v>
      </c>
      <c r="C23" s="1279"/>
      <c r="E23" s="1318"/>
      <c r="F23" s="1297"/>
      <c r="G23" s="322"/>
      <c r="H23" s="1297"/>
      <c r="I23" s="1297"/>
    </row>
    <row r="24" spans="2:9" s="317" customFormat="1" ht="13.5" customHeight="1" x14ac:dyDescent="0.2">
      <c r="B24" s="1358" t="s">
        <v>1278</v>
      </c>
      <c r="C24" s="1359"/>
      <c r="D24" s="1333"/>
      <c r="E24" s="1360"/>
      <c r="F24" s="1297" t="s">
        <v>885</v>
      </c>
      <c r="G24" s="1360" t="s">
        <v>2064</v>
      </c>
      <c r="H24" s="1297" t="s">
        <v>1276</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1277</v>
      </c>
      <c r="C26" s="1359"/>
      <c r="D26" s="1333"/>
      <c r="E26" s="1361"/>
      <c r="F26" s="1254"/>
      <c r="G26" s="1361"/>
      <c r="H26" s="1297"/>
      <c r="I26" s="1297"/>
    </row>
    <row r="27" spans="2:9" s="317" customFormat="1" ht="12.75" customHeight="1" x14ac:dyDescent="0.2">
      <c r="B27" s="1358" t="s">
        <v>1443</v>
      </c>
      <c r="C27" s="1359"/>
      <c r="D27" s="1333"/>
      <c r="E27" s="1360"/>
      <c r="F27" s="1297" t="s">
        <v>885</v>
      </c>
      <c r="G27" s="1360" t="s">
        <v>2064</v>
      </c>
      <c r="H27" s="1297" t="s">
        <v>1276</v>
      </c>
      <c r="I27" s="1297"/>
    </row>
    <row r="28" spans="2:9" s="317" customFormat="1" ht="12.75" customHeight="1" x14ac:dyDescent="0.2">
      <c r="B28" s="1307"/>
      <c r="C28" s="1279"/>
      <c r="E28" s="1255"/>
    </row>
    <row r="29" spans="2:9" s="317" customFormat="1" ht="12.75" customHeight="1" x14ac:dyDescent="0.2">
      <c r="B29" s="1307" t="s">
        <v>1275</v>
      </c>
      <c r="C29" s="1279"/>
      <c r="D29" s="2481" t="s">
        <v>2180</v>
      </c>
      <c r="E29" s="2481"/>
      <c r="F29" s="2481"/>
      <c r="G29" s="2481"/>
      <c r="H29" s="2481"/>
      <c r="I29" s="2481"/>
    </row>
    <row r="30" spans="2:9" s="317" customFormat="1" x14ac:dyDescent="0.2">
      <c r="B30" s="1307"/>
      <c r="C30" s="322"/>
      <c r="D30" s="1355" t="s">
        <v>1747</v>
      </c>
      <c r="E30" s="1356"/>
      <c r="F30" s="1356"/>
      <c r="G30" s="1356"/>
      <c r="H30" s="1356"/>
      <c r="I30" s="1356"/>
    </row>
    <row r="31" spans="2:9" s="317" customFormat="1" ht="9.9499999999999993" customHeight="1" x14ac:dyDescent="0.2">
      <c r="B31" s="1307"/>
      <c r="E31" s="1255"/>
    </row>
    <row r="32" spans="2:9" s="317" customFormat="1" x14ac:dyDescent="0.2">
      <c r="B32" s="1307" t="s">
        <v>1274</v>
      </c>
      <c r="C32" s="1279"/>
      <c r="E32" s="1255"/>
    </row>
    <row r="33" spans="2:9" ht="13.5" customHeight="1" x14ac:dyDescent="0.2">
      <c r="B33" s="1307" t="s">
        <v>1552</v>
      </c>
      <c r="C33" s="1279"/>
      <c r="E33" s="1360"/>
      <c r="F33" s="1297" t="s">
        <v>885</v>
      </c>
      <c r="G33" s="1360" t="s">
        <v>2064</v>
      </c>
      <c r="H33" s="1297" t="s">
        <v>99</v>
      </c>
    </row>
    <row r="35" spans="2:9" x14ac:dyDescent="0.2">
      <c r="B35" s="1363" t="s">
        <v>1748</v>
      </c>
      <c r="C35" s="1364"/>
      <c r="D35" s="1264"/>
    </row>
    <row r="36" spans="2:9" ht="6" customHeight="1" x14ac:dyDescent="0.2">
      <c r="B36" s="1363"/>
      <c r="C36" s="1364"/>
      <c r="D36" s="1264"/>
    </row>
    <row r="37" spans="2:9" ht="17.25" customHeight="1" x14ac:dyDescent="0.2">
      <c r="B37" s="1365" t="s">
        <v>1749</v>
      </c>
      <c r="C37" s="2482" t="s">
        <v>1750</v>
      </c>
      <c r="D37" s="2483"/>
      <c r="E37" s="2483"/>
      <c r="F37" s="2484"/>
      <c r="G37" s="2482" t="s">
        <v>1592</v>
      </c>
      <c r="H37" s="2483"/>
      <c r="I37" s="2484"/>
    </row>
    <row r="38" spans="2:9" ht="16.5" customHeight="1" x14ac:dyDescent="0.2">
      <c r="B38" s="1366" t="s">
        <v>2181</v>
      </c>
      <c r="C38" s="2470" t="s">
        <v>2182</v>
      </c>
      <c r="D38" s="2471"/>
      <c r="E38" s="2471"/>
      <c r="F38" s="2472"/>
      <c r="G38" s="2485">
        <v>706653</v>
      </c>
      <c r="H38" s="2486"/>
      <c r="I38" s="2487"/>
    </row>
    <row r="39" spans="2:9" ht="16.5" customHeight="1" x14ac:dyDescent="0.2">
      <c r="B39" s="1366"/>
      <c r="C39" s="2470"/>
      <c r="D39" s="2471"/>
      <c r="E39" s="2471"/>
      <c r="F39" s="2472"/>
      <c r="G39" s="2473"/>
      <c r="H39" s="2473"/>
      <c r="I39" s="2473"/>
    </row>
    <row r="40" spans="2:9" ht="16.5" customHeight="1" x14ac:dyDescent="0.2">
      <c r="B40" s="1366"/>
      <c r="C40" s="2470"/>
      <c r="D40" s="2471"/>
      <c r="E40" s="2471"/>
      <c r="F40" s="2472"/>
      <c r="G40" s="2473"/>
      <c r="H40" s="2473"/>
      <c r="I40" s="2473"/>
    </row>
    <row r="41" spans="2:9" ht="16.5" customHeight="1" x14ac:dyDescent="0.2">
      <c r="B41" s="1366"/>
      <c r="C41" s="2470"/>
      <c r="D41" s="2471"/>
      <c r="E41" s="2471"/>
      <c r="F41" s="2472"/>
      <c r="G41" s="2473"/>
      <c r="H41" s="2473"/>
      <c r="I41" s="2473"/>
    </row>
    <row r="42" spans="2:9" ht="16.5" customHeight="1" x14ac:dyDescent="0.2">
      <c r="B42" s="1366"/>
      <c r="C42" s="2470"/>
      <c r="D42" s="2471"/>
      <c r="E42" s="2471"/>
      <c r="F42" s="2472"/>
      <c r="G42" s="2473"/>
      <c r="H42" s="2473"/>
      <c r="I42" s="2473"/>
    </row>
    <row r="43" spans="2:9" ht="16.5" customHeight="1" x14ac:dyDescent="0.2">
      <c r="B43" s="1366"/>
      <c r="C43" s="2463" t="s">
        <v>1593</v>
      </c>
      <c r="D43" s="2464"/>
      <c r="E43" s="2464"/>
      <c r="F43" s="2465"/>
      <c r="G43" s="2466">
        <f>SUM(G38:I42)</f>
        <v>706653</v>
      </c>
      <c r="H43" s="2466"/>
      <c r="I43" s="2466"/>
    </row>
    <row r="44" spans="2:9" ht="12.75" customHeight="1" x14ac:dyDescent="0.2"/>
    <row r="45" spans="2:9" ht="12.75" customHeight="1" x14ac:dyDescent="0.2">
      <c r="B45" s="1357" t="s">
        <v>1840</v>
      </c>
      <c r="D45" s="2467">
        <f>' SEFA'!I54</f>
        <v>1886857</v>
      </c>
      <c r="E45" s="2468"/>
    </row>
    <row r="46" spans="2:9" ht="5.25" customHeight="1" x14ac:dyDescent="0.2">
      <c r="B46" s="1367"/>
      <c r="D46" s="1368"/>
      <c r="E46" s="1369"/>
    </row>
    <row r="47" spans="2:9" ht="12.75" customHeight="1" x14ac:dyDescent="0.2">
      <c r="B47" s="1297" t="s">
        <v>1594</v>
      </c>
      <c r="C47" s="1297"/>
      <c r="D47" s="1370">
        <f>+G43/D45</f>
        <v>0.374513277900763</v>
      </c>
      <c r="E47" s="1371"/>
      <c r="F47" s="1372"/>
      <c r="I47" s="1373"/>
    </row>
    <row r="48" spans="2:9" ht="9.9499999999999993" customHeight="1" x14ac:dyDescent="0.2"/>
    <row r="49" spans="1:9" x14ac:dyDescent="0.2">
      <c r="B49" s="1307" t="s">
        <v>1273</v>
      </c>
      <c r="C49" s="1279"/>
      <c r="D49" s="1279"/>
      <c r="E49" s="2469">
        <v>750000</v>
      </c>
      <c r="F49" s="2469"/>
      <c r="G49" s="2469"/>
      <c r="H49" s="322"/>
    </row>
    <row r="51" spans="1:9" ht="13.5" customHeight="1" x14ac:dyDescent="0.2">
      <c r="B51" s="1307" t="s">
        <v>1272</v>
      </c>
      <c r="C51" s="1279"/>
      <c r="E51" s="1360" t="s">
        <v>2064</v>
      </c>
      <c r="F51" s="1297" t="s">
        <v>885</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1751</v>
      </c>
      <c r="C54" s="1382"/>
      <c r="D54" s="1382"/>
    </row>
    <row r="55" spans="1:9" s="1383" customFormat="1" ht="12.75" customHeight="1" x14ac:dyDescent="0.2">
      <c r="A55" s="1380"/>
      <c r="B55" s="1384" t="s">
        <v>1595</v>
      </c>
      <c r="C55" s="1380"/>
      <c r="D55" s="1380"/>
    </row>
    <row r="56" spans="1:9" s="1383" customFormat="1" ht="12.75" customHeight="1" x14ac:dyDescent="0.2">
      <c r="A56" s="1380"/>
      <c r="B56" s="1384" t="s">
        <v>1596</v>
      </c>
      <c r="C56" s="1380"/>
      <c r="D56" s="1380"/>
    </row>
    <row r="57" spans="1:9" s="1383" customFormat="1" ht="3.95" customHeight="1" x14ac:dyDescent="0.2">
      <c r="A57" s="1380"/>
      <c r="B57" s="1384"/>
      <c r="C57" s="1380"/>
      <c r="D57" s="1380"/>
    </row>
    <row r="58" spans="1:9" s="1383" customFormat="1" ht="13.5" customHeight="1" x14ac:dyDescent="0.2">
      <c r="A58" s="1380"/>
      <c r="B58" s="1385" t="s">
        <v>1752</v>
      </c>
      <c r="C58" s="1386"/>
      <c r="D58" s="1386"/>
    </row>
    <row r="59" spans="1:9" s="1383" customFormat="1" ht="3.95" customHeight="1" x14ac:dyDescent="0.2">
      <c r="A59" s="1380"/>
      <c r="B59" s="1385"/>
      <c r="C59" s="1386"/>
      <c r="D59" s="1386"/>
    </row>
    <row r="60" spans="1:9" s="1383" customFormat="1" ht="13.5" customHeight="1" x14ac:dyDescent="0.2">
      <c r="A60" s="1380"/>
      <c r="B60" s="1385" t="s">
        <v>1753</v>
      </c>
      <c r="C60" s="1386"/>
      <c r="D60" s="1386"/>
    </row>
    <row r="61" spans="1:9" s="1383" customFormat="1" ht="3.95" customHeight="1" x14ac:dyDescent="0.2">
      <c r="A61" s="1380"/>
      <c r="B61" s="1385"/>
      <c r="C61" s="1386"/>
      <c r="D61" s="1386"/>
    </row>
    <row r="62" spans="1:9" s="1383" customFormat="1" ht="12.75" customHeight="1" x14ac:dyDescent="0.2">
      <c r="A62" s="1380"/>
      <c r="B62" s="1385" t="s">
        <v>1754</v>
      </c>
      <c r="C62" s="1386"/>
      <c r="D62" s="1386"/>
    </row>
    <row r="63" spans="1:9" s="1383" customFormat="1" ht="13.5" customHeight="1" x14ac:dyDescent="0.2">
      <c r="A63" s="1380"/>
      <c r="B63" s="1384" t="s">
        <v>1597</v>
      </c>
      <c r="C63" s="1380"/>
      <c r="D63" s="138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I42" sqref="I42:O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Woodridge SD 68</v>
      </c>
      <c r="C1" s="2474"/>
      <c r="D1" s="2474"/>
      <c r="E1" s="2474"/>
      <c r="F1" s="2474"/>
      <c r="G1" s="2474"/>
      <c r="H1" s="2474"/>
      <c r="I1" s="2474"/>
      <c r="J1" s="2474"/>
      <c r="K1" s="2474"/>
      <c r="L1" s="1309"/>
      <c r="M1" s="1309"/>
    </row>
    <row r="2" spans="1:13" ht="12" customHeight="1" x14ac:dyDescent="0.2">
      <c r="B2" s="2476">
        <f>'Single Audit Cover'!E7</f>
        <v>19022068002</v>
      </c>
      <c r="C2" s="2476"/>
      <c r="D2" s="2476"/>
      <c r="E2" s="2476"/>
      <c r="F2" s="2476"/>
      <c r="G2" s="2476"/>
      <c r="H2" s="2476"/>
      <c r="I2" s="2476"/>
      <c r="J2" s="2476"/>
      <c r="K2" s="2476"/>
      <c r="L2" s="1310"/>
      <c r="M2" s="1311"/>
    </row>
    <row r="3" spans="1:13" ht="10.35" customHeight="1" x14ac:dyDescent="0.2">
      <c r="B3" s="2490" t="s">
        <v>1285</v>
      </c>
      <c r="C3" s="2490"/>
      <c r="D3" s="2490"/>
      <c r="E3" s="2490"/>
      <c r="F3" s="2490"/>
      <c r="G3" s="2490"/>
      <c r="H3" s="2490"/>
      <c r="I3" s="2490"/>
      <c r="J3" s="2490"/>
      <c r="K3" s="2490"/>
      <c r="L3" s="1312"/>
      <c r="M3" s="1312"/>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1" t="s">
        <v>1296</v>
      </c>
      <c r="C7" s="2491"/>
      <c r="D7" s="2492"/>
      <c r="E7" s="2492"/>
      <c r="F7" s="2492"/>
      <c r="G7" s="2492"/>
      <c r="H7" s="2492"/>
      <c r="I7" s="2492"/>
      <c r="J7" s="2492"/>
      <c r="K7" s="2492"/>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1741</v>
      </c>
      <c r="C10" s="1320" t="s">
        <v>1990</v>
      </c>
      <c r="D10" s="1321"/>
      <c r="E10" s="322"/>
      <c r="F10" s="1322" t="s">
        <v>1295</v>
      </c>
      <c r="G10" s="1323"/>
      <c r="H10" s="1324" t="s">
        <v>1294</v>
      </c>
      <c r="I10" s="1323"/>
      <c r="J10" s="1325" t="s">
        <v>1293</v>
      </c>
      <c r="K10" s="322"/>
      <c r="L10" s="1316"/>
    </row>
    <row r="11" spans="1:13" ht="13.5" customHeight="1" x14ac:dyDescent="0.2">
      <c r="B11" s="322"/>
      <c r="C11" s="322"/>
      <c r="D11" s="322"/>
      <c r="E11" s="322"/>
      <c r="F11" s="322"/>
      <c r="G11" s="1318"/>
      <c r="H11" s="322"/>
      <c r="I11" s="1326" t="s">
        <v>1292</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1291</v>
      </c>
      <c r="C13" s="1328"/>
      <c r="D13" s="1329"/>
      <c r="E13" s="1329"/>
      <c r="F13" s="1329"/>
      <c r="G13" s="1330"/>
      <c r="H13" s="1329"/>
      <c r="I13" s="1330"/>
      <c r="J13" s="1329"/>
      <c r="K13" s="1329"/>
      <c r="L13" s="1331"/>
    </row>
    <row r="14" spans="1:13" ht="45.75" customHeight="1" x14ac:dyDescent="0.2">
      <c r="B14" s="2489"/>
      <c r="C14" s="2489"/>
      <c r="D14" s="2489"/>
      <c r="E14" s="2489"/>
      <c r="F14" s="2489"/>
      <c r="G14" s="2489"/>
      <c r="H14" s="2489"/>
      <c r="I14" s="2489"/>
      <c r="J14" s="2489"/>
      <c r="K14" s="2489"/>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1290</v>
      </c>
      <c r="C16" s="1328"/>
      <c r="D16" s="1329"/>
      <c r="E16" s="1329"/>
      <c r="F16" s="1329"/>
      <c r="G16" s="1330"/>
      <c r="H16" s="1329"/>
      <c r="I16" s="1330"/>
      <c r="J16" s="1329"/>
      <c r="K16" s="1329"/>
      <c r="L16" s="1331"/>
    </row>
    <row r="17" spans="2:12" ht="45.75" customHeight="1" x14ac:dyDescent="0.2">
      <c r="B17" s="2489"/>
      <c r="C17" s="2489"/>
      <c r="D17" s="2489"/>
      <c r="E17" s="2489"/>
      <c r="F17" s="2489"/>
      <c r="G17" s="2489"/>
      <c r="H17" s="2489"/>
      <c r="I17" s="2489"/>
      <c r="J17" s="2489"/>
      <c r="K17" s="2489"/>
      <c r="L17" s="1316"/>
    </row>
    <row r="18" spans="2:12" ht="4.5" customHeight="1" x14ac:dyDescent="0.2">
      <c r="B18" s="1333"/>
      <c r="C18" s="1333"/>
      <c r="L18" s="1316"/>
    </row>
    <row r="19" spans="2:12" s="1279" customFormat="1" ht="13.5" customHeight="1" x14ac:dyDescent="0.2">
      <c r="B19" s="1328" t="s">
        <v>1742</v>
      </c>
      <c r="C19" s="1328"/>
      <c r="D19" s="1329"/>
      <c r="E19" s="1329"/>
      <c r="F19" s="1329"/>
      <c r="G19" s="1330"/>
      <c r="H19" s="1329"/>
      <c r="I19" s="1330"/>
      <c r="J19" s="1329"/>
      <c r="K19" s="1329"/>
      <c r="L19" s="1331"/>
    </row>
    <row r="20" spans="2:12" ht="45.75" customHeight="1" x14ac:dyDescent="0.2">
      <c r="B20" s="2493"/>
      <c r="C20" s="2493"/>
      <c r="D20" s="2489"/>
      <c r="E20" s="2489"/>
      <c r="F20" s="2489"/>
      <c r="G20" s="2489"/>
      <c r="H20" s="2489"/>
      <c r="I20" s="2489"/>
      <c r="J20" s="2489"/>
      <c r="K20" s="2489"/>
      <c r="L20" s="1316"/>
    </row>
    <row r="21" spans="2:12" ht="4.5" customHeight="1" x14ac:dyDescent="0.2">
      <c r="B21" s="1335"/>
      <c r="C21" s="1335"/>
      <c r="L21" s="1316"/>
    </row>
    <row r="22" spans="2:12" ht="13.5" customHeight="1" x14ac:dyDescent="0.2">
      <c r="B22" s="1328" t="s">
        <v>1289</v>
      </c>
      <c r="C22" s="1328"/>
      <c r="D22" s="1314"/>
      <c r="E22" s="1314"/>
      <c r="F22" s="1314"/>
      <c r="G22" s="1315"/>
      <c r="H22" s="1314"/>
      <c r="I22" s="1315"/>
      <c r="J22" s="1314"/>
      <c r="K22" s="1314"/>
      <c r="L22" s="1316"/>
    </row>
    <row r="23" spans="2:12" ht="45" customHeight="1" x14ac:dyDescent="0.2">
      <c r="B23" s="2489"/>
      <c r="C23" s="2489"/>
      <c r="D23" s="2489"/>
      <c r="E23" s="2489"/>
      <c r="F23" s="2489"/>
      <c r="G23" s="2489"/>
      <c r="H23" s="2489"/>
      <c r="I23" s="2489"/>
      <c r="J23" s="2489"/>
      <c r="K23" s="2489"/>
      <c r="L23" s="1316"/>
    </row>
    <row r="24" spans="2:12" ht="4.5" customHeight="1" x14ac:dyDescent="0.2">
      <c r="B24" s="1333"/>
      <c r="C24" s="1333"/>
      <c r="L24" s="1316"/>
    </row>
    <row r="25" spans="2:12" ht="13.5" customHeight="1" x14ac:dyDescent="0.2">
      <c r="B25" s="1328" t="s">
        <v>1288</v>
      </c>
      <c r="C25" s="1328"/>
      <c r="D25" s="1314"/>
      <c r="E25" s="1314"/>
      <c r="F25" s="1314"/>
      <c r="G25" s="1315"/>
      <c r="H25" s="1314"/>
      <c r="I25" s="1315"/>
      <c r="J25" s="1314"/>
      <c r="K25" s="1314"/>
      <c r="L25" s="1316"/>
    </row>
    <row r="26" spans="2:12" ht="45.75" customHeight="1" x14ac:dyDescent="0.2">
      <c r="B26" s="2489"/>
      <c r="C26" s="2489"/>
      <c r="D26" s="2489"/>
      <c r="E26" s="2489"/>
      <c r="F26" s="2489"/>
      <c r="G26" s="2489"/>
      <c r="H26" s="2489"/>
      <c r="I26" s="2489"/>
      <c r="J26" s="2489"/>
      <c r="K26" s="2489"/>
      <c r="L26" s="1316"/>
    </row>
    <row r="27" spans="2:12" ht="4.5" customHeight="1" x14ac:dyDescent="0.2">
      <c r="B27" s="1333"/>
      <c r="C27" s="1333"/>
      <c r="L27" s="1316"/>
    </row>
    <row r="28" spans="2:12" ht="13.5" customHeight="1" x14ac:dyDescent="0.2">
      <c r="B28" s="1336" t="s">
        <v>1287</v>
      </c>
      <c r="C28" s="1336"/>
      <c r="D28" s="1314"/>
      <c r="E28" s="1314"/>
      <c r="F28" s="1314"/>
      <c r="G28" s="1315"/>
      <c r="H28" s="1314"/>
      <c r="I28" s="1315"/>
      <c r="J28" s="1314"/>
      <c r="K28" s="1314"/>
      <c r="L28" s="1316"/>
    </row>
    <row r="29" spans="2:12" ht="45.75" customHeight="1" x14ac:dyDescent="0.2">
      <c r="B29" s="2488"/>
      <c r="C29" s="2488"/>
      <c r="D29" s="2489"/>
      <c r="E29" s="2489"/>
      <c r="F29" s="2489"/>
      <c r="G29" s="2489"/>
      <c r="H29" s="2489"/>
      <c r="I29" s="2489"/>
      <c r="J29" s="2489"/>
      <c r="K29" s="2489"/>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1743</v>
      </c>
      <c r="C31" s="1338"/>
      <c r="D31" s="1313"/>
      <c r="E31" s="1314"/>
      <c r="F31" s="1314"/>
      <c r="G31" s="1315"/>
      <c r="H31" s="1314"/>
      <c r="I31" s="1315"/>
      <c r="J31" s="1314"/>
      <c r="K31" s="1314"/>
      <c r="L31" s="1316"/>
    </row>
    <row r="32" spans="2:12" s="322" customFormat="1" ht="44.25" customHeight="1" x14ac:dyDescent="0.2">
      <c r="B32" s="2488"/>
      <c r="C32" s="2488"/>
      <c r="D32" s="2489"/>
      <c r="E32" s="2489"/>
      <c r="F32" s="2489"/>
      <c r="G32" s="2489"/>
      <c r="H32" s="2489"/>
      <c r="I32" s="2489"/>
      <c r="J32" s="2489"/>
      <c r="K32" s="2489"/>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1744</v>
      </c>
      <c r="C35" s="1341"/>
      <c r="D35" s="322"/>
      <c r="E35" s="322"/>
      <c r="F35" s="322"/>
      <c r="L35" s="1316"/>
    </row>
    <row r="36" spans="1:13" ht="9.6" customHeight="1" x14ac:dyDescent="0.2">
      <c r="B36" s="1297" t="s">
        <v>1841</v>
      </c>
      <c r="C36" s="1297"/>
      <c r="L36" s="1316"/>
    </row>
    <row r="37" spans="1:13" ht="9.6" customHeight="1" x14ac:dyDescent="0.2">
      <c r="B37" s="1297" t="s">
        <v>1842</v>
      </c>
      <c r="C37" s="1297"/>
    </row>
    <row r="38" spans="1:13" ht="11.85" customHeight="1" x14ac:dyDescent="0.2">
      <c r="B38" s="1342" t="s">
        <v>1745</v>
      </c>
      <c r="C38" s="1342"/>
    </row>
    <row r="39" spans="1:13" ht="9.6" customHeight="1" x14ac:dyDescent="0.2">
      <c r="B39" s="1297" t="s">
        <v>1286</v>
      </c>
      <c r="C39" s="1297"/>
      <c r="M39" s="1343"/>
    </row>
    <row r="40" spans="1:13" ht="12.6" customHeight="1" x14ac:dyDescent="0.2">
      <c r="B40" s="1342" t="s">
        <v>1746</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42" sqref="I42:O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Woodridge SD 68</v>
      </c>
      <c r="C1" s="2497"/>
      <c r="D1" s="2497"/>
      <c r="E1" s="2497"/>
      <c r="F1" s="2497"/>
      <c r="G1" s="2497"/>
      <c r="H1" s="2497"/>
      <c r="I1" s="2497"/>
      <c r="J1" s="2497"/>
      <c r="K1" s="2497"/>
      <c r="L1" s="1387"/>
    </row>
    <row r="2" spans="1:12" ht="12.75" customHeight="1" x14ac:dyDescent="0.2">
      <c r="B2" s="2498">
        <f>'Single Audit Cover'!E7</f>
        <v>19022068002</v>
      </c>
      <c r="C2" s="2498"/>
      <c r="D2" s="2498"/>
      <c r="E2" s="2498"/>
      <c r="F2" s="2498"/>
      <c r="G2" s="2498"/>
      <c r="H2" s="2498"/>
      <c r="I2" s="2498"/>
      <c r="J2" s="2498"/>
      <c r="K2" s="2498"/>
      <c r="L2" s="1388"/>
    </row>
    <row r="3" spans="1:12" ht="12.75" customHeight="1" x14ac:dyDescent="0.2">
      <c r="B3" s="2490" t="s">
        <v>1285</v>
      </c>
      <c r="C3" s="2490"/>
      <c r="D3" s="2490"/>
      <c r="E3" s="2490"/>
      <c r="F3" s="2490"/>
      <c r="G3" s="2490"/>
      <c r="H3" s="2490"/>
      <c r="I3" s="2490"/>
      <c r="J3" s="2490"/>
      <c r="K3" s="2490"/>
      <c r="L3" s="1312"/>
    </row>
    <row r="4" spans="1:12" ht="12.75" customHeight="1" x14ac:dyDescent="0.2">
      <c r="B4" s="2490" t="str">
        <f>'Single Audit Cover'!A4</f>
        <v>Year Ending June 30, 2019</v>
      </c>
      <c r="C4" s="2490"/>
      <c r="D4" s="2490"/>
      <c r="E4" s="2490"/>
      <c r="F4" s="2490"/>
      <c r="G4" s="2490"/>
      <c r="H4" s="2490"/>
      <c r="I4" s="2490"/>
      <c r="J4" s="2490"/>
      <c r="K4" s="2490"/>
      <c r="L4" s="1312"/>
    </row>
    <row r="5" spans="1:12" ht="5.25" customHeight="1" x14ac:dyDescent="0.2">
      <c r="B5" s="1257" t="s">
        <v>1169</v>
      </c>
      <c r="C5" s="1257"/>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14"/>
      <c r="C7" s="1314"/>
      <c r="D7" s="1314"/>
      <c r="E7" s="1314"/>
      <c r="F7" s="1314"/>
      <c r="G7" s="1315"/>
      <c r="H7" s="1314"/>
      <c r="I7" s="1315"/>
      <c r="J7" s="1314"/>
      <c r="K7" s="1314"/>
      <c r="L7" s="322"/>
    </row>
    <row r="8" spans="1:12" ht="13.5" customHeight="1" x14ac:dyDescent="0.2">
      <c r="B8" s="1322" t="s">
        <v>1755</v>
      </c>
      <c r="C8" s="1389" t="s">
        <v>1990</v>
      </c>
      <c r="D8" s="1390"/>
      <c r="E8" s="322"/>
      <c r="F8" s="1319" t="s">
        <v>1295</v>
      </c>
      <c r="G8" s="1391"/>
      <c r="H8" s="1392" t="s">
        <v>1307</v>
      </c>
      <c r="I8" s="1391"/>
      <c r="J8" s="1393" t="s">
        <v>1306</v>
      </c>
      <c r="L8" s="322"/>
    </row>
    <row r="9" spans="1:12" ht="13.5" customHeight="1" x14ac:dyDescent="0.2">
      <c r="D9" s="322"/>
      <c r="E9" s="322"/>
      <c r="F9" s="322"/>
      <c r="G9" s="1318"/>
      <c r="H9" s="322"/>
      <c r="I9" s="1394" t="s">
        <v>1292</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1305</v>
      </c>
      <c r="C12" s="1319"/>
      <c r="D12" s="304"/>
      <c r="E12" s="322"/>
      <c r="F12" s="2481"/>
      <c r="G12" s="2481"/>
      <c r="H12" s="2481"/>
      <c r="I12" s="2481"/>
      <c r="J12" s="2481"/>
      <c r="K12" s="2481"/>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1304</v>
      </c>
      <c r="C14" s="1322"/>
      <c r="D14" s="2494"/>
      <c r="E14" s="2494"/>
      <c r="F14" s="2494"/>
      <c r="H14" s="1397" t="s">
        <v>1303</v>
      </c>
      <c r="I14" s="2495"/>
      <c r="J14" s="2495"/>
      <c r="K14" s="2495"/>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1302</v>
      </c>
      <c r="C16" s="1322"/>
      <c r="D16" s="2495"/>
      <c r="E16" s="2495"/>
      <c r="F16" s="2495"/>
      <c r="G16" s="2495"/>
      <c r="H16" s="2495"/>
      <c r="I16" s="2495"/>
      <c r="J16" s="2495"/>
      <c r="K16" s="2495"/>
      <c r="L16" s="322"/>
    </row>
    <row r="17" spans="2:12" ht="13.5" customHeight="1" x14ac:dyDescent="0.2">
      <c r="B17" s="1322" t="s">
        <v>1301</v>
      </c>
      <c r="C17" s="1322"/>
      <c r="D17" s="2496"/>
      <c r="E17" s="2496"/>
      <c r="F17" s="2496"/>
      <c r="G17" s="2496"/>
      <c r="H17" s="2496"/>
      <c r="I17" s="2496"/>
      <c r="J17" s="2496"/>
      <c r="K17" s="2496"/>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1300</v>
      </c>
      <c r="C19" s="1399"/>
      <c r="D19" s="328"/>
      <c r="E19" s="328"/>
      <c r="F19" s="328"/>
      <c r="G19" s="1400"/>
      <c r="H19" s="328"/>
      <c r="I19" s="1400"/>
      <c r="J19" s="322"/>
      <c r="K19" s="322"/>
      <c r="L19" s="322"/>
    </row>
    <row r="20" spans="2:12" ht="35.25" customHeight="1" x14ac:dyDescent="0.2">
      <c r="B20" s="2489"/>
      <c r="C20" s="2489"/>
      <c r="D20" s="2489"/>
      <c r="E20" s="2489"/>
      <c r="F20" s="2489"/>
      <c r="G20" s="2489"/>
      <c r="H20" s="2489"/>
      <c r="I20" s="2489"/>
      <c r="J20" s="2489"/>
      <c r="K20" s="2489"/>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1756</v>
      </c>
      <c r="C22" s="1399"/>
      <c r="D22" s="322"/>
      <c r="E22" s="322"/>
      <c r="F22" s="322"/>
      <c r="G22" s="1318"/>
      <c r="H22" s="322"/>
      <c r="I22" s="131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1757</v>
      </c>
      <c r="C25" s="1399"/>
      <c r="D25" s="322"/>
      <c r="E25" s="322"/>
      <c r="F25" s="322"/>
      <c r="G25" s="1318"/>
      <c r="H25" s="322"/>
      <c r="I25" s="131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1758</v>
      </c>
      <c r="C28" s="1399"/>
      <c r="D28" s="322"/>
      <c r="E28" s="322"/>
      <c r="F28" s="322"/>
      <c r="G28" s="1318"/>
      <c r="H28" s="322"/>
      <c r="I28" s="131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1299</v>
      </c>
      <c r="C31" s="1399"/>
      <c r="D31" s="322"/>
      <c r="E31" s="322"/>
      <c r="F31" s="322"/>
      <c r="G31" s="1318"/>
      <c r="H31" s="322"/>
      <c r="I31" s="131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1298</v>
      </c>
      <c r="C34" s="1319"/>
      <c r="D34" s="322"/>
      <c r="E34" s="322"/>
      <c r="F34" s="322"/>
      <c r="G34" s="1318"/>
      <c r="H34" s="322"/>
      <c r="I34" s="131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1297</v>
      </c>
      <c r="C37" s="1319"/>
      <c r="D37" s="322"/>
      <c r="E37" s="322"/>
      <c r="F37" s="322"/>
      <c r="G37" s="1318"/>
      <c r="H37" s="322"/>
      <c r="I37" s="131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1759</v>
      </c>
      <c r="C40" s="1338"/>
      <c r="D40" s="1313"/>
      <c r="E40" s="1314"/>
      <c r="F40" s="1314"/>
      <c r="G40" s="1315"/>
      <c r="H40" s="1314"/>
      <c r="I40" s="1315"/>
      <c r="J40" s="1314"/>
      <c r="K40" s="131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1760</v>
      </c>
      <c r="C44" s="1341"/>
      <c r="D44" s="322"/>
      <c r="E44" s="322"/>
      <c r="F44" s="322"/>
    </row>
    <row r="45" spans="2:12" ht="10.5" customHeight="1" x14ac:dyDescent="0.2">
      <c r="B45" s="1342" t="s">
        <v>1761</v>
      </c>
      <c r="C45" s="1342"/>
      <c r="G45" s="317"/>
      <c r="I45" s="317"/>
    </row>
    <row r="46" spans="2:12" ht="11.1" customHeight="1" x14ac:dyDescent="0.2">
      <c r="B46" s="1342" t="s">
        <v>1762</v>
      </c>
      <c r="C46" s="1342"/>
      <c r="G46" s="317"/>
      <c r="I46" s="317"/>
    </row>
    <row r="47" spans="2:12" ht="11.1" customHeight="1" x14ac:dyDescent="0.2">
      <c r="B47" s="1342" t="s">
        <v>1763</v>
      </c>
      <c r="C47" s="1342"/>
      <c r="G47" s="317"/>
      <c r="I47" s="317"/>
    </row>
    <row r="48" spans="2:12" ht="11.1" customHeight="1" x14ac:dyDescent="0.2">
      <c r="B48" s="1342" t="s">
        <v>1764</v>
      </c>
      <c r="C48" s="134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42" sqref="I42:O4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Woodridge SD 68</v>
      </c>
      <c r="C1" s="2474"/>
      <c r="D1" s="2474"/>
      <c r="E1" s="1407"/>
    </row>
    <row r="2" spans="2:5" s="1279" customFormat="1" ht="12.75" customHeight="1" x14ac:dyDescent="0.2">
      <c r="B2" s="2476">
        <f>'Single Audit Cover'!E7</f>
        <v>19022068002</v>
      </c>
      <c r="C2" s="2476"/>
      <c r="D2" s="2476"/>
      <c r="E2" s="1408"/>
    </row>
    <row r="3" spans="2:5" ht="12.75" customHeight="1" x14ac:dyDescent="0.2">
      <c r="B3" s="2490" t="s">
        <v>1765</v>
      </c>
      <c r="C3" s="2490"/>
      <c r="D3" s="2490"/>
      <c r="E3" s="1271"/>
    </row>
    <row r="4" spans="2:5" s="1279" customFormat="1" ht="12.75" customHeight="1" x14ac:dyDescent="0.2">
      <c r="B4" s="2500" t="str">
        <f>'Single Audit Cover'!A4</f>
        <v>Year Ending June 30, 2019</v>
      </c>
      <c r="C4" s="2500"/>
      <c r="D4" s="2500"/>
      <c r="E4" s="1409"/>
    </row>
    <row r="5" spans="2:5" s="1279" customFormat="1" ht="40.15" customHeight="1" x14ac:dyDescent="0.2">
      <c r="B5" s="1410" t="s">
        <v>1766</v>
      </c>
      <c r="C5" s="328"/>
      <c r="D5" s="328"/>
      <c r="E5" s="328"/>
    </row>
    <row r="6" spans="2:5" s="1279" customFormat="1" ht="13.5" customHeight="1" x14ac:dyDescent="0.2">
      <c r="B6" s="1411" t="s">
        <v>1315</v>
      </c>
      <c r="C6" s="1411" t="s">
        <v>1314</v>
      </c>
      <c r="D6" s="1411" t="s">
        <v>1767</v>
      </c>
    </row>
    <row r="7" spans="2:5" ht="13.5" customHeight="1" x14ac:dyDescent="0.2">
      <c r="B7" s="1412" t="s">
        <v>2183</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1313</v>
      </c>
      <c r="C44" s="322"/>
    </row>
    <row r="45" spans="2:5" ht="12.2" customHeight="1" x14ac:dyDescent="0.2">
      <c r="B45" s="1421" t="s">
        <v>1768</v>
      </c>
    </row>
    <row r="46" spans="2:5" ht="12.2" customHeight="1" x14ac:dyDescent="0.2">
      <c r="B46" s="1421" t="s">
        <v>1769</v>
      </c>
    </row>
    <row r="47" spans="2:5" ht="12.2" customHeight="1" x14ac:dyDescent="0.2">
      <c r="B47" s="1422" t="s">
        <v>1312</v>
      </c>
    </row>
    <row r="48" spans="2:5" ht="12.2" customHeight="1" x14ac:dyDescent="0.2">
      <c r="B48" s="1422" t="s">
        <v>1311</v>
      </c>
    </row>
    <row r="49" spans="2:5" ht="12.2" customHeight="1" x14ac:dyDescent="0.2">
      <c r="B49" s="1422" t="s">
        <v>1310</v>
      </c>
    </row>
    <row r="50" spans="2:5" ht="12.2" customHeight="1" x14ac:dyDescent="0.2">
      <c r="B50" s="142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I42" sqref="I42:O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845175156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3.3964000000000001E-2</v>
      </c>
      <c r="E10" s="356" t="s">
        <v>1005</v>
      </c>
      <c r="F10" s="355">
        <v>4.6899999999999997E-3</v>
      </c>
      <c r="G10" s="356" t="s">
        <v>1005</v>
      </c>
      <c r="H10" s="355">
        <v>1.173E-3</v>
      </c>
      <c r="I10" s="356" t="s">
        <v>1006</v>
      </c>
      <c r="J10" s="1669">
        <f>ROUND(D10+F10+H10,5)</f>
        <v>3.9829999999999997E-2</v>
      </c>
      <c r="K10" s="222"/>
      <c r="L10" s="355">
        <v>1.8E-5</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0">
        <f>SUM('Acct Summary 7-8'!C8,'Acct Summary 7-8'!D8,'Acct Summary 7-8'!F8,'Acct Summary 7-8'!I8)</f>
        <v>44431427</v>
      </c>
      <c r="E16" s="356"/>
      <c r="F16" s="1670">
        <f>SUM('Acct Summary 7-8'!C17,'Acct Summary 7-8'!D17,'Acct Summary 7-8'!F17)</f>
        <v>41047261</v>
      </c>
      <c r="G16" s="356"/>
      <c r="H16" s="1670">
        <f>SUM(D16-F16)</f>
        <v>3384166</v>
      </c>
      <c r="I16" s="222"/>
      <c r="J16" s="1670">
        <f>SUM('Acct Summary 7-8'!C81,'Acct Summary 7-8'!D81,'Acct Summary 7-8'!F81,'Acct Summary 7-8'!I81)</f>
        <v>56766726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672">
        <f>IF(B31="X",(J7*0.069),IF(B32="X",(J7*0.138),"Enter x in a.or b."))</f>
        <v>58317085.764000006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1">
        <f>'Assets-Liab 5-6'!N36</f>
        <v>346176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42" sqref="I42:O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Woodridge SD 68</v>
      </c>
      <c r="E7" s="391"/>
      <c r="G7" s="252"/>
      <c r="H7" s="387"/>
      <c r="I7" s="387"/>
      <c r="J7" s="387"/>
      <c r="K7" s="387"/>
      <c r="L7" s="329"/>
      <c r="M7" s="329"/>
      <c r="N7" s="329"/>
      <c r="O7" s="329"/>
      <c r="P7" s="329"/>
    </row>
    <row r="8" spans="1:18" ht="12.75" x14ac:dyDescent="0.2">
      <c r="A8" s="329"/>
      <c r="B8" s="329"/>
      <c r="C8" s="389" t="s">
        <v>1125</v>
      </c>
      <c r="D8" s="392">
        <f>COVER!A13</f>
        <v>19022068002</v>
      </c>
      <c r="E8" s="393"/>
      <c r="G8" s="329"/>
      <c r="H8" s="329"/>
      <c r="I8" s="329"/>
      <c r="J8" s="329"/>
      <c r="K8" s="329"/>
      <c r="L8" s="329"/>
      <c r="M8" s="329"/>
      <c r="N8" s="329"/>
      <c r="O8" s="329"/>
      <c r="P8" s="329"/>
    </row>
    <row r="9" spans="1:18" ht="12.75" x14ac:dyDescent="0.2">
      <c r="A9" s="329"/>
      <c r="B9" s="329"/>
      <c r="C9" s="389" t="s">
        <v>713</v>
      </c>
      <c r="D9" s="394" t="str">
        <f>COVER!A15</f>
        <v>DuPage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56766726</v>
      </c>
      <c r="I12" s="404"/>
      <c r="J12" s="404"/>
      <c r="K12" s="405">
        <f>TRUNC((H12/H13*100000),5)/100000</f>
        <v>1.2801189711000001</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44344883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-86544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41047261</v>
      </c>
      <c r="I17" s="404"/>
      <c r="J17" s="416"/>
      <c r="K17" s="405">
        <f>TRUNC((H17/H18*100000),5)/100000</f>
        <v>0.92563692180000001</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44344883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-86544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60337633</v>
      </c>
      <c r="I24" s="422"/>
      <c r="J24" s="422"/>
      <c r="K24" s="423">
        <f>TRUNC(((H24/H25*100000)/100000),2)</f>
        <v>529.17999999999995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114020.16944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28613827.493960001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346176</v>
      </c>
      <c r="I32" s="420"/>
      <c r="J32" s="420"/>
      <c r="K32" s="423">
        <f>TRUNC(100-((((H32/H33*100))*100)/100),2)</f>
        <v>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58317085.764000006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I42" sqref="I42:O42"/>
      <selection pane="bottomLeft" activeCell="I42" sqref="I42:O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497"/>
      <c r="D3" s="1498"/>
      <c r="E3" s="1498"/>
      <c r="F3" s="1498"/>
      <c r="G3" s="1498"/>
      <c r="H3" s="1498"/>
      <c r="I3" s="1498"/>
      <c r="J3" s="1498"/>
      <c r="K3" s="1498"/>
      <c r="L3" s="1498"/>
      <c r="M3" s="1499"/>
      <c r="N3" s="1500"/>
    </row>
    <row r="4" spans="1:14" ht="13.5" customHeight="1" x14ac:dyDescent="0.2">
      <c r="A4" s="463" t="s">
        <v>1651</v>
      </c>
      <c r="B4" s="464"/>
      <c r="C4" s="465">
        <f>44401321+450237</f>
        <v>44851558</v>
      </c>
      <c r="D4" s="466">
        <v>5270354</v>
      </c>
      <c r="E4" s="466">
        <v>17763</v>
      </c>
      <c r="F4" s="466">
        <v>2552238</v>
      </c>
      <c r="G4" s="466">
        <f>671989+786940</f>
        <v>1458929</v>
      </c>
      <c r="H4" s="466">
        <v>6771198</v>
      </c>
      <c r="I4" s="466">
        <v>7663483</v>
      </c>
      <c r="J4" s="467">
        <v>182548</v>
      </c>
      <c r="K4" s="466"/>
      <c r="L4" s="466">
        <v>112923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15562528</v>
      </c>
      <c r="D6" s="466">
        <v>1947288</v>
      </c>
      <c r="E6" s="466"/>
      <c r="F6" s="466">
        <v>487030</v>
      </c>
      <c r="G6" s="471">
        <f>413954+7474</f>
        <v>421428</v>
      </c>
      <c r="H6" s="471"/>
      <c r="I6" s="466">
        <v>7474</v>
      </c>
      <c r="J6" s="474">
        <v>195144</v>
      </c>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413370</v>
      </c>
      <c r="D8" s="467"/>
      <c r="E8" s="467"/>
      <c r="F8" s="467">
        <v>174795</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73" t="s">
        <v>644</v>
      </c>
      <c r="B13" s="1646"/>
      <c r="C13" s="1674">
        <f>SUM(C4:C12)</f>
        <v>60827456</v>
      </c>
      <c r="D13" s="1674">
        <f t="shared" ref="D13:L13" si="0">SUM(D4:D12)</f>
        <v>7217642</v>
      </c>
      <c r="E13" s="1674">
        <f t="shared" si="0"/>
        <v>17763</v>
      </c>
      <c r="F13" s="1674">
        <f t="shared" si="0"/>
        <v>3214063</v>
      </c>
      <c r="G13" s="1674">
        <f t="shared" si="0"/>
        <v>1880357</v>
      </c>
      <c r="H13" s="1674">
        <f t="shared" si="0"/>
        <v>6771198</v>
      </c>
      <c r="I13" s="1674">
        <f t="shared" si="0"/>
        <v>7670957</v>
      </c>
      <c r="J13" s="1674">
        <f t="shared" si="0"/>
        <v>377692</v>
      </c>
      <c r="K13" s="1674">
        <f t="shared" si="0"/>
        <v>0</v>
      </c>
      <c r="L13" s="1674">
        <f t="shared" si="0"/>
        <v>112923</v>
      </c>
      <c r="M13" s="468"/>
      <c r="N13" s="469"/>
    </row>
    <row r="14" spans="1:14" ht="18" customHeight="1" thickTop="1" x14ac:dyDescent="0.2">
      <c r="A14" s="2124" t="s">
        <v>147</v>
      </c>
      <c r="B14" s="2125"/>
      <c r="C14" s="1501"/>
      <c r="D14" s="1502"/>
      <c r="E14" s="1502"/>
      <c r="F14" s="1502"/>
      <c r="G14" s="1502"/>
      <c r="H14" s="1502"/>
      <c r="I14" s="1502"/>
      <c r="J14" s="1502"/>
      <c r="K14" s="1502"/>
      <c r="L14" s="1502"/>
      <c r="M14" s="1503"/>
      <c r="N14" s="150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168728</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24988805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1557440</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2068234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+E41</f>
        <v>17763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328413</v>
      </c>
    </row>
    <row r="23" spans="1:14" ht="13.5" customHeight="1" thickBot="1" x14ac:dyDescent="0.25">
      <c r="A23" s="1673" t="s">
        <v>643</v>
      </c>
      <c r="B23" s="1678"/>
      <c r="C23" s="468"/>
      <c r="D23" s="468"/>
      <c r="E23" s="468"/>
      <c r="F23" s="468"/>
      <c r="G23" s="468"/>
      <c r="H23" s="468"/>
      <c r="I23" s="468"/>
      <c r="J23" s="468"/>
      <c r="K23" s="468"/>
      <c r="L23" s="468"/>
      <c r="M23" s="1625">
        <f>SUM(M15:M22)</f>
        <v>28783207</v>
      </c>
      <c r="N23" s="1625">
        <f>SUM(N21:N22)</f>
        <v>346176</v>
      </c>
    </row>
    <row r="24" spans="1:14" ht="18" customHeight="1" thickTop="1" x14ac:dyDescent="0.2">
      <c r="A24" s="2126" t="s">
        <v>598</v>
      </c>
      <c r="B24" s="2127"/>
      <c r="C24" s="1506"/>
      <c r="D24" s="1503"/>
      <c r="E24" s="1503"/>
      <c r="F24" s="1503"/>
      <c r="G24" s="1503"/>
      <c r="H24" s="1503"/>
      <c r="I24" s="1503"/>
      <c r="J24" s="1503"/>
      <c r="K24" s="1503"/>
      <c r="L24" s="1503"/>
      <c r="M24" s="1502"/>
      <c r="N24" s="150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272503</v>
      </c>
      <c r="D27" s="467">
        <v>53369</v>
      </c>
      <c r="E27" s="467"/>
      <c r="F27" s="467"/>
      <c r="G27" s="467"/>
      <c r="H27" s="467">
        <v>1624398</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3522251</v>
      </c>
      <c r="D30" s="474">
        <v>44495</v>
      </c>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f>100183+27444</f>
        <v>127627</v>
      </c>
      <c r="H31" s="467"/>
      <c r="I31" s="467"/>
      <c r="J31" s="467"/>
      <c r="K31" s="467"/>
      <c r="L31" s="468"/>
      <c r="M31" s="468"/>
      <c r="N31" s="468"/>
    </row>
    <row r="32" spans="1:14" ht="13.5" customHeight="1" x14ac:dyDescent="0.2">
      <c r="A32" s="490" t="s">
        <v>652</v>
      </c>
      <c r="B32" s="491">
        <v>490</v>
      </c>
      <c r="C32" s="492">
        <v>15654187</v>
      </c>
      <c r="D32" s="492">
        <v>1947288</v>
      </c>
      <c r="E32" s="474"/>
      <c r="F32" s="474">
        <v>661825</v>
      </c>
      <c r="G32" s="474">
        <f>413954+7474</f>
        <v>421428</v>
      </c>
      <c r="H32" s="474"/>
      <c r="I32" s="474">
        <v>7474</v>
      </c>
      <c r="J32" s="474">
        <v>195144</v>
      </c>
      <c r="K32" s="479"/>
      <c r="L32" s="468"/>
      <c r="M32" s="468"/>
      <c r="N32" s="468"/>
    </row>
    <row r="33" spans="1:14" ht="13.5" customHeight="1" x14ac:dyDescent="0.2">
      <c r="A33" s="493" t="s">
        <v>303</v>
      </c>
      <c r="B33" s="491">
        <v>493</v>
      </c>
      <c r="C33" s="467"/>
      <c r="D33" s="467"/>
      <c r="E33" s="467"/>
      <c r="F33" s="467"/>
      <c r="G33" s="467"/>
      <c r="H33" s="467"/>
      <c r="I33" s="467"/>
      <c r="J33" s="467"/>
      <c r="K33" s="467"/>
      <c r="L33" s="467">
        <v>112923</v>
      </c>
      <c r="M33" s="468"/>
      <c r="N33" s="469"/>
    </row>
    <row r="34" spans="1:14" ht="13.5" customHeight="1" thickBot="1" x14ac:dyDescent="0.25">
      <c r="A34" s="1675" t="s">
        <v>654</v>
      </c>
      <c r="B34" s="1676"/>
      <c r="C34" s="1677">
        <f>SUM(C25:C33)</f>
        <v>19448941</v>
      </c>
      <c r="D34" s="1677">
        <f t="shared" ref="D34:K34" si="1">SUM(D25:D33)</f>
        <v>2045152</v>
      </c>
      <c r="E34" s="1677">
        <f t="shared" si="1"/>
        <v>0</v>
      </c>
      <c r="F34" s="1677">
        <f t="shared" si="1"/>
        <v>661825</v>
      </c>
      <c r="G34" s="1677">
        <f t="shared" si="1"/>
        <v>549055</v>
      </c>
      <c r="H34" s="1677">
        <f t="shared" si="1"/>
        <v>1624398</v>
      </c>
      <c r="I34" s="1677">
        <f t="shared" si="1"/>
        <v>7474</v>
      </c>
      <c r="J34" s="1677">
        <f t="shared" si="1"/>
        <v>195144</v>
      </c>
      <c r="K34" s="1677">
        <f t="shared" si="1"/>
        <v>0</v>
      </c>
      <c r="L34" s="1658">
        <f>SUM(L33)</f>
        <v>112923</v>
      </c>
      <c r="M34" s="468"/>
      <c r="N34" s="480"/>
    </row>
    <row r="35" spans="1:14" ht="18" customHeight="1" thickTop="1" x14ac:dyDescent="0.2">
      <c r="A35" s="2128" t="s">
        <v>529</v>
      </c>
      <c r="B35" s="2129"/>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346176</v>
      </c>
    </row>
    <row r="37" spans="1:14" ht="13.5" thickBot="1" x14ac:dyDescent="0.25">
      <c r="A37" s="1673" t="s">
        <v>653</v>
      </c>
      <c r="B37" s="1678"/>
      <c r="C37" s="477"/>
      <c r="D37" s="477"/>
      <c r="E37" s="477"/>
      <c r="F37" s="477"/>
      <c r="G37" s="477"/>
      <c r="H37" s="477"/>
      <c r="I37" s="477"/>
      <c r="J37" s="477"/>
      <c r="K37" s="477"/>
      <c r="L37" s="480"/>
      <c r="M37" s="468"/>
      <c r="N37" s="1625">
        <f>SUM(N36:N36)</f>
        <v>346176</v>
      </c>
    </row>
    <row r="38" spans="1:14" s="329" customFormat="1" ht="13.5" customHeight="1" thickTop="1" x14ac:dyDescent="0.2">
      <c r="A38" s="496" t="s">
        <v>420</v>
      </c>
      <c r="B38" s="483">
        <v>714</v>
      </c>
      <c r="C38" s="466"/>
      <c r="D38" s="466">
        <v>5172490</v>
      </c>
      <c r="E38" s="466">
        <v>17763</v>
      </c>
      <c r="F38" s="466">
        <v>2552238</v>
      </c>
      <c r="G38" s="466">
        <f>571806+759496</f>
        <v>1331302</v>
      </c>
      <c r="H38" s="466"/>
      <c r="I38" s="466">
        <v>7663483</v>
      </c>
      <c r="J38" s="467">
        <v>182548</v>
      </c>
      <c r="K38" s="466"/>
      <c r="L38" s="481"/>
      <c r="M38" s="497"/>
      <c r="N38" s="497"/>
    </row>
    <row r="39" spans="1:14" s="329" customFormat="1" ht="13.5" customHeight="1" x14ac:dyDescent="0.2">
      <c r="A39" s="496" t="s">
        <v>342</v>
      </c>
      <c r="B39" s="483">
        <v>730</v>
      </c>
      <c r="C39" s="466">
        <v>41378515</v>
      </c>
      <c r="D39" s="466"/>
      <c r="E39" s="466"/>
      <c r="F39" s="466"/>
      <c r="G39" s="466"/>
      <c r="H39" s="466">
        <v>5146800</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28783207</v>
      </c>
      <c r="N40" s="497"/>
    </row>
    <row r="41" spans="1:14" ht="13.5" customHeight="1" thickBot="1" x14ac:dyDescent="0.25">
      <c r="A41" s="1673" t="s">
        <v>655</v>
      </c>
      <c r="B41" s="1643"/>
      <c r="C41" s="1625">
        <f>(SUM(C34,C37,C38,C39))</f>
        <v>60827456</v>
      </c>
      <c r="D41" s="1625">
        <f t="shared" ref="D41:L41" si="2">SUM(D34,D37,D38:D39)</f>
        <v>7217642</v>
      </c>
      <c r="E41" s="1625">
        <f t="shared" si="2"/>
        <v>17763</v>
      </c>
      <c r="F41" s="1625">
        <f t="shared" si="2"/>
        <v>3214063</v>
      </c>
      <c r="G41" s="1625">
        <f t="shared" si="2"/>
        <v>1880357</v>
      </c>
      <c r="H41" s="1625">
        <f t="shared" si="2"/>
        <v>6771198</v>
      </c>
      <c r="I41" s="1625">
        <f t="shared" si="2"/>
        <v>7670957</v>
      </c>
      <c r="J41" s="1625">
        <f t="shared" si="2"/>
        <v>377692</v>
      </c>
      <c r="K41" s="1625">
        <f t="shared" si="2"/>
        <v>0</v>
      </c>
      <c r="L41" s="1625">
        <f t="shared" si="2"/>
        <v>112923</v>
      </c>
      <c r="M41" s="1625">
        <f>SUM(M40)</f>
        <v>28783207</v>
      </c>
      <c r="N41" s="1625">
        <f>SUM(N37)</f>
        <v>346176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I42" sqref="I42:O42"/>
      <selection pane="bottomLeft" activeCell="I42" sqref="I42:O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11"/>
      <c r="D3" s="1512"/>
      <c r="E3" s="1512"/>
      <c r="F3" s="1512"/>
      <c r="G3" s="1512"/>
      <c r="H3" s="1512"/>
      <c r="I3" s="1512"/>
      <c r="J3" s="1512"/>
      <c r="K3" s="1513"/>
      <c r="L3" s="506"/>
    </row>
    <row r="4" spans="1:13" ht="15.75" customHeight="1" x14ac:dyDescent="0.2">
      <c r="A4" s="1865" t="s">
        <v>1499</v>
      </c>
      <c r="B4" s="1866">
        <v>1000</v>
      </c>
      <c r="C4" s="1679">
        <f>'Revenues 9-14'!C109</f>
        <v>31656626</v>
      </c>
      <c r="D4" s="1679">
        <f>'Revenues 9-14'!D109</f>
        <v>3163754</v>
      </c>
      <c r="E4" s="1679">
        <f>'Revenues 9-14'!E109</f>
        <v>314</v>
      </c>
      <c r="F4" s="1679">
        <f>'Revenues 9-14'!F109</f>
        <v>1290095</v>
      </c>
      <c r="G4" s="1679">
        <f>'Revenues 9-14'!G109</f>
        <v>881755</v>
      </c>
      <c r="H4" s="1679">
        <f>'Revenues 9-14'!H109</f>
        <v>179286</v>
      </c>
      <c r="I4" s="1679">
        <f>'Revenues 9-14'!I109</f>
        <v>130527</v>
      </c>
      <c r="J4" s="1679">
        <f>'Revenues 9-14'!J109</f>
        <v>199999</v>
      </c>
      <c r="K4" s="1679">
        <f>'Revenues 9-14'!K109</f>
        <v>0</v>
      </c>
      <c r="L4" s="347"/>
    </row>
    <row r="5" spans="1:13" ht="15.75" customHeight="1" x14ac:dyDescent="0.2">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x14ac:dyDescent="0.2">
      <c r="A6" s="1514" t="s">
        <v>1501</v>
      </c>
      <c r="B6" s="1516">
        <v>3000</v>
      </c>
      <c r="C6" s="1680">
        <f>'Revenues 9-14'!C170</f>
        <v>5246486</v>
      </c>
      <c r="D6" s="1680">
        <f>'Revenues 9-14'!D170</f>
        <v>0</v>
      </c>
      <c r="E6" s="1680">
        <f>'Revenues 9-14'!E170</f>
        <v>0</v>
      </c>
      <c r="F6" s="1680">
        <f>'Revenues 9-14'!F170</f>
        <v>810066</v>
      </c>
      <c r="G6" s="1680">
        <f>'Revenues 9-14'!G170</f>
        <v>29438</v>
      </c>
      <c r="H6" s="1680">
        <f>'Revenues 9-14'!H170</f>
        <v>0</v>
      </c>
      <c r="I6" s="1680">
        <f>'Revenues 9-14'!I170</f>
        <v>0</v>
      </c>
      <c r="J6" s="1680">
        <f>'Revenues 9-14'!J170</f>
        <v>0</v>
      </c>
      <c r="K6" s="1680">
        <f>'Revenues 9-14'!K170</f>
        <v>0</v>
      </c>
      <c r="L6" s="347"/>
      <c r="M6" s="513"/>
    </row>
    <row r="7" spans="1:13" ht="15.75" customHeight="1" x14ac:dyDescent="0.2">
      <c r="A7" s="1514" t="s">
        <v>1502</v>
      </c>
      <c r="B7" s="1516">
        <v>4000</v>
      </c>
      <c r="C7" s="1680">
        <f>'Revenues 9-14'!C267</f>
        <v>2133873</v>
      </c>
      <c r="D7" s="1680">
        <f>'Revenues 9-14'!D267</f>
        <v>0</v>
      </c>
      <c r="E7" s="1680">
        <f>'Revenues 9-14'!E267</f>
        <v>0</v>
      </c>
      <c r="F7" s="1680">
        <f>'Revenues 9-14'!F267</f>
        <v>0</v>
      </c>
      <c r="G7" s="1680">
        <f>'Revenues 9-14'!G267</f>
        <v>63924</v>
      </c>
      <c r="H7" s="1680">
        <f>'Revenues 9-14'!H267</f>
        <v>0</v>
      </c>
      <c r="I7" s="1680">
        <f>'Revenues 9-14'!I267</f>
        <v>0</v>
      </c>
      <c r="J7" s="1680">
        <f>'Revenues 9-14'!J267</f>
        <v>0</v>
      </c>
      <c r="K7" s="1680">
        <f>'Revenues 9-14'!K267</f>
        <v>0</v>
      </c>
      <c r="L7" s="347"/>
      <c r="M7" s="513"/>
    </row>
    <row r="8" spans="1:13" ht="13.5" thickBot="1" x14ac:dyDescent="0.25">
      <c r="A8" s="1673" t="s">
        <v>1172</v>
      </c>
      <c r="B8" s="1646"/>
      <c r="C8" s="1625">
        <f>SUM(C4:C7)</f>
        <v>39036985</v>
      </c>
      <c r="D8" s="1625">
        <f t="shared" ref="D8:K8" si="0">SUM(D4:D7)</f>
        <v>3163754</v>
      </c>
      <c r="E8" s="1625">
        <f t="shared" si="0"/>
        <v>314</v>
      </c>
      <c r="F8" s="1625">
        <f t="shared" si="0"/>
        <v>2100161</v>
      </c>
      <c r="G8" s="1625">
        <f t="shared" si="0"/>
        <v>975117</v>
      </c>
      <c r="H8" s="1625">
        <f t="shared" si="0"/>
        <v>179286</v>
      </c>
      <c r="I8" s="1625">
        <f t="shared" si="0"/>
        <v>130527</v>
      </c>
      <c r="J8" s="1625">
        <f t="shared" si="0"/>
        <v>199999</v>
      </c>
      <c r="K8" s="1625">
        <f t="shared" si="0"/>
        <v>0</v>
      </c>
      <c r="L8" s="347"/>
    </row>
    <row r="9" spans="1:13" ht="15.75" thickTop="1" x14ac:dyDescent="0.2">
      <c r="A9" s="514" t="s">
        <v>1653</v>
      </c>
      <c r="B9" s="515">
        <v>3998</v>
      </c>
      <c r="C9" s="481">
        <v>15559131</v>
      </c>
      <c r="D9" s="516"/>
      <c r="E9" s="481"/>
      <c r="F9" s="481"/>
      <c r="G9" s="517"/>
      <c r="H9" s="481"/>
      <c r="I9" s="509" t="s">
        <v>1169</v>
      </c>
      <c r="J9" s="478"/>
      <c r="K9" s="481"/>
      <c r="L9" s="347"/>
    </row>
    <row r="10" spans="1:13" s="519" customFormat="1" ht="13.5" thickBot="1" x14ac:dyDescent="0.25">
      <c r="A10" s="1673" t="s">
        <v>1173</v>
      </c>
      <c r="B10" s="1646"/>
      <c r="C10" s="1625">
        <f>SUM(C8:C9)</f>
        <v>54596116</v>
      </c>
      <c r="D10" s="1625">
        <f t="shared" ref="D10:K10" si="1">SUM(D8:D9)</f>
        <v>3163754</v>
      </c>
      <c r="E10" s="1625">
        <f t="shared" si="1"/>
        <v>314</v>
      </c>
      <c r="F10" s="1625">
        <f t="shared" si="1"/>
        <v>2100161</v>
      </c>
      <c r="G10" s="1625">
        <f t="shared" si="1"/>
        <v>975117</v>
      </c>
      <c r="H10" s="1625">
        <f t="shared" si="1"/>
        <v>179286</v>
      </c>
      <c r="I10" s="1625">
        <f t="shared" si="1"/>
        <v>130527</v>
      </c>
      <c r="J10" s="1625">
        <f t="shared" si="1"/>
        <v>199999</v>
      </c>
      <c r="K10" s="1625">
        <f t="shared" si="1"/>
        <v>0</v>
      </c>
      <c r="L10" s="518"/>
    </row>
    <row r="11" spans="1:13" s="519" customFormat="1" ht="16.7" customHeight="1" thickTop="1" x14ac:dyDescent="0.2">
      <c r="A11" s="2124" t="s">
        <v>1176</v>
      </c>
      <c r="B11" s="2125"/>
      <c r="C11" s="1508"/>
      <c r="D11" s="1509"/>
      <c r="E11" s="1509"/>
      <c r="F11" s="1509"/>
      <c r="G11" s="1509"/>
      <c r="H11" s="1509"/>
      <c r="I11" s="1509"/>
      <c r="J11" s="1509"/>
      <c r="K11" s="1510"/>
      <c r="L11" s="518"/>
    </row>
    <row r="12" spans="1:13" ht="15.75" customHeight="1" x14ac:dyDescent="0.2">
      <c r="A12" s="1514" t="s">
        <v>456</v>
      </c>
      <c r="B12" s="1516">
        <v>1000</v>
      </c>
      <c r="C12" s="1679">
        <f>'Expenditures 15-22'!K33</f>
        <v>24163645</v>
      </c>
      <c r="D12" s="520" t="s">
        <v>1169</v>
      </c>
      <c r="E12" s="468" t="s">
        <v>1169</v>
      </c>
      <c r="F12" s="468" t="s">
        <v>1169</v>
      </c>
      <c r="G12" s="1679">
        <f>'Expenditures 15-22'!K229</f>
        <v>607371</v>
      </c>
      <c r="H12" s="521"/>
      <c r="I12" s="468" t="s">
        <v>1169</v>
      </c>
      <c r="J12" s="468" t="s">
        <v>1169</v>
      </c>
      <c r="K12" s="521" t="s">
        <v>1169</v>
      </c>
      <c r="L12" s="347"/>
    </row>
    <row r="13" spans="1:13" ht="15.75" customHeight="1" x14ac:dyDescent="0.2">
      <c r="A13" s="1514" t="s">
        <v>457</v>
      </c>
      <c r="B13" s="1516">
        <v>2000</v>
      </c>
      <c r="C13" s="1680">
        <f>'Expenditures 15-22'!K74</f>
        <v>10349208</v>
      </c>
      <c r="D13" s="1680">
        <f>'Expenditures 15-22'!K129</f>
        <v>2897885</v>
      </c>
      <c r="E13" s="469" t="s">
        <v>1169</v>
      </c>
      <c r="F13" s="1680">
        <f>'Expenditures 15-22'!K184</f>
        <v>2489335</v>
      </c>
      <c r="G13" s="1680">
        <f>'Expenditures 15-22'!K279</f>
        <v>901415</v>
      </c>
      <c r="H13" s="1680">
        <f>'Expenditures 15-22'!K303</f>
        <v>5680393</v>
      </c>
      <c r="I13" s="468" t="s">
        <v>1169</v>
      </c>
      <c r="J13" s="1680">
        <f>'Expenditures 15-22'!K330</f>
        <v>261475</v>
      </c>
      <c r="K13" s="1684">
        <f>'Expenditures 15-22'!K352</f>
        <v>0</v>
      </c>
      <c r="L13" s="347"/>
    </row>
    <row r="14" spans="1:13" ht="15.75" customHeight="1" x14ac:dyDescent="0.2">
      <c r="A14" s="1514" t="s">
        <v>449</v>
      </c>
      <c r="B14" s="1516">
        <v>3000</v>
      </c>
      <c r="C14" s="1680">
        <f>'Expenditures 15-22'!K75</f>
        <v>83214</v>
      </c>
      <c r="D14" s="1680">
        <f>'Expenditures 15-22'!K130</f>
        <v>162</v>
      </c>
      <c r="E14" s="520" t="s">
        <v>1169</v>
      </c>
      <c r="F14" s="1680">
        <f>'Expenditures 15-22'!K185</f>
        <v>0</v>
      </c>
      <c r="G14" s="1680">
        <f>'Expenditures 15-22'!K280</f>
        <v>14557</v>
      </c>
      <c r="H14" s="512"/>
      <c r="I14" s="468" t="s">
        <v>1169</v>
      </c>
      <c r="J14" s="468" t="s">
        <v>1169</v>
      </c>
      <c r="K14" s="512" t="s">
        <v>1169</v>
      </c>
      <c r="L14" s="347"/>
    </row>
    <row r="15" spans="1:13" ht="15.75" customHeight="1" x14ac:dyDescent="0.2">
      <c r="A15" s="1514" t="s">
        <v>107</v>
      </c>
      <c r="B15" s="1516">
        <v>4000</v>
      </c>
      <c r="C15" s="1680">
        <f>'Expenditures 15-22'!K102</f>
        <v>1063812</v>
      </c>
      <c r="D15" s="1680">
        <f>'Expenditures 15-22'!K139</f>
        <v>0</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x14ac:dyDescent="0.2">
      <c r="A16" s="1514" t="s">
        <v>450</v>
      </c>
      <c r="B16" s="1516">
        <v>5000</v>
      </c>
      <c r="C16" s="1680">
        <f>'Expenditures 15-22'!K112</f>
        <v>0</v>
      </c>
      <c r="D16" s="1680">
        <f>'Expenditures 15-22'!K149</f>
        <v>0</v>
      </c>
      <c r="E16" s="1680">
        <f>'Expenditures 15-22'!K172</f>
        <v>86544</v>
      </c>
      <c r="F16" s="1680">
        <f>'Expenditures 15-22'!K208</f>
        <v>0</v>
      </c>
      <c r="G16" s="1680">
        <f>'Expenditures 15-22'!K293</f>
        <v>0</v>
      </c>
      <c r="H16" s="523"/>
      <c r="I16" s="468" t="s">
        <v>1169</v>
      </c>
      <c r="J16" s="1685">
        <f>'Expenditures 15-22'!K340</f>
        <v>0</v>
      </c>
      <c r="K16" s="1680">
        <f>'Expenditures 15-22'!K365</f>
        <v>0</v>
      </c>
      <c r="L16" s="347"/>
    </row>
    <row r="17" spans="1:12" ht="13.5" thickBot="1" x14ac:dyDescent="0.25">
      <c r="A17" s="1645" t="s">
        <v>48</v>
      </c>
      <c r="B17" s="1646"/>
      <c r="C17" s="1625">
        <f t="shared" ref="C17:H17" si="2">SUM(C12:C16)</f>
        <v>35659879</v>
      </c>
      <c r="D17" s="1625">
        <f t="shared" si="2"/>
        <v>2898047</v>
      </c>
      <c r="E17" s="1625">
        <f t="shared" si="2"/>
        <v>86544</v>
      </c>
      <c r="F17" s="1625">
        <f t="shared" si="2"/>
        <v>2489335</v>
      </c>
      <c r="G17" s="1625">
        <f t="shared" si="2"/>
        <v>1523343</v>
      </c>
      <c r="H17" s="1625">
        <f t="shared" si="2"/>
        <v>5680393</v>
      </c>
      <c r="I17" s="468"/>
      <c r="J17" s="1625">
        <f>SUM(J12:J16)</f>
        <v>261475</v>
      </c>
      <c r="K17" s="1625">
        <f>SUM(K12:K16)</f>
        <v>0</v>
      </c>
      <c r="L17" s="347"/>
    </row>
    <row r="18" spans="1:12" ht="15" customHeight="1" thickTop="1" x14ac:dyDescent="0.2">
      <c r="A18" s="1681" t="s">
        <v>1654</v>
      </c>
      <c r="B18" s="1682">
        <v>4180</v>
      </c>
      <c r="C18" s="1679">
        <f t="shared" ref="C18:H18" si="3">C9</f>
        <v>15559131</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505</v>
      </c>
      <c r="B19" s="1646"/>
      <c r="C19" s="1625">
        <f t="shared" ref="C19:H19" si="4">SUM(C17:C18)</f>
        <v>51219010</v>
      </c>
      <c r="D19" s="1625">
        <f t="shared" si="4"/>
        <v>2898047</v>
      </c>
      <c r="E19" s="1625">
        <f t="shared" si="4"/>
        <v>86544</v>
      </c>
      <c r="F19" s="1625">
        <f t="shared" si="4"/>
        <v>2489335</v>
      </c>
      <c r="G19" s="1625">
        <f t="shared" si="4"/>
        <v>1523343</v>
      </c>
      <c r="H19" s="1625">
        <f t="shared" si="4"/>
        <v>5680393</v>
      </c>
      <c r="I19" s="468"/>
      <c r="J19" s="1625">
        <f>SUM(J17:J18)</f>
        <v>261475</v>
      </c>
      <c r="K19" s="1625">
        <f>SUM(K17:K18)</f>
        <v>0</v>
      </c>
      <c r="L19" s="347"/>
    </row>
    <row r="20" spans="1:12" ht="16.5" thickTop="1" thickBot="1" x14ac:dyDescent="0.25">
      <c r="A20" s="2140" t="s">
        <v>1655</v>
      </c>
      <c r="B20" s="2141"/>
      <c r="C20" s="1683">
        <f>C8-C17</f>
        <v>3377106</v>
      </c>
      <c r="D20" s="1683">
        <f t="shared" ref="D20:K20" si="5">D8-D17</f>
        <v>265707</v>
      </c>
      <c r="E20" s="1683">
        <f t="shared" si="5"/>
        <v>-86230</v>
      </c>
      <c r="F20" s="1683">
        <f t="shared" si="5"/>
        <v>-389174</v>
      </c>
      <c r="G20" s="1683">
        <f t="shared" si="5"/>
        <v>-548226</v>
      </c>
      <c r="H20" s="1683">
        <f t="shared" si="5"/>
        <v>-5501107</v>
      </c>
      <c r="I20" s="1683">
        <f t="shared" si="5"/>
        <v>130527</v>
      </c>
      <c r="J20" s="1683">
        <f t="shared" si="5"/>
        <v>-61476</v>
      </c>
      <c r="K20" s="1683">
        <f t="shared" si="5"/>
        <v>0</v>
      </c>
      <c r="L20" s="347"/>
    </row>
    <row r="21" spans="1:12" ht="16.7" customHeight="1" thickTop="1" x14ac:dyDescent="0.2">
      <c r="A21" s="2152" t="s">
        <v>595</v>
      </c>
      <c r="B21" s="2153"/>
      <c r="C21" s="1508"/>
      <c r="D21" s="1509"/>
      <c r="E21" s="1509"/>
      <c r="F21" s="1509"/>
      <c r="G21" s="1509"/>
      <c r="H21" s="1509"/>
      <c r="I21" s="1509"/>
      <c r="J21" s="1509"/>
      <c r="K21" s="1510"/>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27" t="s">
        <v>1656</v>
      </c>
      <c r="B24" s="525">
        <v>7110</v>
      </c>
      <c r="C24" s="467"/>
      <c r="D24" s="477"/>
      <c r="E24" s="477"/>
      <c r="F24" s="477"/>
      <c r="G24" s="477"/>
      <c r="H24" s="477"/>
      <c r="I24" s="477"/>
      <c r="J24" s="477"/>
      <c r="K24" s="477"/>
      <c r="L24" s="524"/>
    </row>
    <row r="25" spans="1:12" s="485" customFormat="1" ht="13.5" customHeight="1" x14ac:dyDescent="0.2">
      <c r="A25" s="1427" t="s">
        <v>1657</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1398</v>
      </c>
      <c r="B28" s="483">
        <v>7140</v>
      </c>
      <c r="C28" s="467"/>
      <c r="D28" s="467"/>
      <c r="E28" s="467"/>
      <c r="F28" s="467"/>
      <c r="G28" s="467"/>
      <c r="H28" s="467"/>
      <c r="I28" s="467"/>
      <c r="J28" s="467"/>
      <c r="K28" s="467"/>
      <c r="L28" s="524"/>
    </row>
    <row r="29" spans="1:12" s="485" customFormat="1" ht="13.5" customHeight="1" x14ac:dyDescent="0.2">
      <c r="A29" s="1427" t="s">
        <v>294</v>
      </c>
      <c r="B29" s="483">
        <v>7150</v>
      </c>
      <c r="C29" s="475"/>
      <c r="D29" s="467"/>
      <c r="E29" s="475"/>
      <c r="F29" s="475"/>
      <c r="G29" s="475"/>
      <c r="H29" s="475"/>
      <c r="I29" s="475"/>
      <c r="J29" s="475"/>
      <c r="K29" s="475"/>
      <c r="L29" s="524"/>
    </row>
    <row r="30" spans="1:12" s="485" customFormat="1" ht="26.25" x14ac:dyDescent="0.2">
      <c r="A30" s="1427" t="s">
        <v>1793</v>
      </c>
      <c r="B30" s="527">
        <v>7160</v>
      </c>
      <c r="C30" s="477"/>
      <c r="D30" s="467"/>
      <c r="E30" s="477"/>
      <c r="F30" s="477"/>
      <c r="G30" s="477"/>
      <c r="H30" s="477"/>
      <c r="I30" s="477"/>
      <c r="J30" s="477"/>
      <c r="K30" s="477"/>
      <c r="L30" s="524"/>
    </row>
    <row r="31" spans="1:12" s="485" customFormat="1" ht="26.25" x14ac:dyDescent="0.2">
      <c r="A31" s="1427" t="s">
        <v>1797</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27" t="s">
        <v>412</v>
      </c>
      <c r="B33" s="525">
        <v>7210</v>
      </c>
      <c r="C33" s="467"/>
      <c r="D33" s="467"/>
      <c r="E33" s="467"/>
      <c r="F33" s="467"/>
      <c r="G33" s="477"/>
      <c r="H33" s="467"/>
      <c r="I33" s="467"/>
      <c r="J33" s="467"/>
      <c r="K33" s="467"/>
      <c r="L33" s="524"/>
    </row>
    <row r="34" spans="1:12" s="485" customFormat="1" x14ac:dyDescent="0.2">
      <c r="A34" s="1427" t="s">
        <v>1001</v>
      </c>
      <c r="B34" s="525">
        <v>7220</v>
      </c>
      <c r="C34" s="467"/>
      <c r="D34" s="467"/>
      <c r="E34" s="467"/>
      <c r="F34" s="467"/>
      <c r="G34" s="477"/>
      <c r="H34" s="478"/>
      <c r="I34" s="478"/>
      <c r="J34" s="478"/>
      <c r="K34" s="478"/>
      <c r="L34" s="524"/>
    </row>
    <row r="35" spans="1:12" s="485" customFormat="1" x14ac:dyDescent="0.2">
      <c r="A35" s="1427" t="s">
        <v>990</v>
      </c>
      <c r="B35" s="525">
        <v>7230</v>
      </c>
      <c r="C35" s="467"/>
      <c r="D35" s="467"/>
      <c r="E35" s="467"/>
      <c r="F35" s="467"/>
      <c r="G35" s="480"/>
      <c r="H35" s="467"/>
      <c r="I35" s="467"/>
      <c r="J35" s="467"/>
      <c r="K35" s="467"/>
      <c r="L35" s="524"/>
    </row>
    <row r="36" spans="1:12" s="485" customFormat="1" ht="15" x14ac:dyDescent="0.2">
      <c r="A36" s="1427" t="s">
        <v>1658</v>
      </c>
      <c r="B36" s="525">
        <v>7300</v>
      </c>
      <c r="C36" s="467"/>
      <c r="D36" s="467"/>
      <c r="E36" s="467"/>
      <c r="F36" s="467"/>
      <c r="G36" s="467"/>
      <c r="H36" s="467"/>
      <c r="I36" s="475"/>
      <c r="J36" s="467"/>
      <c r="K36" s="467"/>
      <c r="L36" s="524"/>
    </row>
    <row r="37" spans="1:12" s="485" customFormat="1" x14ac:dyDescent="0.2">
      <c r="A37" s="1427" t="s">
        <v>441</v>
      </c>
      <c r="B37" s="525">
        <v>7400</v>
      </c>
      <c r="C37" s="475"/>
      <c r="D37" s="475"/>
      <c r="E37" s="1680">
        <f>SUM(C54:D57,H54:H57)</f>
        <v>86544</v>
      </c>
      <c r="F37" s="475"/>
      <c r="G37" s="475"/>
      <c r="H37" s="475"/>
      <c r="I37" s="477"/>
      <c r="J37" s="475"/>
      <c r="K37" s="475"/>
      <c r="L37" s="524"/>
    </row>
    <row r="38" spans="1:12" s="485" customFormat="1" x14ac:dyDescent="0.2">
      <c r="A38" s="1427" t="s">
        <v>442</v>
      </c>
      <c r="B38" s="525">
        <v>7500</v>
      </c>
      <c r="C38" s="477"/>
      <c r="D38" s="477"/>
      <c r="E38" s="1680">
        <f>SUM(C58:D61,H58:H61)</f>
        <v>0</v>
      </c>
      <c r="F38" s="477"/>
      <c r="G38" s="477"/>
      <c r="H38" s="477"/>
      <c r="I38" s="477"/>
      <c r="J38" s="477"/>
      <c r="K38" s="477"/>
      <c r="L38" s="524"/>
    </row>
    <row r="39" spans="1:12" s="485" customFormat="1" x14ac:dyDescent="0.2">
      <c r="A39" s="1427" t="s">
        <v>443</v>
      </c>
      <c r="B39" s="525">
        <v>7600</v>
      </c>
      <c r="C39" s="477"/>
      <c r="D39" s="477"/>
      <c r="E39" s="1680">
        <f>SUM(C62:D65)</f>
        <v>0</v>
      </c>
      <c r="F39" s="477"/>
      <c r="G39" s="477"/>
      <c r="H39" s="477"/>
      <c r="I39" s="477"/>
      <c r="J39" s="477"/>
      <c r="K39" s="477"/>
      <c r="L39" s="524"/>
    </row>
    <row r="40" spans="1:12" s="485" customFormat="1" ht="13.5" customHeight="1" x14ac:dyDescent="0.2">
      <c r="A40" s="1427" t="s">
        <v>642</v>
      </c>
      <c r="B40" s="483">
        <v>7700</v>
      </c>
      <c r="C40" s="477"/>
      <c r="D40" s="477"/>
      <c r="E40" s="1680">
        <f>SUM(C66:D69)</f>
        <v>0</v>
      </c>
      <c r="F40" s="477"/>
      <c r="G40" s="477"/>
      <c r="H40" s="480"/>
      <c r="I40" s="477"/>
      <c r="J40" s="477"/>
      <c r="K40" s="477"/>
      <c r="L40" s="524"/>
    </row>
    <row r="41" spans="1:12" s="485" customFormat="1" ht="13.5" customHeight="1" x14ac:dyDescent="0.2">
      <c r="A41" s="1427" t="s">
        <v>640</v>
      </c>
      <c r="B41" s="483">
        <v>7800</v>
      </c>
      <c r="C41" s="480"/>
      <c r="D41" s="480"/>
      <c r="E41" s="526"/>
      <c r="F41" s="480"/>
      <c r="G41" s="480"/>
      <c r="H41" s="1680">
        <f>SUM(C70:D73)</f>
        <v>3000000</v>
      </c>
      <c r="I41" s="477"/>
      <c r="J41" s="477"/>
      <c r="K41" s="480"/>
      <c r="L41" s="524"/>
    </row>
    <row r="42" spans="1:12" s="485" customFormat="1" ht="13.5" customHeight="1" x14ac:dyDescent="0.2">
      <c r="A42" s="1427" t="s">
        <v>641</v>
      </c>
      <c r="B42" s="483">
        <v>7900</v>
      </c>
      <c r="C42" s="467"/>
      <c r="D42" s="467"/>
      <c r="E42" s="467"/>
      <c r="F42" s="467"/>
      <c r="G42" s="467"/>
      <c r="H42" s="467"/>
      <c r="I42" s="480"/>
      <c r="J42" s="480"/>
      <c r="K42" s="467"/>
      <c r="L42" s="524"/>
    </row>
    <row r="43" spans="1:12" s="485" customFormat="1" ht="13.5" customHeight="1" x14ac:dyDescent="0.2">
      <c r="A43" s="1427"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640">
        <f>SUM(C24:C43)</f>
        <v>0</v>
      </c>
      <c r="D44" s="1640">
        <f t="shared" ref="D44:K44" si="6">SUM(D24:D43)</f>
        <v>0</v>
      </c>
      <c r="E44" s="1640">
        <f t="shared" si="6"/>
        <v>86544</v>
      </c>
      <c r="F44" s="1640">
        <f t="shared" si="6"/>
        <v>0</v>
      </c>
      <c r="G44" s="1640">
        <f t="shared" si="6"/>
        <v>0</v>
      </c>
      <c r="H44" s="1640">
        <f t="shared" si="6"/>
        <v>3000000</v>
      </c>
      <c r="I44" s="1640">
        <f t="shared" si="6"/>
        <v>0</v>
      </c>
      <c r="J44" s="1640">
        <f t="shared" si="6"/>
        <v>0</v>
      </c>
      <c r="K44" s="1640">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28" t="s">
        <v>1659</v>
      </c>
      <c r="B47" s="483">
        <v>8110</v>
      </c>
      <c r="C47" s="477"/>
      <c r="D47" s="477"/>
      <c r="E47" s="477"/>
      <c r="F47" s="477"/>
      <c r="G47" s="477"/>
      <c r="H47" s="477"/>
      <c r="I47" s="1680">
        <f>SUM(C24,C25:H25,J25:K25)</f>
        <v>0</v>
      </c>
      <c r="J47" s="477"/>
      <c r="K47" s="477"/>
      <c r="L47" s="529"/>
    </row>
    <row r="48" spans="1:12" s="485" customFormat="1" ht="15" x14ac:dyDescent="0.2">
      <c r="A48" s="1428" t="s">
        <v>1660</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1398</v>
      </c>
      <c r="B50" s="483">
        <v>8140</v>
      </c>
      <c r="C50" s="467"/>
      <c r="D50" s="467"/>
      <c r="E50" s="467"/>
      <c r="F50" s="467"/>
      <c r="G50" s="467"/>
      <c r="H50" s="467"/>
      <c r="I50" s="477"/>
      <c r="J50" s="467"/>
      <c r="K50" s="477"/>
      <c r="L50" s="524"/>
    </row>
    <row r="51" spans="1:12" s="485" customFormat="1" x14ac:dyDescent="0.2">
      <c r="A51" s="1428" t="s">
        <v>294</v>
      </c>
      <c r="B51" s="483">
        <v>8150</v>
      </c>
      <c r="C51" s="475"/>
      <c r="D51" s="475"/>
      <c r="E51" s="475"/>
      <c r="F51" s="475"/>
      <c r="G51" s="475"/>
      <c r="H51" s="1680">
        <f>SUM(D29)</f>
        <v>0</v>
      </c>
      <c r="I51" s="477"/>
      <c r="J51" s="475"/>
      <c r="K51" s="480"/>
      <c r="L51" s="524"/>
    </row>
    <row r="52" spans="1:12" s="485" customFormat="1" ht="26.25" x14ac:dyDescent="0.2">
      <c r="A52" s="1428" t="s">
        <v>1796</v>
      </c>
      <c r="B52" s="483">
        <v>8160</v>
      </c>
      <c r="C52" s="477"/>
      <c r="D52" s="477"/>
      <c r="E52" s="477"/>
      <c r="F52" s="477"/>
      <c r="G52" s="477"/>
      <c r="H52" s="477"/>
      <c r="I52" s="477"/>
      <c r="J52" s="477"/>
      <c r="K52" s="1680">
        <f>D30</f>
        <v>0</v>
      </c>
      <c r="L52" s="524"/>
    </row>
    <row r="53" spans="1:12" s="485" customFormat="1" ht="26.25" x14ac:dyDescent="0.2">
      <c r="A53" s="1428" t="s">
        <v>1795</v>
      </c>
      <c r="B53" s="483">
        <v>8170</v>
      </c>
      <c r="C53" s="480"/>
      <c r="D53" s="480"/>
      <c r="E53" s="477"/>
      <c r="F53" s="477"/>
      <c r="G53" s="477"/>
      <c r="H53" s="480"/>
      <c r="I53" s="477"/>
      <c r="J53" s="477"/>
      <c r="K53" s="1680">
        <f>E31</f>
        <v>0</v>
      </c>
      <c r="L53" s="524"/>
    </row>
    <row r="54" spans="1:12" s="485" customFormat="1" ht="13.5" thickBot="1" x14ac:dyDescent="0.25">
      <c r="A54" s="1428" t="s">
        <v>692</v>
      </c>
      <c r="B54" s="483">
        <v>8410</v>
      </c>
      <c r="C54" s="530">
        <v>86544</v>
      </c>
      <c r="D54" s="530"/>
      <c r="E54" s="477"/>
      <c r="F54" s="477"/>
      <c r="G54" s="477"/>
      <c r="H54" s="530"/>
      <c r="I54" s="477"/>
      <c r="J54" s="477"/>
      <c r="K54" s="475"/>
      <c r="L54" s="524"/>
    </row>
    <row r="55" spans="1:12" s="485" customFormat="1" ht="14.25" thickTop="1" thickBot="1" x14ac:dyDescent="0.25">
      <c r="A55" s="1429" t="s">
        <v>693</v>
      </c>
      <c r="B55" s="483">
        <v>8420</v>
      </c>
      <c r="C55" s="531"/>
      <c r="D55" s="531"/>
      <c r="E55" s="477"/>
      <c r="F55" s="477"/>
      <c r="G55" s="477"/>
      <c r="H55" s="530"/>
      <c r="I55" s="477"/>
      <c r="J55" s="477"/>
      <c r="K55" s="477"/>
      <c r="L55" s="524"/>
    </row>
    <row r="56" spans="1:12" s="485" customFormat="1" ht="14.25" thickTop="1" thickBot="1" x14ac:dyDescent="0.25">
      <c r="A56" s="1428" t="s">
        <v>581</v>
      </c>
      <c r="B56" s="483">
        <v>8430</v>
      </c>
      <c r="C56" s="531"/>
      <c r="D56" s="531"/>
      <c r="E56" s="477"/>
      <c r="F56" s="477"/>
      <c r="G56" s="477"/>
      <c r="H56" s="530"/>
      <c r="I56" s="477"/>
      <c r="J56" s="477"/>
      <c r="K56" s="477"/>
      <c r="L56" s="524"/>
    </row>
    <row r="57" spans="1:12" s="485" customFormat="1" ht="14.25" thickTop="1" thickBot="1" x14ac:dyDescent="0.25">
      <c r="A57" s="1429" t="s">
        <v>578</v>
      </c>
      <c r="B57" s="483">
        <v>8440</v>
      </c>
      <c r="C57" s="531"/>
      <c r="D57" s="531"/>
      <c r="E57" s="477"/>
      <c r="F57" s="477"/>
      <c r="G57" s="477"/>
      <c r="H57" s="530"/>
      <c r="I57" s="477"/>
      <c r="J57" s="477"/>
      <c r="K57" s="477"/>
      <c r="L57" s="524"/>
    </row>
    <row r="58" spans="1:12" s="485" customFormat="1" ht="14.25" thickTop="1" thickBot="1" x14ac:dyDescent="0.25">
      <c r="A58" s="1428" t="s">
        <v>579</v>
      </c>
      <c r="B58" s="483">
        <v>8510</v>
      </c>
      <c r="C58" s="531"/>
      <c r="D58" s="531"/>
      <c r="E58" s="477"/>
      <c r="F58" s="477"/>
      <c r="G58" s="477"/>
      <c r="H58" s="530"/>
      <c r="I58" s="477"/>
      <c r="J58" s="477"/>
      <c r="K58" s="477"/>
      <c r="L58" s="524"/>
    </row>
    <row r="59" spans="1:12" s="485" customFormat="1" ht="14.25" thickTop="1" thickBot="1" x14ac:dyDescent="0.25">
      <c r="A59" s="1430" t="s">
        <v>694</v>
      </c>
      <c r="B59" s="483">
        <v>8520</v>
      </c>
      <c r="C59" s="531"/>
      <c r="D59" s="531"/>
      <c r="E59" s="477"/>
      <c r="F59" s="477"/>
      <c r="G59" s="477"/>
      <c r="H59" s="530"/>
      <c r="I59" s="477"/>
      <c r="J59" s="477"/>
      <c r="K59" s="477"/>
      <c r="L59" s="524"/>
    </row>
    <row r="60" spans="1:12" s="485" customFormat="1" ht="14.25" thickTop="1" thickBot="1" x14ac:dyDescent="0.25">
      <c r="A60" s="1428" t="s">
        <v>580</v>
      </c>
      <c r="B60" s="483">
        <v>8530</v>
      </c>
      <c r="C60" s="531"/>
      <c r="D60" s="531"/>
      <c r="E60" s="477"/>
      <c r="F60" s="477"/>
      <c r="G60" s="477"/>
      <c r="H60" s="530"/>
      <c r="I60" s="477"/>
      <c r="J60" s="477"/>
      <c r="K60" s="477"/>
      <c r="L60" s="524"/>
    </row>
    <row r="61" spans="1:12" s="485" customFormat="1" ht="14.25" thickTop="1" thickBot="1" x14ac:dyDescent="0.25">
      <c r="A61" s="1429" t="s">
        <v>743</v>
      </c>
      <c r="B61" s="483">
        <v>8540</v>
      </c>
      <c r="C61" s="531"/>
      <c r="D61" s="531"/>
      <c r="E61" s="477"/>
      <c r="F61" s="477"/>
      <c r="G61" s="477"/>
      <c r="H61" s="530"/>
      <c r="I61" s="477"/>
      <c r="J61" s="477"/>
      <c r="K61" s="477"/>
      <c r="L61" s="524"/>
    </row>
    <row r="62" spans="1:12" s="485" customFormat="1" ht="13.5" customHeight="1" thickTop="1" thickBot="1" x14ac:dyDescent="0.25">
      <c r="A62" s="1428" t="s">
        <v>744</v>
      </c>
      <c r="B62" s="483">
        <v>8610</v>
      </c>
      <c r="C62" s="531"/>
      <c r="D62" s="531"/>
      <c r="E62" s="477"/>
      <c r="F62" s="477"/>
      <c r="G62" s="477"/>
      <c r="H62" s="477"/>
      <c r="I62" s="477"/>
      <c r="J62" s="477"/>
      <c r="K62" s="477"/>
      <c r="L62" s="524"/>
    </row>
    <row r="63" spans="1:12" s="485" customFormat="1" ht="14.25" thickTop="1" thickBot="1" x14ac:dyDescent="0.25">
      <c r="A63" s="1429" t="s">
        <v>695</v>
      </c>
      <c r="B63" s="483">
        <v>8620</v>
      </c>
      <c r="C63" s="531"/>
      <c r="D63" s="531"/>
      <c r="E63" s="477"/>
      <c r="F63" s="477"/>
      <c r="G63" s="477"/>
      <c r="H63" s="477"/>
      <c r="I63" s="477"/>
      <c r="J63" s="477"/>
      <c r="K63" s="477"/>
      <c r="L63" s="524"/>
    </row>
    <row r="64" spans="1:12" s="485" customFormat="1" ht="13.5" customHeight="1" thickTop="1" thickBot="1" x14ac:dyDescent="0.25">
      <c r="A64" s="1428" t="s">
        <v>745</v>
      </c>
      <c r="B64" s="483">
        <v>8630</v>
      </c>
      <c r="C64" s="531"/>
      <c r="D64" s="531"/>
      <c r="E64" s="477"/>
      <c r="F64" s="477"/>
      <c r="G64" s="477"/>
      <c r="H64" s="477"/>
      <c r="I64" s="477"/>
      <c r="J64" s="477"/>
      <c r="K64" s="477"/>
      <c r="L64" s="524"/>
    </row>
    <row r="65" spans="1:12" s="485" customFormat="1" ht="14.25" thickTop="1" thickBot="1" x14ac:dyDescent="0.25">
      <c r="A65" s="1429" t="s">
        <v>746</v>
      </c>
      <c r="B65" s="483">
        <v>8640</v>
      </c>
      <c r="C65" s="531"/>
      <c r="D65" s="531"/>
      <c r="E65" s="477"/>
      <c r="F65" s="477"/>
      <c r="G65" s="477"/>
      <c r="H65" s="477"/>
      <c r="I65" s="477"/>
      <c r="J65" s="477"/>
      <c r="K65" s="477"/>
      <c r="L65" s="524"/>
    </row>
    <row r="66" spans="1:12" s="485" customFormat="1" ht="14.25" thickTop="1" thickBot="1" x14ac:dyDescent="0.25">
      <c r="A66" s="1428" t="s">
        <v>747</v>
      </c>
      <c r="B66" s="483">
        <v>8710</v>
      </c>
      <c r="C66" s="531"/>
      <c r="D66" s="531"/>
      <c r="E66" s="477"/>
      <c r="F66" s="477"/>
      <c r="G66" s="477"/>
      <c r="H66" s="477"/>
      <c r="I66" s="477"/>
      <c r="J66" s="477"/>
      <c r="K66" s="477"/>
      <c r="L66" s="524"/>
    </row>
    <row r="67" spans="1:12" s="485" customFormat="1" ht="14.25" thickTop="1" thickBot="1" x14ac:dyDescent="0.25">
      <c r="A67" s="1429" t="s">
        <v>696</v>
      </c>
      <c r="B67" s="483">
        <v>8720</v>
      </c>
      <c r="C67" s="531"/>
      <c r="D67" s="531"/>
      <c r="E67" s="477"/>
      <c r="F67" s="477"/>
      <c r="G67" s="477"/>
      <c r="H67" s="477"/>
      <c r="I67" s="477"/>
      <c r="J67" s="477"/>
      <c r="K67" s="477"/>
      <c r="L67" s="524"/>
    </row>
    <row r="68" spans="1:12" s="485" customFormat="1" ht="14.25" thickTop="1" thickBot="1" x14ac:dyDescent="0.25">
      <c r="A68" s="1430" t="s">
        <v>748</v>
      </c>
      <c r="B68" s="483">
        <v>8730</v>
      </c>
      <c r="C68" s="531"/>
      <c r="D68" s="531"/>
      <c r="E68" s="477"/>
      <c r="F68" s="477"/>
      <c r="G68" s="477"/>
      <c r="H68" s="477"/>
      <c r="I68" s="477"/>
      <c r="J68" s="477"/>
      <c r="K68" s="477"/>
      <c r="L68" s="524"/>
    </row>
    <row r="69" spans="1:12" s="485" customFormat="1" ht="14.25" thickTop="1" thickBot="1" x14ac:dyDescent="0.25">
      <c r="A69" s="1429" t="s">
        <v>749</v>
      </c>
      <c r="B69" s="483">
        <v>8740</v>
      </c>
      <c r="C69" s="531"/>
      <c r="D69" s="531"/>
      <c r="E69" s="477"/>
      <c r="F69" s="477"/>
      <c r="G69" s="477"/>
      <c r="H69" s="477"/>
      <c r="I69" s="477"/>
      <c r="J69" s="477"/>
      <c r="K69" s="477"/>
      <c r="L69" s="524"/>
    </row>
    <row r="70" spans="1:12" s="485" customFormat="1" ht="14.25" thickTop="1" thickBot="1" x14ac:dyDescent="0.25">
      <c r="A70" s="1428" t="s">
        <v>750</v>
      </c>
      <c r="B70" s="483">
        <v>8810</v>
      </c>
      <c r="C70" s="531"/>
      <c r="D70" s="531"/>
      <c r="E70" s="477"/>
      <c r="F70" s="477"/>
      <c r="G70" s="477"/>
      <c r="H70" s="477"/>
      <c r="I70" s="477"/>
      <c r="J70" s="477"/>
      <c r="K70" s="477"/>
      <c r="L70" s="524"/>
    </row>
    <row r="71" spans="1:12" s="485" customFormat="1" ht="14.25" thickTop="1" thickBot="1" x14ac:dyDescent="0.25">
      <c r="A71" s="1428" t="s">
        <v>754</v>
      </c>
      <c r="B71" s="483">
        <v>8820</v>
      </c>
      <c r="C71" s="531"/>
      <c r="D71" s="531"/>
      <c r="E71" s="477"/>
      <c r="F71" s="477"/>
      <c r="G71" s="477"/>
      <c r="H71" s="477"/>
      <c r="I71" s="477"/>
      <c r="J71" s="477"/>
      <c r="K71" s="477"/>
      <c r="L71" s="524"/>
    </row>
    <row r="72" spans="1:12" s="485" customFormat="1" ht="14.25" thickTop="1" thickBot="1" x14ac:dyDescent="0.25">
      <c r="A72" s="1428" t="s">
        <v>751</v>
      </c>
      <c r="B72" s="483">
        <v>8830</v>
      </c>
      <c r="C72" s="531"/>
      <c r="D72" s="531"/>
      <c r="E72" s="477"/>
      <c r="F72" s="477"/>
      <c r="G72" s="477"/>
      <c r="H72" s="477"/>
      <c r="I72" s="477"/>
      <c r="J72" s="477"/>
      <c r="K72" s="477"/>
      <c r="L72" s="524"/>
    </row>
    <row r="73" spans="1:12" s="485" customFormat="1" ht="14.25" thickTop="1" thickBot="1" x14ac:dyDescent="0.25">
      <c r="A73" s="1428" t="s">
        <v>752</v>
      </c>
      <c r="B73" s="483">
        <v>8840</v>
      </c>
      <c r="C73" s="531">
        <v>3000000</v>
      </c>
      <c r="D73" s="531"/>
      <c r="E73" s="477"/>
      <c r="F73" s="477"/>
      <c r="G73" s="477"/>
      <c r="H73" s="477"/>
      <c r="I73" s="477"/>
      <c r="J73" s="477"/>
      <c r="K73" s="480"/>
      <c r="L73" s="524"/>
    </row>
    <row r="74" spans="1:12" s="485" customFormat="1" ht="14.25" thickTop="1" thickBot="1" x14ac:dyDescent="0.25">
      <c r="A74" s="1428" t="s">
        <v>375</v>
      </c>
      <c r="B74" s="483">
        <v>8910</v>
      </c>
      <c r="C74" s="531"/>
      <c r="D74" s="531"/>
      <c r="E74" s="480"/>
      <c r="F74" s="530"/>
      <c r="G74" s="530"/>
      <c r="H74" s="530"/>
      <c r="I74" s="480"/>
      <c r="J74" s="480"/>
      <c r="K74" s="530"/>
      <c r="L74" s="524"/>
    </row>
    <row r="75" spans="1:12" s="485" customFormat="1" ht="14.25" thickTop="1" thickBot="1" x14ac:dyDescent="0.25">
      <c r="A75" s="1431" t="s">
        <v>439</v>
      </c>
      <c r="B75" s="483">
        <v>8990</v>
      </c>
      <c r="C75" s="531"/>
      <c r="D75" s="531"/>
      <c r="E75" s="530"/>
      <c r="F75" s="532"/>
      <c r="G75" s="532"/>
      <c r="H75" s="532"/>
      <c r="I75" s="530"/>
      <c r="J75" s="530"/>
      <c r="K75" s="532"/>
      <c r="L75" s="524"/>
    </row>
    <row r="76" spans="1:12" s="485" customFormat="1" ht="14.25" thickTop="1" thickBot="1" x14ac:dyDescent="0.25">
      <c r="A76" s="2130" t="s">
        <v>440</v>
      </c>
      <c r="B76" s="2131"/>
      <c r="C76" s="1640">
        <f t="shared" ref="C76:K76" si="7">SUM(C47:C75)</f>
        <v>3086544</v>
      </c>
      <c r="D76" s="1640">
        <f t="shared" si="7"/>
        <v>0</v>
      </c>
      <c r="E76" s="1640">
        <f t="shared" si="7"/>
        <v>0</v>
      </c>
      <c r="F76" s="1640">
        <f t="shared" si="7"/>
        <v>0</v>
      </c>
      <c r="G76" s="1640">
        <f t="shared" si="7"/>
        <v>0</v>
      </c>
      <c r="H76" s="1640">
        <f t="shared" si="7"/>
        <v>0</v>
      </c>
      <c r="I76" s="1640">
        <f t="shared" si="7"/>
        <v>0</v>
      </c>
      <c r="J76" s="1640">
        <f t="shared" si="7"/>
        <v>0</v>
      </c>
      <c r="K76" s="1640">
        <f t="shared" si="7"/>
        <v>0</v>
      </c>
      <c r="L76" s="524"/>
    </row>
    <row r="77" spans="1:12" ht="14.25" thickTop="1" thickBot="1" x14ac:dyDescent="0.25">
      <c r="A77" s="2132" t="s">
        <v>1177</v>
      </c>
      <c r="B77" s="2133"/>
      <c r="C77" s="1640">
        <f t="shared" ref="C77:K77" si="8">C44-C76</f>
        <v>-3086544</v>
      </c>
      <c r="D77" s="1640">
        <f t="shared" si="8"/>
        <v>0</v>
      </c>
      <c r="E77" s="1640">
        <f t="shared" si="8"/>
        <v>86544</v>
      </c>
      <c r="F77" s="1640">
        <f t="shared" si="8"/>
        <v>0</v>
      </c>
      <c r="G77" s="1640">
        <f t="shared" si="8"/>
        <v>0</v>
      </c>
      <c r="H77" s="1640">
        <f t="shared" si="8"/>
        <v>3000000</v>
      </c>
      <c r="I77" s="1640">
        <f t="shared" si="8"/>
        <v>0</v>
      </c>
      <c r="J77" s="1640">
        <f t="shared" si="8"/>
        <v>0</v>
      </c>
      <c r="K77" s="1640">
        <f t="shared" si="8"/>
        <v>0</v>
      </c>
      <c r="L77" s="347"/>
    </row>
    <row r="78" spans="1:12" ht="21.75" customHeight="1" thickTop="1" thickBot="1" x14ac:dyDescent="0.25">
      <c r="A78" s="2136" t="s">
        <v>597</v>
      </c>
      <c r="B78" s="2137"/>
      <c r="C78" s="1639">
        <f t="shared" ref="C78:K78" si="9">C20+C77</f>
        <v>290562</v>
      </c>
      <c r="D78" s="1639">
        <f t="shared" si="9"/>
        <v>265707</v>
      </c>
      <c r="E78" s="1639">
        <f t="shared" si="9"/>
        <v>314</v>
      </c>
      <c r="F78" s="1639">
        <f t="shared" si="9"/>
        <v>-389174</v>
      </c>
      <c r="G78" s="1639">
        <f t="shared" si="9"/>
        <v>-548226</v>
      </c>
      <c r="H78" s="1639">
        <f t="shared" si="9"/>
        <v>-2501107</v>
      </c>
      <c r="I78" s="1639">
        <f t="shared" si="9"/>
        <v>130527</v>
      </c>
      <c r="J78" s="1639">
        <f t="shared" si="9"/>
        <v>-61476</v>
      </c>
      <c r="K78" s="1639">
        <f t="shared" si="9"/>
        <v>0</v>
      </c>
      <c r="L78" s="533"/>
    </row>
    <row r="79" spans="1:12" ht="13.5" thickTop="1" x14ac:dyDescent="0.2">
      <c r="A79" s="1432" t="s">
        <v>1948</v>
      </c>
      <c r="B79" s="534"/>
      <c r="C79" s="478">
        <v>41087953</v>
      </c>
      <c r="D79" s="535">
        <v>4906783</v>
      </c>
      <c r="E79" s="535">
        <v>17449</v>
      </c>
      <c r="F79" s="535">
        <v>2941412</v>
      </c>
      <c r="G79" s="535">
        <f>584955+1294573</f>
        <v>1879528</v>
      </c>
      <c r="H79" s="535">
        <v>7647907</v>
      </c>
      <c r="I79" s="535">
        <v>7532956</v>
      </c>
      <c r="J79" s="535">
        <v>244024</v>
      </c>
      <c r="K79" s="535"/>
      <c r="L79" s="347"/>
    </row>
    <row r="80" spans="1:12" x14ac:dyDescent="0.2">
      <c r="A80" s="2142" t="s">
        <v>1794</v>
      </c>
      <c r="B80" s="2143"/>
      <c r="C80" s="467"/>
      <c r="D80" s="467"/>
      <c r="E80" s="467"/>
      <c r="F80" s="467"/>
      <c r="G80" s="467"/>
      <c r="H80" s="467"/>
      <c r="I80" s="467"/>
      <c r="J80" s="467"/>
      <c r="K80" s="467"/>
      <c r="L80" s="347"/>
    </row>
    <row r="81" spans="1:12" ht="13.5" thickBot="1" x14ac:dyDescent="0.25">
      <c r="A81" s="2134" t="s">
        <v>1949</v>
      </c>
      <c r="B81" s="2135"/>
      <c r="C81" s="1625">
        <f>(SUM(C78:C80))</f>
        <v>41378515</v>
      </c>
      <c r="D81" s="1625">
        <f>SUM(D78:D80)</f>
        <v>5172490</v>
      </c>
      <c r="E81" s="1625">
        <f t="shared" ref="E81:K81" si="10">SUM(E78:E80)</f>
        <v>17763</v>
      </c>
      <c r="F81" s="1625">
        <f t="shared" si="10"/>
        <v>2552238</v>
      </c>
      <c r="G81" s="1625">
        <f t="shared" si="10"/>
        <v>1331302</v>
      </c>
      <c r="H81" s="1625">
        <f t="shared" si="10"/>
        <v>5146800</v>
      </c>
      <c r="I81" s="1625">
        <f t="shared" si="10"/>
        <v>7663483</v>
      </c>
      <c r="J81" s="1625">
        <f t="shared" si="10"/>
        <v>182548</v>
      </c>
      <c r="K81" s="1625">
        <f t="shared" si="10"/>
        <v>0</v>
      </c>
      <c r="L81" s="347"/>
    </row>
    <row r="82" spans="1:12" ht="0.75" customHeight="1" thickTop="1" thickBot="1" x14ac:dyDescent="0.25">
      <c r="A82" s="536" t="s">
        <v>343</v>
      </c>
      <c r="B82" s="537"/>
      <c r="C82" s="538">
        <f>(C81-C79)</f>
        <v>290562</v>
      </c>
      <c r="D82" s="538">
        <f t="shared" ref="D82:K82" si="11">(D81-D79)</f>
        <v>265707</v>
      </c>
      <c r="E82" s="538">
        <f t="shared" si="11"/>
        <v>314</v>
      </c>
      <c r="F82" s="538">
        <f t="shared" si="11"/>
        <v>-389174</v>
      </c>
      <c r="G82" s="538">
        <f t="shared" si="11"/>
        <v>-548226</v>
      </c>
      <c r="H82" s="538">
        <f t="shared" si="11"/>
        <v>-2501107</v>
      </c>
      <c r="I82" s="538">
        <f t="shared" si="11"/>
        <v>130527</v>
      </c>
      <c r="J82" s="538">
        <f t="shared" si="11"/>
        <v>-61476</v>
      </c>
      <c r="K82" s="538">
        <f t="shared" si="11"/>
        <v>0</v>
      </c>
    </row>
    <row r="83" spans="1:12" ht="14.25" hidden="1" thickTop="1" thickBot="1" x14ac:dyDescent="0.25">
      <c r="A83" s="539" t="s">
        <v>344</v>
      </c>
      <c r="B83" s="464"/>
      <c r="C83" s="540">
        <f>C82/C81</f>
        <v>7.0220499696521249E-3</v>
      </c>
      <c r="D83" s="540">
        <f t="shared" ref="D83:K83" si="12">D82/D81</f>
        <v>5.1369263159522782E-2</v>
      </c>
      <c r="E83" s="540">
        <f t="shared" si="12"/>
        <v>1.7677194167651861E-2</v>
      </c>
      <c r="F83" s="540">
        <f t="shared" si="12"/>
        <v>-0.15248342826962064</v>
      </c>
      <c r="G83" s="540">
        <f t="shared" si="12"/>
        <v>-0.41179687253530756</v>
      </c>
      <c r="H83" s="540">
        <f t="shared" si="12"/>
        <v>-0.48595379653376858</v>
      </c>
      <c r="I83" s="540">
        <f t="shared" si="12"/>
        <v>1.7032333731281196E-2</v>
      </c>
      <c r="J83" s="540">
        <f t="shared" si="12"/>
        <v>-0.33676622039134912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1" activePane="bottomLeft" state="frozen"/>
      <selection activeCell="I42" sqref="I42:O42"/>
      <selection pane="bottomLeft" activeCell="C255" sqref="C25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1801</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379</v>
      </c>
      <c r="B4" s="1529">
        <v>1100</v>
      </c>
      <c r="C4" s="543"/>
      <c r="D4" s="543"/>
      <c r="E4" s="543"/>
      <c r="F4" s="544"/>
      <c r="G4" s="545"/>
      <c r="H4" s="546"/>
      <c r="I4" s="546"/>
      <c r="J4" s="546"/>
      <c r="K4" s="546"/>
    </row>
    <row r="5" spans="1:12" ht="15" x14ac:dyDescent="0.2">
      <c r="A5" s="493" t="s">
        <v>1661</v>
      </c>
      <c r="B5" s="547"/>
      <c r="C5" s="481">
        <v>27526133</v>
      </c>
      <c r="D5" s="481">
        <v>2915691</v>
      </c>
      <c r="E5" s="466"/>
      <c r="F5" s="548">
        <v>1129205</v>
      </c>
      <c r="G5" s="466">
        <f>611595+236390</f>
        <v>847985</v>
      </c>
      <c r="H5" s="466"/>
      <c r="I5" s="466">
        <v>15361</v>
      </c>
      <c r="J5" s="467">
        <v>199290</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2888328</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30414461</v>
      </c>
      <c r="D12" s="1644">
        <f t="shared" si="0"/>
        <v>2915691</v>
      </c>
      <c r="E12" s="1644">
        <f t="shared" si="0"/>
        <v>0</v>
      </c>
      <c r="F12" s="1644">
        <f t="shared" si="0"/>
        <v>1129205</v>
      </c>
      <c r="G12" s="1644">
        <f t="shared" si="0"/>
        <v>847985</v>
      </c>
      <c r="H12" s="1644">
        <f t="shared" si="0"/>
        <v>0</v>
      </c>
      <c r="I12" s="1644">
        <f t="shared" si="0"/>
        <v>15361</v>
      </c>
      <c r="J12" s="1644">
        <f t="shared" si="0"/>
        <v>199290</v>
      </c>
      <c r="K12" s="1625">
        <f t="shared" si="0"/>
        <v>0</v>
      </c>
    </row>
    <row r="13" spans="1:12" ht="15.75" customHeight="1" thickTop="1" x14ac:dyDescent="0.2">
      <c r="A13" s="1530" t="s">
        <v>451</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126651</v>
      </c>
      <c r="E16" s="466"/>
      <c r="F16" s="466"/>
      <c r="G16" s="466">
        <v>16000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5" t="s">
        <v>537</v>
      </c>
      <c r="B18" s="1646"/>
      <c r="C18" s="1647">
        <f>SUM(C14:C17)</f>
        <v>0</v>
      </c>
      <c r="D18" s="1647">
        <f t="shared" ref="D18:K18" si="1">SUM(D14:D17)</f>
        <v>126651</v>
      </c>
      <c r="E18" s="1647">
        <f t="shared" si="1"/>
        <v>0</v>
      </c>
      <c r="F18" s="1647">
        <f t="shared" si="1"/>
        <v>0</v>
      </c>
      <c r="G18" s="1647">
        <f t="shared" si="1"/>
        <v>16000</v>
      </c>
      <c r="H18" s="1647">
        <f t="shared" si="1"/>
        <v>0</v>
      </c>
      <c r="I18" s="1647">
        <f t="shared" si="1"/>
        <v>0</v>
      </c>
      <c r="J18" s="1647">
        <f t="shared" si="1"/>
        <v>0</v>
      </c>
      <c r="K18" s="1648">
        <f t="shared" si="1"/>
        <v>0</v>
      </c>
    </row>
    <row r="19" spans="1:11" ht="15.75" customHeight="1" thickTop="1" x14ac:dyDescent="0.2">
      <c r="A19" s="1530" t="s">
        <v>452</v>
      </c>
      <c r="B19" s="153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3" t="s">
        <v>594</v>
      </c>
      <c r="B39" s="556">
        <v>1354</v>
      </c>
      <c r="C39" s="489"/>
      <c r="D39" s="468"/>
      <c r="E39" s="468"/>
      <c r="F39" s="468"/>
      <c r="G39" s="468"/>
      <c r="H39" s="468"/>
      <c r="I39" s="468"/>
      <c r="J39" s="468"/>
      <c r="K39" s="468"/>
    </row>
    <row r="40" spans="1:11" ht="12.75" customHeight="1" thickBot="1" x14ac:dyDescent="0.25">
      <c r="A40" s="1645" t="s">
        <v>538</v>
      </c>
      <c r="B40" s="1646"/>
      <c r="C40" s="1625">
        <f>SUM(C20:C39)</f>
        <v>0</v>
      </c>
      <c r="D40" s="468"/>
      <c r="E40" s="468"/>
      <c r="F40" s="468"/>
      <c r="G40" s="468"/>
      <c r="H40" s="468"/>
      <c r="I40" s="468"/>
      <c r="J40" s="468"/>
      <c r="K40" s="468"/>
    </row>
    <row r="41" spans="1:11" ht="15.75" customHeight="1" thickTop="1" x14ac:dyDescent="0.2">
      <c r="A41" s="1530" t="s">
        <v>274</v>
      </c>
      <c r="B41" s="1531">
        <v>1400</v>
      </c>
      <c r="C41" s="468"/>
      <c r="D41" s="468"/>
      <c r="E41" s="468"/>
      <c r="F41" s="521"/>
      <c r="G41" s="468"/>
      <c r="H41" s="468"/>
      <c r="I41" s="468"/>
      <c r="J41" s="468"/>
      <c r="K41" s="468"/>
    </row>
    <row r="42" spans="1:11" ht="12.75" customHeight="1" x14ac:dyDescent="0.2">
      <c r="A42" s="463" t="s">
        <v>1076</v>
      </c>
      <c r="B42" s="470">
        <v>1411</v>
      </c>
      <c r="C42" s="468"/>
      <c r="D42" s="468"/>
      <c r="E42" s="468"/>
      <c r="F42" s="481">
        <v>1039</v>
      </c>
      <c r="G42" s="468"/>
      <c r="H42" s="468"/>
      <c r="I42" s="468"/>
      <c r="J42" s="468"/>
      <c r="K42" s="468"/>
    </row>
    <row r="43" spans="1:11" ht="12.75" customHeight="1" x14ac:dyDescent="0.2">
      <c r="A43" s="463" t="s">
        <v>837</v>
      </c>
      <c r="B43" s="470">
        <v>1412</v>
      </c>
      <c r="C43" s="468"/>
      <c r="D43" s="468"/>
      <c r="E43" s="468"/>
      <c r="F43" s="466">
        <v>118139</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1106</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1107</v>
      </c>
      <c r="B56" s="557">
        <v>1442</v>
      </c>
      <c r="C56" s="468"/>
      <c r="D56" s="468"/>
      <c r="E56" s="468"/>
      <c r="F56" s="466"/>
      <c r="G56" s="468"/>
      <c r="H56" s="468"/>
      <c r="I56" s="468"/>
      <c r="J56" s="468"/>
      <c r="K56" s="468"/>
    </row>
    <row r="57" spans="1:11" ht="12.75" customHeight="1" x14ac:dyDescent="0.2">
      <c r="A57" s="1434" t="s">
        <v>489</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878</v>
      </c>
      <c r="B59" s="557">
        <v>1451</v>
      </c>
      <c r="C59" s="468"/>
      <c r="D59" s="468"/>
      <c r="E59" s="468"/>
      <c r="F59" s="466"/>
      <c r="G59" s="468"/>
      <c r="H59" s="468"/>
      <c r="I59" s="468"/>
      <c r="J59" s="468"/>
      <c r="K59" s="468"/>
    </row>
    <row r="60" spans="1:11" ht="12.75" customHeight="1" x14ac:dyDescent="0.2">
      <c r="A60" s="143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5" t="s">
        <v>880</v>
      </c>
      <c r="B62" s="558">
        <v>1454</v>
      </c>
      <c r="C62" s="468"/>
      <c r="D62" s="468"/>
      <c r="E62" s="468"/>
      <c r="F62" s="467"/>
      <c r="G62" s="468"/>
      <c r="H62" s="468"/>
      <c r="I62" s="468"/>
      <c r="J62" s="468"/>
      <c r="K62" s="468"/>
    </row>
    <row r="63" spans="1:11" ht="12.75" customHeight="1" thickBot="1" x14ac:dyDescent="0.25">
      <c r="A63" s="1645" t="s">
        <v>485</v>
      </c>
      <c r="B63" s="1646"/>
      <c r="C63" s="468"/>
      <c r="D63" s="468"/>
      <c r="E63" s="468"/>
      <c r="F63" s="1625">
        <f>SUM(F42:F62)</f>
        <v>119178</v>
      </c>
      <c r="G63" s="468"/>
      <c r="H63" s="468"/>
      <c r="I63" s="468"/>
      <c r="J63" s="468"/>
      <c r="K63" s="468"/>
    </row>
    <row r="64" spans="1:11" ht="15.75" customHeight="1" thickTop="1" x14ac:dyDescent="0.2">
      <c r="A64" s="1530" t="s">
        <v>454</v>
      </c>
      <c r="B64" s="1531">
        <v>1500</v>
      </c>
      <c r="C64" s="468"/>
      <c r="D64" s="468"/>
      <c r="E64" s="468"/>
      <c r="F64" s="468"/>
      <c r="G64" s="468"/>
      <c r="H64" s="468"/>
      <c r="I64" s="468"/>
      <c r="J64" s="468"/>
      <c r="K64" s="468"/>
    </row>
    <row r="65" spans="1:11" ht="12.75" customHeight="1" x14ac:dyDescent="0.2">
      <c r="A65" s="463" t="s">
        <v>547</v>
      </c>
      <c r="B65" s="470">
        <v>1510</v>
      </c>
      <c r="C65" s="466">
        <v>595690</v>
      </c>
      <c r="D65" s="466">
        <v>82462</v>
      </c>
      <c r="E65" s="466">
        <v>314</v>
      </c>
      <c r="F65" s="467">
        <v>41712</v>
      </c>
      <c r="G65" s="466">
        <f>3257+14513</f>
        <v>17770</v>
      </c>
      <c r="H65" s="466">
        <v>107160</v>
      </c>
      <c r="I65" s="466">
        <v>115166</v>
      </c>
      <c r="J65" s="467">
        <v>709</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5" t="s">
        <v>486</v>
      </c>
      <c r="B67" s="1646"/>
      <c r="C67" s="1625">
        <f>SUM(C65:C66)</f>
        <v>595690</v>
      </c>
      <c r="D67" s="1625">
        <f t="shared" ref="D67:K67" si="2">SUM(D65:D66)</f>
        <v>82462</v>
      </c>
      <c r="E67" s="1625">
        <f t="shared" si="2"/>
        <v>314</v>
      </c>
      <c r="F67" s="1625">
        <f t="shared" si="2"/>
        <v>41712</v>
      </c>
      <c r="G67" s="1625">
        <f t="shared" si="2"/>
        <v>17770</v>
      </c>
      <c r="H67" s="1625">
        <f t="shared" si="2"/>
        <v>107160</v>
      </c>
      <c r="I67" s="1625">
        <f t="shared" si="2"/>
        <v>115166</v>
      </c>
      <c r="J67" s="1625">
        <f t="shared" si="2"/>
        <v>709</v>
      </c>
      <c r="K67" s="1625">
        <f t="shared" si="2"/>
        <v>0</v>
      </c>
    </row>
    <row r="68" spans="1:11" ht="15.75" customHeight="1" thickTop="1" x14ac:dyDescent="0.2">
      <c r="A68" s="1530" t="s">
        <v>455</v>
      </c>
      <c r="B68" s="1532">
        <v>1600</v>
      </c>
      <c r="C68" s="553"/>
      <c r="D68" s="468"/>
      <c r="E68" s="468"/>
      <c r="F68" s="468"/>
      <c r="G68" s="468"/>
      <c r="H68" s="468"/>
      <c r="I68" s="468"/>
      <c r="J68" s="468"/>
      <c r="K68" s="468"/>
    </row>
    <row r="69" spans="1:11" ht="12.75" customHeight="1" x14ac:dyDescent="0.2">
      <c r="A69" s="463" t="s">
        <v>666</v>
      </c>
      <c r="B69" s="470">
        <v>1611</v>
      </c>
      <c r="C69" s="466">
        <v>194343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10049</v>
      </c>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548</v>
      </c>
      <c r="B75" s="1646"/>
      <c r="C75" s="1625">
        <f>SUM(C69:C74)</f>
        <v>204392</v>
      </c>
      <c r="D75" s="468"/>
      <c r="E75" s="468"/>
      <c r="F75" s="468"/>
      <c r="G75" s="468"/>
      <c r="H75" s="468"/>
      <c r="I75" s="468"/>
      <c r="J75" s="468"/>
      <c r="K75" s="468"/>
    </row>
    <row r="76" spans="1:11" ht="15.75" customHeight="1" thickTop="1" x14ac:dyDescent="0.2">
      <c r="A76" s="1530" t="s">
        <v>881</v>
      </c>
      <c r="B76" s="153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15280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5" t="s">
        <v>241</v>
      </c>
      <c r="B82" s="1646"/>
      <c r="C82" s="1644">
        <f>SUM(C77:C81)</f>
        <v>15280</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552</v>
      </c>
      <c r="B84" s="470">
        <v>1811</v>
      </c>
      <c r="C84" s="466">
        <v>226667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784</v>
      </c>
      <c r="D92" s="468"/>
      <c r="E92" s="468"/>
      <c r="F92" s="468"/>
      <c r="G92" s="468"/>
      <c r="H92" s="468"/>
      <c r="I92" s="468"/>
      <c r="J92" s="468"/>
      <c r="K92" s="468"/>
    </row>
    <row r="93" spans="1:11" ht="12.75" customHeight="1" thickBot="1" x14ac:dyDescent="0.25">
      <c r="A93" s="1645" t="s">
        <v>243</v>
      </c>
      <c r="B93" s="1646"/>
      <c r="C93" s="1625">
        <f>SUM(C84:C92)</f>
        <v>227451</v>
      </c>
      <c r="D93" s="468"/>
      <c r="E93" s="468"/>
      <c r="F93" s="468"/>
      <c r="G93" s="468"/>
      <c r="H93" s="468"/>
      <c r="I93" s="468"/>
      <c r="J93" s="468"/>
      <c r="K93" s="468"/>
    </row>
    <row r="94" spans="1:11" ht="15.75" customHeight="1" thickTop="1" x14ac:dyDescent="0.2">
      <c r="A94" s="1530" t="s">
        <v>1137</v>
      </c>
      <c r="B94" s="1532">
        <v>1900</v>
      </c>
      <c r="C94" s="553"/>
      <c r="D94" s="521"/>
      <c r="E94" s="468"/>
      <c r="F94" s="468"/>
      <c r="G94" s="468"/>
      <c r="H94" s="468"/>
      <c r="I94" s="468"/>
      <c r="J94" s="468"/>
      <c r="K94" s="468"/>
    </row>
    <row r="95" spans="1:11" ht="12.75" customHeight="1" x14ac:dyDescent="0.2">
      <c r="A95" s="463" t="s">
        <v>1064</v>
      </c>
      <c r="B95" s="470">
        <v>1910</v>
      </c>
      <c r="C95" s="466"/>
      <c r="D95" s="551">
        <v>513</v>
      </c>
      <c r="E95" s="521"/>
      <c r="F95" s="521"/>
      <c r="G95" s="521"/>
      <c r="H95" s="521"/>
      <c r="I95" s="521"/>
      <c r="J95" s="521"/>
      <c r="K95" s="521"/>
    </row>
    <row r="96" spans="1:11" ht="12.75" customHeight="1" x14ac:dyDescent="0.2">
      <c r="A96" s="463" t="s">
        <v>391</v>
      </c>
      <c r="B96" s="470">
        <v>1920</v>
      </c>
      <c r="C96" s="551">
        <v>20500</v>
      </c>
      <c r="D96" s="551">
        <v>8183</v>
      </c>
      <c r="E96" s="479"/>
      <c r="F96" s="478"/>
      <c r="G96" s="478"/>
      <c r="H96" s="478"/>
      <c r="I96" s="478"/>
      <c r="J96" s="478"/>
      <c r="K96" s="478"/>
    </row>
    <row r="97" spans="1:12" ht="12.75" customHeight="1" x14ac:dyDescent="0.2">
      <c r="A97" s="1433" t="s">
        <v>244</v>
      </c>
      <c r="B97" s="559">
        <v>1930</v>
      </c>
      <c r="C97" s="489"/>
      <c r="D97" s="467"/>
      <c r="E97" s="474"/>
      <c r="F97" s="467"/>
      <c r="G97" s="467"/>
      <c r="H97" s="467">
        <v>72126</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64775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7657</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54042+52378</f>
        <v>106420</v>
      </c>
      <c r="D107" s="466">
        <v>30254</v>
      </c>
      <c r="E107" s="466"/>
      <c r="F107" s="466"/>
      <c r="G107" s="466"/>
      <c r="H107" s="466"/>
      <c r="I107" s="466"/>
      <c r="J107" s="467"/>
      <c r="K107" s="466"/>
    </row>
    <row r="108" spans="1:12" ht="12.75" customHeight="1" thickBot="1" x14ac:dyDescent="0.25">
      <c r="A108" s="1645" t="s">
        <v>487</v>
      </c>
      <c r="B108" s="1649"/>
      <c r="C108" s="1644">
        <f>SUM(C95:C107)</f>
        <v>199352</v>
      </c>
      <c r="D108" s="1644">
        <f t="shared" ref="D108:K108" si="3">SUM(D95:D107)</f>
        <v>38950</v>
      </c>
      <c r="E108" s="1644">
        <f t="shared" si="3"/>
        <v>0</v>
      </c>
      <c r="F108" s="1644">
        <f t="shared" si="3"/>
        <v>0</v>
      </c>
      <c r="G108" s="1644">
        <f t="shared" si="3"/>
        <v>0</v>
      </c>
      <c r="H108" s="1644">
        <f t="shared" si="3"/>
        <v>72126</v>
      </c>
      <c r="I108" s="1644">
        <f t="shared" si="3"/>
        <v>0</v>
      </c>
      <c r="J108" s="1644">
        <f t="shared" si="3"/>
        <v>0</v>
      </c>
      <c r="K108" s="1625">
        <f t="shared" si="3"/>
        <v>0</v>
      </c>
    </row>
    <row r="109" spans="1:12" ht="14.25" thickTop="1" thickBot="1" x14ac:dyDescent="0.25">
      <c r="A109" s="1650" t="s">
        <v>248</v>
      </c>
      <c r="B109" s="1651" t="s">
        <v>570</v>
      </c>
      <c r="C109" s="1652">
        <f t="shared" ref="C109:K109" si="4">SUM(C12,C18,C40,C63,C67,C75,C82,C93,C108,)</f>
        <v>31656626</v>
      </c>
      <c r="D109" s="1652">
        <f t="shared" si="4"/>
        <v>3163754</v>
      </c>
      <c r="E109" s="1652">
        <f t="shared" si="4"/>
        <v>314</v>
      </c>
      <c r="F109" s="1652">
        <f t="shared" si="4"/>
        <v>1290095</v>
      </c>
      <c r="G109" s="1652">
        <f t="shared" si="4"/>
        <v>881755</v>
      </c>
      <c r="H109" s="1652">
        <f t="shared" si="4"/>
        <v>179286</v>
      </c>
      <c r="I109" s="1652">
        <f t="shared" si="4"/>
        <v>130527</v>
      </c>
      <c r="J109" s="1652">
        <f t="shared" si="4"/>
        <v>199999</v>
      </c>
      <c r="K109" s="1639">
        <f t="shared" si="4"/>
        <v>0</v>
      </c>
    </row>
    <row r="110" spans="1:12" ht="30" customHeight="1" thickTop="1" x14ac:dyDescent="0.2">
      <c r="A110" s="1523" t="s">
        <v>346</v>
      </c>
      <c r="B110" s="1524"/>
      <c r="C110" s="1509"/>
      <c r="D110" s="1509"/>
      <c r="E110" s="1509"/>
      <c r="F110" s="1509"/>
      <c r="G110" s="1509"/>
      <c r="H110" s="1509"/>
      <c r="I110" s="1509"/>
      <c r="J110" s="1509"/>
      <c r="K110" s="151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x14ac:dyDescent="0.2">
      <c r="A115" s="1525" t="s">
        <v>803</v>
      </c>
      <c r="B115" s="1526"/>
      <c r="C115" s="1508"/>
      <c r="D115" s="1509"/>
      <c r="E115" s="1509"/>
      <c r="F115" s="1509"/>
      <c r="G115" s="1509"/>
      <c r="H115" s="1509"/>
      <c r="I115" s="1509"/>
      <c r="J115" s="1509"/>
      <c r="K115" s="1510"/>
    </row>
    <row r="116" spans="1:11" ht="18" customHeight="1" x14ac:dyDescent="0.2">
      <c r="A116" s="1533" t="s">
        <v>1491</v>
      </c>
      <c r="B116" s="1534"/>
      <c r="C116" s="522"/>
      <c r="D116" s="521"/>
      <c r="E116" s="561"/>
      <c r="F116" s="521"/>
      <c r="G116" s="521"/>
      <c r="H116" s="561"/>
      <c r="I116" s="468"/>
      <c r="J116" s="521"/>
      <c r="K116" s="521"/>
    </row>
    <row r="117" spans="1:11" ht="12.75" customHeight="1" x14ac:dyDescent="0.2">
      <c r="A117" s="463" t="s">
        <v>1667</v>
      </c>
      <c r="B117" s="562">
        <v>3001</v>
      </c>
      <c r="C117" s="516">
        <v>4259012</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868" t="s">
        <v>1935</v>
      </c>
      <c r="B120" s="562">
        <v>3030</v>
      </c>
      <c r="C120" s="551"/>
      <c r="D120" s="466"/>
      <c r="E120" s="466"/>
      <c r="F120" s="466"/>
      <c r="G120" s="466"/>
      <c r="H120" s="466"/>
      <c r="I120" s="468"/>
      <c r="J120" s="467"/>
      <c r="K120" s="466"/>
    </row>
    <row r="121" spans="1:11" x14ac:dyDescent="0.2">
      <c r="A121" s="1434" t="s">
        <v>1800</v>
      </c>
      <c r="B121" s="564">
        <v>3099</v>
      </c>
      <c r="C121" s="551"/>
      <c r="D121" s="466"/>
      <c r="E121" s="466"/>
      <c r="F121" s="466"/>
      <c r="G121" s="466"/>
      <c r="H121" s="466"/>
      <c r="I121" s="468"/>
      <c r="J121" s="467"/>
      <c r="K121" s="466"/>
    </row>
    <row r="122" spans="1:11" ht="12.6" customHeight="1" thickBot="1" x14ac:dyDescent="0.25">
      <c r="A122" s="1645" t="s">
        <v>488</v>
      </c>
      <c r="B122" s="1656"/>
      <c r="C122" s="1644">
        <f t="shared" ref="C122:H122" si="5">SUM(C117:C121)</f>
        <v>4259012</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x14ac:dyDescent="0.2">
      <c r="A123" s="1530" t="s">
        <v>1490</v>
      </c>
      <c r="B123" s="1535"/>
      <c r="C123" s="565"/>
      <c r="D123" s="509"/>
      <c r="E123" s="468"/>
      <c r="F123" s="566"/>
      <c r="G123" s="468"/>
      <c r="H123" s="468"/>
      <c r="I123" s="468"/>
      <c r="J123" s="468"/>
      <c r="K123" s="468"/>
    </row>
    <row r="124" spans="1:11" ht="15" customHeight="1" x14ac:dyDescent="0.2">
      <c r="A124" s="1536" t="s">
        <v>667</v>
      </c>
      <c r="B124" s="1537"/>
      <c r="C124" s="521"/>
      <c r="D124" s="509"/>
      <c r="E124" s="468"/>
      <c r="F124" s="521"/>
      <c r="G124" s="468"/>
      <c r="H124" s="468"/>
      <c r="I124" s="468"/>
      <c r="J124" s="468"/>
      <c r="K124" s="468"/>
    </row>
    <row r="125" spans="1:11" ht="12.75" customHeight="1" x14ac:dyDescent="0.2">
      <c r="A125" s="463" t="s">
        <v>866</v>
      </c>
      <c r="B125" s="567">
        <v>3100</v>
      </c>
      <c r="C125" s="481">
        <v>274996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14308</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1032</v>
      </c>
      <c r="B132" s="1657"/>
      <c r="C132" s="1644">
        <f>SUM(C125:C131)</f>
        <v>289304</v>
      </c>
      <c r="D132" s="1644">
        <f>SUM(D125:D131)</f>
        <v>0</v>
      </c>
      <c r="E132" s="469" t="s">
        <v>1169</v>
      </c>
      <c r="F132" s="1644">
        <f>SUM(F125:F131)</f>
        <v>0</v>
      </c>
      <c r="G132" s="468" t="s">
        <v>1169</v>
      </c>
      <c r="H132" s="468" t="s">
        <v>1169</v>
      </c>
      <c r="I132" s="468" t="s">
        <v>1169</v>
      </c>
      <c r="J132" s="468" t="s">
        <v>1169</v>
      </c>
      <c r="K132" s="468" t="s">
        <v>1169</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603</v>
      </c>
      <c r="B141" s="1657"/>
      <c r="C141" s="1644">
        <f>SUM(C134:C140)</f>
        <v>0</v>
      </c>
      <c r="D141" s="1644">
        <f>SUM(D134:D140)</f>
        <v>0</v>
      </c>
      <c r="E141" s="561" t="s">
        <v>1169</v>
      </c>
      <c r="F141" s="477"/>
      <c r="G141" s="1644">
        <f>SUM(G134:G140)</f>
        <v>0</v>
      </c>
      <c r="H141" s="468" t="s">
        <v>1169</v>
      </c>
      <c r="I141" s="468" t="s">
        <v>1169</v>
      </c>
      <c r="J141" s="468" t="s">
        <v>1169</v>
      </c>
      <c r="K141" s="468" t="s">
        <v>1169</v>
      </c>
    </row>
    <row r="142" spans="1:11" ht="15.75" customHeight="1" thickTop="1" x14ac:dyDescent="0.2">
      <c r="A142" s="1538" t="s">
        <v>670</v>
      </c>
      <c r="B142" s="153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5" t="s">
        <v>396</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1056</v>
      </c>
      <c r="B146" s="568">
        <v>3360</v>
      </c>
      <c r="C146" s="569">
        <v>8967</v>
      </c>
      <c r="D146" s="570"/>
      <c r="E146" s="509"/>
      <c r="F146" s="468"/>
      <c r="G146" s="571"/>
      <c r="H146" s="468"/>
      <c r="I146" s="468"/>
      <c r="J146" s="468"/>
      <c r="K146" s="468"/>
    </row>
    <row r="147" spans="1:11" ht="12.75" customHeight="1" thickBot="1" x14ac:dyDescent="0.25">
      <c r="A147" s="1437" t="s">
        <v>922</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c r="D148" s="573"/>
      <c r="E148" s="509"/>
      <c r="F148" s="468"/>
      <c r="G148" s="468"/>
      <c r="H148" s="468"/>
      <c r="I148" s="468"/>
      <c r="J148" s="468"/>
      <c r="K148" s="468"/>
    </row>
    <row r="149" spans="1:11" ht="12.75" customHeight="1" thickTop="1" thickBot="1" x14ac:dyDescent="0.25">
      <c r="A149" s="1438" t="s">
        <v>767</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453</v>
      </c>
      <c r="B151" s="1540"/>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391132</v>
      </c>
      <c r="G152" s="467"/>
      <c r="H152" s="468"/>
      <c r="I152" s="468"/>
      <c r="J152" s="468"/>
      <c r="K152" s="468"/>
    </row>
    <row r="153" spans="1:11" ht="12.75" customHeight="1" x14ac:dyDescent="0.2">
      <c r="A153" s="463" t="s">
        <v>1057</v>
      </c>
      <c r="B153" s="562">
        <v>3510</v>
      </c>
      <c r="C153" s="551"/>
      <c r="D153" s="466"/>
      <c r="E153" s="561"/>
      <c r="F153" s="466">
        <v>418934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810066</v>
      </c>
      <c r="G155" s="1644">
        <f>SUM(G152:G154)</f>
        <v>0</v>
      </c>
      <c r="H155" s="468"/>
      <c r="I155" s="468"/>
      <c r="J155" s="468"/>
      <c r="K155" s="468"/>
    </row>
    <row r="156" spans="1:11" ht="12.75" customHeight="1" thickTop="1" thickBot="1" x14ac:dyDescent="0.25">
      <c r="A156" s="1438" t="s">
        <v>380</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1000</v>
      </c>
      <c r="B158" s="574">
        <v>3695</v>
      </c>
      <c r="C158" s="576"/>
      <c r="D158" s="468"/>
      <c r="E158" s="561"/>
      <c r="F158" s="576"/>
      <c r="G158" s="576"/>
      <c r="H158" s="468"/>
      <c r="I158" s="468"/>
      <c r="J158" s="468"/>
      <c r="K158" s="468"/>
    </row>
    <row r="159" spans="1:11" ht="12.75" customHeight="1" thickTop="1" thickBot="1" x14ac:dyDescent="0.25">
      <c r="A159" s="1438" t="s">
        <v>1051</v>
      </c>
      <c r="B159" s="574">
        <v>3705</v>
      </c>
      <c r="C159" s="576">
        <v>689203</v>
      </c>
      <c r="D159" s="578"/>
      <c r="E159" s="561"/>
      <c r="F159" s="576"/>
      <c r="G159" s="576">
        <v>29438</v>
      </c>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985</v>
      </c>
      <c r="B161" s="574">
        <v>3767</v>
      </c>
      <c r="C161" s="576"/>
      <c r="D161" s="531"/>
      <c r="E161" s="561"/>
      <c r="F161" s="531"/>
      <c r="G161" s="531"/>
      <c r="H161" s="468"/>
      <c r="I161" s="468"/>
      <c r="J161" s="468"/>
      <c r="K161" s="468"/>
    </row>
    <row r="162" spans="1:11" ht="12.75" customHeight="1" thickTop="1" thickBot="1" x14ac:dyDescent="0.25">
      <c r="A162" s="1438" t="s">
        <v>986</v>
      </c>
      <c r="B162" s="574">
        <v>3775</v>
      </c>
      <c r="C162" s="576"/>
      <c r="D162" s="573"/>
      <c r="E162" s="530"/>
      <c r="F162" s="573"/>
      <c r="G162" s="532"/>
      <c r="H162" s="530"/>
      <c r="I162" s="468"/>
      <c r="J162" s="468"/>
      <c r="K162" s="530"/>
    </row>
    <row r="163" spans="1:11" ht="12.75" customHeight="1" thickTop="1" thickBot="1" x14ac:dyDescent="0.25">
      <c r="A163" s="1438" t="s">
        <v>1449</v>
      </c>
      <c r="B163" s="574">
        <v>3780</v>
      </c>
      <c r="C163" s="531"/>
      <c r="D163" s="530"/>
      <c r="E163" s="531"/>
      <c r="F163" s="531"/>
      <c r="G163" s="531"/>
      <c r="H163" s="531"/>
      <c r="I163" s="468"/>
      <c r="J163" s="468"/>
      <c r="K163" s="531"/>
    </row>
    <row r="164" spans="1:11" ht="12.75" customHeight="1" thickTop="1" thickBot="1" x14ac:dyDescent="0.25">
      <c r="A164" s="1438" t="s">
        <v>858</v>
      </c>
      <c r="B164" s="574">
        <v>3815</v>
      </c>
      <c r="C164" s="576"/>
      <c r="D164" s="468"/>
      <c r="E164" s="561"/>
      <c r="F164" s="576"/>
      <c r="G164" s="468"/>
      <c r="H164" s="468"/>
      <c r="I164" s="468"/>
      <c r="J164" s="468"/>
      <c r="K164" s="468"/>
    </row>
    <row r="165" spans="1:11" ht="12.75" customHeight="1" thickTop="1" thickBot="1" x14ac:dyDescent="0.25">
      <c r="A165" s="1438" t="s">
        <v>397</v>
      </c>
      <c r="B165" s="574">
        <v>3825</v>
      </c>
      <c r="C165" s="576"/>
      <c r="D165" s="468"/>
      <c r="E165" s="561"/>
      <c r="F165" s="576"/>
      <c r="G165" s="468"/>
      <c r="H165" s="468"/>
      <c r="I165" s="468"/>
      <c r="J165" s="468"/>
      <c r="K165" s="468"/>
    </row>
    <row r="166" spans="1:11" ht="12.75" customHeight="1" thickTop="1" thickBot="1" x14ac:dyDescent="0.25">
      <c r="A166" s="1438" t="s">
        <v>348</v>
      </c>
      <c r="B166" s="574">
        <v>3920</v>
      </c>
      <c r="C166" s="566"/>
      <c r="D166" s="578"/>
      <c r="E166" s="468"/>
      <c r="F166" s="566"/>
      <c r="G166" s="468"/>
      <c r="H166" s="530"/>
      <c r="I166" s="468"/>
      <c r="J166" s="468"/>
      <c r="K166" s="468"/>
    </row>
    <row r="167" spans="1:11" ht="12.75" customHeight="1" thickTop="1" thickBot="1" x14ac:dyDescent="0.25">
      <c r="A167" s="1438" t="s">
        <v>349</v>
      </c>
      <c r="B167" s="574">
        <v>3925</v>
      </c>
      <c r="C167" s="521"/>
      <c r="D167" s="576"/>
      <c r="E167" s="521"/>
      <c r="F167" s="521"/>
      <c r="G167" s="468"/>
      <c r="H167" s="531"/>
      <c r="I167" s="468"/>
      <c r="J167" s="468"/>
      <c r="K167" s="530"/>
    </row>
    <row r="168" spans="1:11" ht="14.25" thickTop="1" thickBot="1" x14ac:dyDescent="0.25">
      <c r="A168" s="1438" t="s">
        <v>70</v>
      </c>
      <c r="B168" s="574">
        <v>3999</v>
      </c>
      <c r="C168" s="579"/>
      <c r="D168" s="580"/>
      <c r="E168" s="580"/>
      <c r="F168" s="580"/>
      <c r="G168" s="581"/>
      <c r="H168" s="582"/>
      <c r="I168" s="581"/>
      <c r="J168" s="581"/>
      <c r="K168" s="582"/>
    </row>
    <row r="169" spans="1:11" ht="12.75" customHeight="1" thickTop="1" thickBot="1" x14ac:dyDescent="0.25">
      <c r="A169" s="2158" t="s">
        <v>398</v>
      </c>
      <c r="B169" s="2159"/>
      <c r="C169" s="1659">
        <f t="shared" ref="C169:K169" si="6">SUM(C132,C141,C145,C146:C150,C155,C156:C167,C168)</f>
        <v>987474</v>
      </c>
      <c r="D169" s="1659">
        <f t="shared" si="6"/>
        <v>0</v>
      </c>
      <c r="E169" s="1659">
        <f t="shared" si="6"/>
        <v>0</v>
      </c>
      <c r="F169" s="1659">
        <f t="shared" si="6"/>
        <v>810066</v>
      </c>
      <c r="G169" s="1659">
        <f t="shared" si="6"/>
        <v>29438</v>
      </c>
      <c r="H169" s="1659">
        <f t="shared" si="6"/>
        <v>0</v>
      </c>
      <c r="I169" s="1659">
        <f t="shared" si="6"/>
        <v>0</v>
      </c>
      <c r="J169" s="1659">
        <f t="shared" si="6"/>
        <v>0</v>
      </c>
      <c r="K169" s="1640">
        <f t="shared" si="6"/>
        <v>0</v>
      </c>
    </row>
    <row r="170" spans="1:11" ht="12.75" customHeight="1" thickTop="1" thickBot="1" x14ac:dyDescent="0.25">
      <c r="A170" s="1645" t="s">
        <v>399</v>
      </c>
      <c r="B170" s="1651" t="s">
        <v>575</v>
      </c>
      <c r="C170" s="1652">
        <f t="shared" ref="C170:K170" si="7">SUM(C122,C169)</f>
        <v>5246486</v>
      </c>
      <c r="D170" s="1652">
        <f t="shared" si="7"/>
        <v>0</v>
      </c>
      <c r="E170" s="1652">
        <f t="shared" si="7"/>
        <v>0</v>
      </c>
      <c r="F170" s="1652">
        <f t="shared" si="7"/>
        <v>810066</v>
      </c>
      <c r="G170" s="1652">
        <f t="shared" si="7"/>
        <v>29438</v>
      </c>
      <c r="H170" s="1652">
        <f t="shared" si="7"/>
        <v>0</v>
      </c>
      <c r="I170" s="1652">
        <f t="shared" si="7"/>
        <v>0</v>
      </c>
      <c r="J170" s="1652">
        <f t="shared" si="7"/>
        <v>0</v>
      </c>
      <c r="K170" s="1639">
        <f t="shared" si="7"/>
        <v>0</v>
      </c>
    </row>
    <row r="171" spans="1:11" ht="16.7" customHeight="1" thickTop="1" x14ac:dyDescent="0.2">
      <c r="A171" s="1527" t="s">
        <v>804</v>
      </c>
      <c r="B171" s="1505"/>
      <c r="C171" s="1508"/>
      <c r="D171" s="1509"/>
      <c r="E171" s="1509"/>
      <c r="F171" s="1509"/>
      <c r="G171" s="1509"/>
      <c r="H171" s="1509"/>
      <c r="I171" s="1509"/>
      <c r="J171" s="1509"/>
      <c r="K171" s="1510"/>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2" t="s">
        <v>1802</v>
      </c>
      <c r="B182" s="2163"/>
      <c r="C182" s="584"/>
      <c r="D182" s="566"/>
      <c r="E182" s="509"/>
      <c r="F182" s="566"/>
      <c r="G182" s="566"/>
      <c r="H182" s="468"/>
      <c r="I182" s="468"/>
      <c r="J182" s="468"/>
      <c r="K182" s="468"/>
    </row>
    <row r="183" spans="1:11" ht="15.75" customHeight="1" x14ac:dyDescent="0.2">
      <c r="A183" s="1541" t="s">
        <v>1602</v>
      </c>
      <c r="B183" s="154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455</v>
      </c>
      <c r="B189" s="154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393892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78098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548</v>
      </c>
      <c r="B198" s="1646"/>
      <c r="C198" s="1625">
        <f>SUM(C190:C197)</f>
        <v>471990</v>
      </c>
      <c r="D198" s="468"/>
      <c r="E198" s="468"/>
      <c r="F198" s="468"/>
      <c r="G198" s="1625">
        <f>SUM(G190:G197)</f>
        <v>0</v>
      </c>
      <c r="H198" s="468"/>
      <c r="I198" s="468"/>
      <c r="J198" s="468"/>
      <c r="K198" s="468"/>
    </row>
    <row r="199" spans="1:11" ht="15.75" customHeight="1" thickTop="1" x14ac:dyDescent="0.2">
      <c r="A199" s="1538" t="s">
        <v>1138</v>
      </c>
      <c r="B199" s="1543"/>
      <c r="C199" s="553"/>
      <c r="D199" s="468"/>
      <c r="E199" s="468"/>
      <c r="F199" s="468"/>
      <c r="G199" s="468"/>
      <c r="H199" s="468"/>
      <c r="I199" s="468"/>
      <c r="J199" s="468"/>
      <c r="K199" s="468"/>
    </row>
    <row r="200" spans="1:11" ht="12.75" customHeight="1" x14ac:dyDescent="0.2">
      <c r="A200" s="463" t="s">
        <v>918</v>
      </c>
      <c r="B200" s="470">
        <v>4300</v>
      </c>
      <c r="C200" s="466">
        <v>325534</v>
      </c>
      <c r="D200" s="466"/>
      <c r="E200" s="468"/>
      <c r="F200" s="466"/>
      <c r="G200" s="466">
        <v>63924</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32222</v>
      </c>
      <c r="D203" s="466"/>
      <c r="E203" s="468"/>
      <c r="F203" s="466"/>
      <c r="G203" s="466"/>
      <c r="H203" s="468"/>
      <c r="I203" s="468"/>
      <c r="J203" s="468"/>
      <c r="K203" s="468"/>
    </row>
    <row r="204" spans="1:11" ht="12.75" customHeight="1" thickBot="1" x14ac:dyDescent="0.25">
      <c r="A204" s="1645" t="s">
        <v>400</v>
      </c>
      <c r="B204" s="1646"/>
      <c r="C204" s="1644">
        <f>SUM(C200:C203)</f>
        <v>357756</v>
      </c>
      <c r="D204" s="1644">
        <f>SUM(D200:D203)</f>
        <v>0</v>
      </c>
      <c r="E204" s="468"/>
      <c r="F204" s="1644">
        <f>SUM(F200:F203)</f>
        <v>0</v>
      </c>
      <c r="G204" s="1644">
        <f>SUM(G200:G203)</f>
        <v>63924</v>
      </c>
      <c r="H204" s="468"/>
      <c r="I204" s="468"/>
      <c r="J204" s="468"/>
      <c r="K204" s="468"/>
    </row>
    <row r="205" spans="1:11" ht="15.75" customHeight="1" thickTop="1" x14ac:dyDescent="0.2">
      <c r="A205" s="1538" t="s">
        <v>1139</v>
      </c>
      <c r="B205" s="1543"/>
      <c r="C205" s="553"/>
      <c r="D205" s="553"/>
      <c r="E205" s="468"/>
      <c r="F205" s="553"/>
      <c r="G205" s="553"/>
      <c r="H205" s="468"/>
      <c r="I205" s="468"/>
      <c r="J205" s="468"/>
      <c r="K205" s="468"/>
    </row>
    <row r="206" spans="1:11" ht="12.75" customHeight="1" x14ac:dyDescent="0.2">
      <c r="A206" s="463" t="s">
        <v>759</v>
      </c>
      <c r="B206" s="470">
        <v>4400</v>
      </c>
      <c r="C206" s="551">
        <v>33175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889</v>
      </c>
      <c r="B209" s="1646"/>
      <c r="C209" s="1644">
        <f>SUM(C206:C208)</f>
        <v>33175</v>
      </c>
      <c r="D209" s="1644">
        <f>SUM(D206:D208)</f>
        <v>0</v>
      </c>
      <c r="E209" s="468" t="s">
        <v>1169</v>
      </c>
      <c r="F209" s="1644">
        <f>SUM(F206:F208)</f>
        <v>0</v>
      </c>
      <c r="G209" s="1644">
        <f>SUM(G206:G208)</f>
        <v>0</v>
      </c>
      <c r="H209" s="468"/>
      <c r="I209" s="468"/>
      <c r="J209" s="468"/>
      <c r="K209" s="468"/>
    </row>
    <row r="210" spans="1:11" ht="15.75" customHeight="1" thickTop="1" x14ac:dyDescent="0.2">
      <c r="A210" s="1538" t="s">
        <v>1092</v>
      </c>
      <c r="B210" s="1543"/>
      <c r="C210" s="553"/>
      <c r="D210" s="553"/>
      <c r="E210" s="468"/>
      <c r="F210" s="553"/>
      <c r="G210" s="553"/>
      <c r="H210" s="468"/>
      <c r="I210" s="468"/>
      <c r="J210" s="468"/>
      <c r="K210" s="468"/>
    </row>
    <row r="211" spans="1:11" ht="12.75" customHeight="1" x14ac:dyDescent="0.2">
      <c r="A211" s="463" t="s">
        <v>1052</v>
      </c>
      <c r="B211" s="470">
        <v>4600</v>
      </c>
      <c r="C211" s="551">
        <v>23491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652551</v>
      </c>
      <c r="D213" s="466"/>
      <c r="E213" s="468"/>
      <c r="F213" s="466"/>
      <c r="G213" s="466"/>
      <c r="H213" s="468"/>
      <c r="I213" s="468"/>
      <c r="J213" s="468"/>
      <c r="K213" s="468"/>
    </row>
    <row r="214" spans="1:11" ht="12.75" customHeight="1" x14ac:dyDescent="0.2">
      <c r="A214" s="463" t="s">
        <v>1054</v>
      </c>
      <c r="B214" s="470">
        <v>4625</v>
      </c>
      <c r="C214" s="551">
        <v>30611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447</v>
      </c>
      <c r="B217" s="1646"/>
      <c r="C217" s="1644">
        <f>SUM(C211:C216)</f>
        <v>706653</v>
      </c>
      <c r="D217" s="1644">
        <f>SUM(D211:D216)</f>
        <v>0</v>
      </c>
      <c r="E217" s="468"/>
      <c r="F217" s="1644">
        <f>SUM(F211:F216)</f>
        <v>0</v>
      </c>
      <c r="G217" s="1644">
        <f>SUM(G211:G216)</f>
        <v>0</v>
      </c>
      <c r="H217" s="468"/>
      <c r="I217" s="468"/>
      <c r="J217" s="468"/>
      <c r="K217" s="468"/>
    </row>
    <row r="218" spans="1:11" ht="15.75" customHeight="1" thickTop="1" x14ac:dyDescent="0.2">
      <c r="A218" s="1538" t="s">
        <v>1093</v>
      </c>
      <c r="B218" s="154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1085</v>
      </c>
      <c r="B221" s="1661"/>
      <c r="C221" s="1644">
        <f>SUM(C219:C220)</f>
        <v>0</v>
      </c>
      <c r="D221" s="1644">
        <f>SUM(D219:D220)</f>
        <v>0</v>
      </c>
      <c r="E221" s="468"/>
      <c r="F221" s="468"/>
      <c r="G221" s="164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2" t="s">
        <v>774</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1421</v>
      </c>
      <c r="B253" s="588">
        <v>4901</v>
      </c>
      <c r="C253" s="589"/>
      <c r="D253" s="469"/>
      <c r="E253" s="468"/>
      <c r="F253" s="468"/>
      <c r="G253" s="468"/>
      <c r="H253" s="468"/>
      <c r="I253" s="468"/>
      <c r="J253" s="468"/>
      <c r="K253" s="468"/>
    </row>
    <row r="254" spans="1:11" ht="12.75" customHeight="1" thickTop="1" thickBot="1" x14ac:dyDescent="0.25">
      <c r="A254" s="144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5978</v>
      </c>
      <c r="D255" s="468"/>
      <c r="E255" s="468"/>
      <c r="F255" s="578"/>
      <c r="G255" s="573"/>
      <c r="H255" s="468"/>
      <c r="I255" s="468"/>
      <c r="J255" s="468"/>
      <c r="K255" s="468"/>
    </row>
    <row r="256" spans="1:11" ht="12.75" customHeight="1" thickTop="1" thickBot="1" x14ac:dyDescent="0.25">
      <c r="A256" s="463" t="s">
        <v>1457</v>
      </c>
      <c r="B256" s="470">
        <v>4909</v>
      </c>
      <c r="C256" s="576">
        <v>55209</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81309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8" t="s">
        <v>1936</v>
      </c>
      <c r="B261" s="470">
        <v>4981</v>
      </c>
      <c r="C261" s="575"/>
      <c r="D261" s="576"/>
      <c r="E261" s="468"/>
      <c r="F261" s="576"/>
      <c r="G261" s="576"/>
      <c r="H261" s="468"/>
      <c r="I261" s="468"/>
      <c r="J261" s="468"/>
      <c r="K261" s="468"/>
    </row>
    <row r="262" spans="1:11" ht="12.75" customHeight="1" thickTop="1" thickBot="1" x14ac:dyDescent="0.25">
      <c r="A262" s="1869"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58080</v>
      </c>
      <c r="D263" s="576"/>
      <c r="E263" s="468"/>
      <c r="F263" s="576"/>
      <c r="G263" s="576"/>
      <c r="H263" s="468"/>
      <c r="I263" s="468"/>
      <c r="J263" s="468"/>
      <c r="K263" s="468"/>
    </row>
    <row r="264" spans="1:11" ht="12.75" customHeight="1" thickTop="1" thickBot="1" x14ac:dyDescent="0.25">
      <c r="A264" s="463" t="s">
        <v>377</v>
      </c>
      <c r="B264" s="470">
        <v>4992</v>
      </c>
      <c r="C264" s="575">
        <v>363723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1666</v>
      </c>
      <c r="B266" s="1664"/>
      <c r="C266" s="1652">
        <f t="shared" ref="C266:H266" si="10">SUM(C188,C198,C204,C209,C217,C221,C222,C252:C265)</f>
        <v>2133873</v>
      </c>
      <c r="D266" s="1652">
        <f t="shared" si="10"/>
        <v>0</v>
      </c>
      <c r="E266" s="1652">
        <f t="shared" si="10"/>
        <v>0</v>
      </c>
      <c r="F266" s="1652">
        <f t="shared" si="10"/>
        <v>0</v>
      </c>
      <c r="G266" s="1652">
        <f t="shared" si="10"/>
        <v>63924</v>
      </c>
      <c r="H266" s="1652">
        <f t="shared" si="10"/>
        <v>0</v>
      </c>
      <c r="I266" s="468"/>
      <c r="J266" s="1652">
        <f>SUM(J188,J198,J204,J209,J217,J221,J222,J252:J265)</f>
        <v>0</v>
      </c>
      <c r="K266" s="1639">
        <f>SUM(K188,K198,K204,K209,K217,K221,K222,K252:K265)</f>
        <v>0</v>
      </c>
    </row>
    <row r="267" spans="1:11" ht="14.25" thickTop="1" thickBot="1" x14ac:dyDescent="0.25">
      <c r="A267" s="1665" t="s">
        <v>1086</v>
      </c>
      <c r="B267" s="1666" t="s">
        <v>860</v>
      </c>
      <c r="C267" s="1652">
        <f>SUM(C175,C181,C266)</f>
        <v>2133873</v>
      </c>
      <c r="D267" s="1652">
        <f>SUM(D175,D181,D266)</f>
        <v>0</v>
      </c>
      <c r="E267" s="1652">
        <f>SUM(E175,E266)</f>
        <v>0</v>
      </c>
      <c r="F267" s="1652">
        <f t="shared" ref="F267:K267" si="11">SUM(F175,F181,F266)</f>
        <v>0</v>
      </c>
      <c r="G267" s="1652">
        <f t="shared" si="11"/>
        <v>63924</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39036985</v>
      </c>
      <c r="D268" s="1652">
        <f t="shared" si="12"/>
        <v>3163754</v>
      </c>
      <c r="E268" s="1652">
        <f t="shared" si="12"/>
        <v>314</v>
      </c>
      <c r="F268" s="1652">
        <f t="shared" si="12"/>
        <v>2100161</v>
      </c>
      <c r="G268" s="1652">
        <f t="shared" si="12"/>
        <v>975117</v>
      </c>
      <c r="H268" s="1652">
        <f t="shared" si="12"/>
        <v>179286</v>
      </c>
      <c r="I268" s="1652">
        <f t="shared" si="12"/>
        <v>130527</v>
      </c>
      <c r="J268" s="1652">
        <f t="shared" si="12"/>
        <v>199999</v>
      </c>
      <c r="K268" s="163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5" zoomScaleNormal="85" workbookViewId="0">
      <pane ySplit="2" topLeftCell="A3" activePane="bottomLeft" state="frozen"/>
      <selection activeCell="I42" sqref="I42:O42"/>
      <selection pane="bottomLeft" activeCell="I42" sqref="I42:O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486"/>
      <c r="D3" s="1486"/>
      <c r="E3" s="1486"/>
      <c r="F3" s="1486"/>
      <c r="G3" s="1486"/>
      <c r="H3" s="1486"/>
      <c r="I3" s="1486"/>
      <c r="J3" s="1486"/>
      <c r="K3" s="1487"/>
      <c r="L3" s="1488"/>
      <c r="M3" s="609"/>
      <c r="N3" s="609"/>
    </row>
    <row r="4" spans="1:14" s="259" customFormat="1" ht="15.75" customHeight="1" x14ac:dyDescent="0.2">
      <c r="A4" s="1544" t="s">
        <v>44</v>
      </c>
      <c r="B4" s="1545" t="s">
        <v>570</v>
      </c>
      <c r="C4" s="610"/>
      <c r="D4" s="610"/>
      <c r="E4" s="610"/>
      <c r="F4" s="610"/>
      <c r="G4" s="610"/>
      <c r="H4" s="610"/>
      <c r="I4" s="611"/>
      <c r="J4" s="610"/>
      <c r="K4" s="612"/>
      <c r="L4" s="610"/>
      <c r="M4" s="613"/>
      <c r="N4" s="613"/>
    </row>
    <row r="5" spans="1:14" x14ac:dyDescent="0.2">
      <c r="A5" s="1442" t="s">
        <v>961</v>
      </c>
      <c r="B5" s="614">
        <v>1100</v>
      </c>
      <c r="C5" s="466">
        <v>12389096</v>
      </c>
      <c r="D5" s="466">
        <v>1953678</v>
      </c>
      <c r="E5" s="466">
        <v>308478</v>
      </c>
      <c r="F5" s="466">
        <v>937661</v>
      </c>
      <c r="G5" s="466">
        <v>22290</v>
      </c>
      <c r="H5" s="466">
        <v>538</v>
      </c>
      <c r="I5" s="467">
        <v>123862</v>
      </c>
      <c r="J5" s="467"/>
      <c r="K5" s="1608">
        <f>SUM(C5:J5)</f>
        <v>15735603</v>
      </c>
      <c r="L5" s="466">
        <v>16503744</v>
      </c>
    </row>
    <row r="6" spans="1:14" x14ac:dyDescent="0.2">
      <c r="A6" s="1442" t="s">
        <v>1433</v>
      </c>
      <c r="B6" s="614" t="s">
        <v>1431</v>
      </c>
      <c r="C6" s="477"/>
      <c r="D6" s="477"/>
      <c r="E6" s="466"/>
      <c r="F6" s="477"/>
      <c r="G6" s="477"/>
      <c r="H6" s="477"/>
      <c r="I6" s="477"/>
      <c r="J6" s="477"/>
      <c r="K6" s="1608">
        <f>SUM(C6,E6)</f>
        <v>0</v>
      </c>
      <c r="L6" s="466"/>
    </row>
    <row r="7" spans="1:14" x14ac:dyDescent="0.2">
      <c r="A7" s="1442" t="s">
        <v>163</v>
      </c>
      <c r="B7" s="614" t="s">
        <v>967</v>
      </c>
      <c r="C7" s="467">
        <v>423654</v>
      </c>
      <c r="D7" s="467">
        <v>58696</v>
      </c>
      <c r="E7" s="467"/>
      <c r="F7" s="467">
        <v>38250</v>
      </c>
      <c r="G7" s="467"/>
      <c r="H7" s="467"/>
      <c r="I7" s="467"/>
      <c r="J7" s="467"/>
      <c r="K7" s="1608">
        <f t="shared" ref="K7:K32" si="0">SUM(C7:J7)</f>
        <v>520600</v>
      </c>
      <c r="L7" s="466">
        <v>491575</v>
      </c>
    </row>
    <row r="8" spans="1:14" x14ac:dyDescent="0.2">
      <c r="A8" s="1442" t="s">
        <v>164</v>
      </c>
      <c r="B8" s="614">
        <v>1200</v>
      </c>
      <c r="C8" s="466">
        <v>3121627</v>
      </c>
      <c r="D8" s="466">
        <v>413048</v>
      </c>
      <c r="E8" s="466">
        <v>20576</v>
      </c>
      <c r="F8" s="466">
        <v>32668</v>
      </c>
      <c r="G8" s="466"/>
      <c r="H8" s="466"/>
      <c r="I8" s="467">
        <v>659</v>
      </c>
      <c r="J8" s="467"/>
      <c r="K8" s="1608">
        <f t="shared" si="0"/>
        <v>3588578</v>
      </c>
      <c r="L8" s="466">
        <v>3830937</v>
      </c>
    </row>
    <row r="9" spans="1:14" x14ac:dyDescent="0.2">
      <c r="A9" s="1442" t="s">
        <v>721</v>
      </c>
      <c r="B9" s="614" t="s">
        <v>968</v>
      </c>
      <c r="C9" s="467">
        <v>223200</v>
      </c>
      <c r="D9" s="467">
        <v>14622</v>
      </c>
      <c r="E9" s="467">
        <v>184</v>
      </c>
      <c r="F9" s="467">
        <v>3935</v>
      </c>
      <c r="G9" s="467"/>
      <c r="H9" s="467"/>
      <c r="I9" s="467"/>
      <c r="J9" s="467"/>
      <c r="K9" s="1608">
        <f t="shared" si="0"/>
        <v>241941</v>
      </c>
      <c r="L9" s="466">
        <v>295750</v>
      </c>
    </row>
    <row r="10" spans="1:14" x14ac:dyDescent="0.2">
      <c r="A10" s="1442" t="s">
        <v>722</v>
      </c>
      <c r="B10" s="614">
        <v>1250</v>
      </c>
      <c r="C10" s="466">
        <v>266246</v>
      </c>
      <c r="D10" s="466">
        <v>353</v>
      </c>
      <c r="E10" s="466"/>
      <c r="F10" s="466">
        <v>91196</v>
      </c>
      <c r="G10" s="466"/>
      <c r="H10" s="466"/>
      <c r="I10" s="467"/>
      <c r="J10" s="467"/>
      <c r="K10" s="1608">
        <f t="shared" si="0"/>
        <v>357795</v>
      </c>
      <c r="L10" s="466">
        <v>275251</v>
      </c>
    </row>
    <row r="11" spans="1:14" x14ac:dyDescent="0.2">
      <c r="A11" s="1442" t="s">
        <v>1130</v>
      </c>
      <c r="B11" s="614" t="s">
        <v>161</v>
      </c>
      <c r="C11" s="467"/>
      <c r="D11" s="467"/>
      <c r="E11" s="467"/>
      <c r="F11" s="467"/>
      <c r="G11" s="467"/>
      <c r="H11" s="467"/>
      <c r="I11" s="467"/>
      <c r="J11" s="467"/>
      <c r="K11" s="1608">
        <f t="shared" si="0"/>
        <v>0</v>
      </c>
      <c r="L11" s="466"/>
    </row>
    <row r="12" spans="1:14" x14ac:dyDescent="0.2">
      <c r="A12" s="1442" t="s">
        <v>962</v>
      </c>
      <c r="B12" s="614">
        <v>1300</v>
      </c>
      <c r="C12" s="466"/>
      <c r="D12" s="466"/>
      <c r="E12" s="466"/>
      <c r="F12" s="466"/>
      <c r="G12" s="466"/>
      <c r="H12" s="466"/>
      <c r="I12" s="467"/>
      <c r="J12" s="467"/>
      <c r="K12" s="1608">
        <f t="shared" si="0"/>
        <v>0</v>
      </c>
      <c r="L12" s="466"/>
    </row>
    <row r="13" spans="1:14" x14ac:dyDescent="0.2">
      <c r="A13" s="1442" t="s">
        <v>723</v>
      </c>
      <c r="B13" s="614">
        <v>1400</v>
      </c>
      <c r="C13" s="466"/>
      <c r="D13" s="466"/>
      <c r="E13" s="466"/>
      <c r="F13" s="466"/>
      <c r="G13" s="466"/>
      <c r="H13" s="466"/>
      <c r="I13" s="467"/>
      <c r="J13" s="467"/>
      <c r="K13" s="1608">
        <f t="shared" si="0"/>
        <v>0</v>
      </c>
      <c r="L13" s="466"/>
    </row>
    <row r="14" spans="1:14" x14ac:dyDescent="0.2">
      <c r="A14" s="1442" t="s">
        <v>963</v>
      </c>
      <c r="B14" s="614">
        <v>1500</v>
      </c>
      <c r="C14" s="466">
        <v>133567</v>
      </c>
      <c r="D14" s="466">
        <v>1788</v>
      </c>
      <c r="E14" s="466">
        <v>7335</v>
      </c>
      <c r="F14" s="466">
        <v>8270</v>
      </c>
      <c r="G14" s="466"/>
      <c r="H14" s="466">
        <v>13347</v>
      </c>
      <c r="I14" s="467"/>
      <c r="J14" s="467"/>
      <c r="K14" s="1608">
        <f t="shared" si="0"/>
        <v>164307</v>
      </c>
      <c r="L14" s="466">
        <v>329857</v>
      </c>
    </row>
    <row r="15" spans="1:14" x14ac:dyDescent="0.2">
      <c r="A15" s="1442" t="s">
        <v>964</v>
      </c>
      <c r="B15" s="614">
        <v>1600</v>
      </c>
      <c r="C15" s="466"/>
      <c r="D15" s="466"/>
      <c r="E15" s="466"/>
      <c r="F15" s="466"/>
      <c r="G15" s="466"/>
      <c r="H15" s="466"/>
      <c r="I15" s="467"/>
      <c r="J15" s="467"/>
      <c r="K15" s="1608">
        <f t="shared" si="0"/>
        <v>0</v>
      </c>
      <c r="L15" s="466"/>
    </row>
    <row r="16" spans="1:14" x14ac:dyDescent="0.2">
      <c r="A16" s="1442" t="s">
        <v>987</v>
      </c>
      <c r="B16" s="614" t="s">
        <v>424</v>
      </c>
      <c r="C16" s="466">
        <v>719252</v>
      </c>
      <c r="D16" s="466">
        <v>94802</v>
      </c>
      <c r="E16" s="466">
        <v>815</v>
      </c>
      <c r="F16" s="466">
        <v>726</v>
      </c>
      <c r="G16" s="466"/>
      <c r="H16" s="466"/>
      <c r="I16" s="467"/>
      <c r="J16" s="467"/>
      <c r="K16" s="1608">
        <f t="shared" si="0"/>
        <v>815595</v>
      </c>
      <c r="L16" s="466">
        <v>835600</v>
      </c>
    </row>
    <row r="17" spans="1:12" x14ac:dyDescent="0.2">
      <c r="A17" s="1442" t="s">
        <v>724</v>
      </c>
      <c r="B17" s="614" t="s">
        <v>162</v>
      </c>
      <c r="C17" s="467"/>
      <c r="D17" s="467"/>
      <c r="E17" s="467"/>
      <c r="F17" s="467"/>
      <c r="G17" s="467"/>
      <c r="H17" s="467"/>
      <c r="I17" s="467"/>
      <c r="J17" s="467"/>
      <c r="K17" s="1608">
        <f t="shared" si="0"/>
        <v>0</v>
      </c>
      <c r="L17" s="466"/>
    </row>
    <row r="18" spans="1:12" x14ac:dyDescent="0.2">
      <c r="A18" s="1442" t="s">
        <v>1087</v>
      </c>
      <c r="B18" s="614">
        <v>1800</v>
      </c>
      <c r="C18" s="466">
        <v>1408783</v>
      </c>
      <c r="D18" s="466">
        <v>250346</v>
      </c>
      <c r="E18" s="466">
        <v>10891</v>
      </c>
      <c r="F18" s="466">
        <v>11775</v>
      </c>
      <c r="G18" s="466"/>
      <c r="H18" s="466"/>
      <c r="I18" s="467"/>
      <c r="J18" s="467"/>
      <c r="K18" s="1608">
        <f t="shared" si="0"/>
        <v>1681795</v>
      </c>
      <c r="L18" s="466">
        <v>1740496</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738</v>
      </c>
      <c r="B20" s="602" t="s">
        <v>725</v>
      </c>
      <c r="C20" s="477"/>
      <c r="D20" s="477"/>
      <c r="E20" s="477"/>
      <c r="F20" s="477"/>
      <c r="G20" s="477"/>
      <c r="H20" s="474"/>
      <c r="I20" s="616"/>
      <c r="J20" s="475"/>
      <c r="K20" s="1608">
        <f t="shared" si="0"/>
        <v>0</v>
      </c>
      <c r="L20" s="471"/>
    </row>
    <row r="21" spans="1:12" x14ac:dyDescent="0.2">
      <c r="A21" s="1443" t="s">
        <v>739</v>
      </c>
      <c r="B21" s="602" t="s">
        <v>726</v>
      </c>
      <c r="C21" s="477"/>
      <c r="D21" s="477"/>
      <c r="E21" s="477"/>
      <c r="F21" s="477"/>
      <c r="G21" s="477"/>
      <c r="H21" s="474">
        <v>20075</v>
      </c>
      <c r="I21" s="616"/>
      <c r="J21" s="477"/>
      <c r="K21" s="1608">
        <f t="shared" si="0"/>
        <v>20075</v>
      </c>
      <c r="L21" s="471"/>
    </row>
    <row r="22" spans="1:12" x14ac:dyDescent="0.2">
      <c r="A22" s="1443" t="s">
        <v>740</v>
      </c>
      <c r="B22" s="602" t="s">
        <v>727</v>
      </c>
      <c r="C22" s="477"/>
      <c r="D22" s="477"/>
      <c r="E22" s="477"/>
      <c r="F22" s="477"/>
      <c r="G22" s="477"/>
      <c r="H22" s="474">
        <v>1037356</v>
      </c>
      <c r="I22" s="616"/>
      <c r="J22" s="477"/>
      <c r="K22" s="1608">
        <f t="shared" si="0"/>
        <v>1037356</v>
      </c>
      <c r="L22" s="471">
        <v>800000</v>
      </c>
    </row>
    <row r="23" spans="1:12" x14ac:dyDescent="0.2">
      <c r="A23" s="1443" t="s">
        <v>741</v>
      </c>
      <c r="B23" s="602" t="s">
        <v>728</v>
      </c>
      <c r="C23" s="477"/>
      <c r="D23" s="477"/>
      <c r="E23" s="477"/>
      <c r="F23" s="477"/>
      <c r="G23" s="477"/>
      <c r="H23" s="474"/>
      <c r="I23" s="616"/>
      <c r="J23" s="477"/>
      <c r="K23" s="1608">
        <f t="shared" si="0"/>
        <v>0</v>
      </c>
      <c r="L23" s="471"/>
    </row>
    <row r="24" spans="1:12" ht="12.75" customHeight="1" x14ac:dyDescent="0.2">
      <c r="A24" s="1443" t="s">
        <v>742</v>
      </c>
      <c r="B24" s="602" t="s">
        <v>729</v>
      </c>
      <c r="C24" s="477"/>
      <c r="D24" s="477"/>
      <c r="E24" s="477"/>
      <c r="F24" s="477"/>
      <c r="G24" s="477"/>
      <c r="H24" s="474"/>
      <c r="I24" s="616"/>
      <c r="J24" s="477"/>
      <c r="K24" s="1608">
        <f t="shared" si="0"/>
        <v>0</v>
      </c>
      <c r="L24" s="471"/>
    </row>
    <row r="25" spans="1:12" ht="12.75" customHeight="1" x14ac:dyDescent="0.2">
      <c r="A25" s="1443" t="s">
        <v>802</v>
      </c>
      <c r="B25" s="602" t="s">
        <v>730</v>
      </c>
      <c r="C25" s="477"/>
      <c r="D25" s="477"/>
      <c r="E25" s="477"/>
      <c r="F25" s="477"/>
      <c r="G25" s="477"/>
      <c r="H25" s="474"/>
      <c r="I25" s="616"/>
      <c r="J25" s="477"/>
      <c r="K25" s="1608">
        <f t="shared" si="0"/>
        <v>0</v>
      </c>
      <c r="L25" s="471"/>
    </row>
    <row r="26" spans="1:12" x14ac:dyDescent="0.2">
      <c r="A26" s="1443" t="s">
        <v>622</v>
      </c>
      <c r="B26" s="602" t="s">
        <v>731</v>
      </c>
      <c r="C26" s="477"/>
      <c r="D26" s="477"/>
      <c r="E26" s="477"/>
      <c r="F26" s="477"/>
      <c r="G26" s="477"/>
      <c r="H26" s="474"/>
      <c r="I26" s="616"/>
      <c r="J26" s="477"/>
      <c r="K26" s="1608">
        <f t="shared" si="0"/>
        <v>0</v>
      </c>
      <c r="L26" s="471"/>
    </row>
    <row r="27" spans="1:12" x14ac:dyDescent="0.2">
      <c r="A27" s="1443" t="s">
        <v>623</v>
      </c>
      <c r="B27" s="602" t="s">
        <v>732</v>
      </c>
      <c r="C27" s="477"/>
      <c r="D27" s="477"/>
      <c r="E27" s="477"/>
      <c r="F27" s="477"/>
      <c r="G27" s="477"/>
      <c r="H27" s="474"/>
      <c r="I27" s="616"/>
      <c r="J27" s="477"/>
      <c r="K27" s="1608">
        <f t="shared" si="0"/>
        <v>0</v>
      </c>
      <c r="L27" s="471"/>
    </row>
    <row r="28" spans="1:12" x14ac:dyDescent="0.2">
      <c r="A28" s="1443" t="s">
        <v>150</v>
      </c>
      <c r="B28" s="602" t="s">
        <v>733</v>
      </c>
      <c r="C28" s="477"/>
      <c r="D28" s="477"/>
      <c r="E28" s="477"/>
      <c r="F28" s="477"/>
      <c r="G28" s="477"/>
      <c r="H28" s="474"/>
      <c r="I28" s="616"/>
      <c r="J28" s="477"/>
      <c r="K28" s="1608">
        <f t="shared" si="0"/>
        <v>0</v>
      </c>
      <c r="L28" s="471"/>
    </row>
    <row r="29" spans="1:12" x14ac:dyDescent="0.2">
      <c r="A29" s="1443" t="s">
        <v>151</v>
      </c>
      <c r="B29" s="602" t="s">
        <v>734</v>
      </c>
      <c r="C29" s="477"/>
      <c r="D29" s="477"/>
      <c r="E29" s="477"/>
      <c r="F29" s="477"/>
      <c r="G29" s="477"/>
      <c r="H29" s="474"/>
      <c r="I29" s="616"/>
      <c r="J29" s="477"/>
      <c r="K29" s="1608">
        <f t="shared" si="0"/>
        <v>0</v>
      </c>
      <c r="L29" s="471"/>
    </row>
    <row r="30" spans="1:12" x14ac:dyDescent="0.2">
      <c r="A30" s="1443" t="s">
        <v>152</v>
      </c>
      <c r="B30" s="602" t="s">
        <v>735</v>
      </c>
      <c r="C30" s="477"/>
      <c r="D30" s="477"/>
      <c r="E30" s="477"/>
      <c r="F30" s="477"/>
      <c r="G30" s="477"/>
      <c r="H30" s="474"/>
      <c r="I30" s="616"/>
      <c r="J30" s="477"/>
      <c r="K30" s="1608">
        <f t="shared" si="0"/>
        <v>0</v>
      </c>
      <c r="L30" s="471"/>
    </row>
    <row r="31" spans="1:12" x14ac:dyDescent="0.2">
      <c r="A31" s="1443" t="s">
        <v>153</v>
      </c>
      <c r="B31" s="602" t="s">
        <v>736</v>
      </c>
      <c r="C31" s="477"/>
      <c r="D31" s="477"/>
      <c r="E31" s="477"/>
      <c r="F31" s="477"/>
      <c r="G31" s="477"/>
      <c r="H31" s="474"/>
      <c r="I31" s="616"/>
      <c r="J31" s="477"/>
      <c r="K31" s="1608">
        <f t="shared" si="0"/>
        <v>0</v>
      </c>
      <c r="L31" s="471"/>
    </row>
    <row r="32" spans="1:12" x14ac:dyDescent="0.2">
      <c r="A32" s="1444" t="s">
        <v>1129</v>
      </c>
      <c r="B32" s="614" t="s">
        <v>737</v>
      </c>
      <c r="C32" s="477"/>
      <c r="D32" s="477"/>
      <c r="E32" s="477"/>
      <c r="F32" s="477"/>
      <c r="G32" s="477"/>
      <c r="H32" s="474"/>
      <c r="I32" s="616"/>
      <c r="J32" s="480"/>
      <c r="K32" s="1608">
        <f t="shared" si="0"/>
        <v>0</v>
      </c>
      <c r="L32" s="471"/>
    </row>
    <row r="33" spans="1:14" ht="12.75" customHeight="1" thickBot="1" x14ac:dyDescent="0.25">
      <c r="A33" s="1605" t="s">
        <v>1668</v>
      </c>
      <c r="B33" s="1606" t="s">
        <v>570</v>
      </c>
      <c r="C33" s="1607">
        <f>SUM(C5:C32)</f>
        <v>18685425</v>
      </c>
      <c r="D33" s="1607">
        <f t="shared" ref="D33:L33" si="1">SUM(D5:D32)</f>
        <v>2787333</v>
      </c>
      <c r="E33" s="1607">
        <f t="shared" si="1"/>
        <v>348279</v>
      </c>
      <c r="F33" s="1607">
        <f t="shared" si="1"/>
        <v>1124481</v>
      </c>
      <c r="G33" s="1607">
        <f t="shared" si="1"/>
        <v>22290</v>
      </c>
      <c r="H33" s="1607">
        <f t="shared" si="1"/>
        <v>1071316</v>
      </c>
      <c r="I33" s="1607">
        <f t="shared" si="1"/>
        <v>124521</v>
      </c>
      <c r="J33" s="1607">
        <f t="shared" si="1"/>
        <v>0</v>
      </c>
      <c r="K33" s="1607">
        <f t="shared" si="1"/>
        <v>24163645</v>
      </c>
      <c r="L33" s="1607">
        <f t="shared" si="1"/>
        <v>25103210</v>
      </c>
    </row>
    <row r="34" spans="1:14" s="620" customFormat="1" ht="15.75" customHeight="1" thickTop="1" x14ac:dyDescent="0.2">
      <c r="A34" s="1546" t="s">
        <v>46</v>
      </c>
      <c r="B34" s="154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2" t="s">
        <v>1089</v>
      </c>
      <c r="B36" s="614">
        <v>2110</v>
      </c>
      <c r="C36" s="481">
        <v>686542</v>
      </c>
      <c r="D36" s="481">
        <v>106685</v>
      </c>
      <c r="E36" s="481">
        <v>33323</v>
      </c>
      <c r="F36" s="481">
        <v>3345</v>
      </c>
      <c r="G36" s="481"/>
      <c r="H36" s="481">
        <v>150</v>
      </c>
      <c r="I36" s="467"/>
      <c r="J36" s="467"/>
      <c r="K36" s="1608">
        <f t="shared" ref="K36:K41" si="2">SUM(C36:J36)</f>
        <v>830045</v>
      </c>
      <c r="L36" s="466">
        <v>841631</v>
      </c>
    </row>
    <row r="37" spans="1:14" x14ac:dyDescent="0.2">
      <c r="A37" s="1442" t="s">
        <v>1090</v>
      </c>
      <c r="B37" s="614">
        <v>2120</v>
      </c>
      <c r="C37" s="466">
        <v>75739</v>
      </c>
      <c r="D37" s="466">
        <v>1136</v>
      </c>
      <c r="E37" s="466"/>
      <c r="F37" s="466">
        <v>135</v>
      </c>
      <c r="G37" s="466"/>
      <c r="H37" s="466"/>
      <c r="I37" s="467"/>
      <c r="J37" s="467"/>
      <c r="K37" s="1608">
        <f t="shared" si="2"/>
        <v>77010</v>
      </c>
      <c r="L37" s="466">
        <v>80512</v>
      </c>
    </row>
    <row r="38" spans="1:14" x14ac:dyDescent="0.2">
      <c r="A38" s="1442" t="s">
        <v>198</v>
      </c>
      <c r="B38" s="614">
        <v>2130</v>
      </c>
      <c r="C38" s="466">
        <v>545114</v>
      </c>
      <c r="D38" s="466">
        <v>63447</v>
      </c>
      <c r="E38" s="466">
        <v>90341</v>
      </c>
      <c r="F38" s="466">
        <v>4773</v>
      </c>
      <c r="G38" s="466"/>
      <c r="H38" s="466"/>
      <c r="I38" s="467"/>
      <c r="J38" s="467"/>
      <c r="K38" s="1608">
        <f t="shared" si="2"/>
        <v>703675</v>
      </c>
      <c r="L38" s="466">
        <v>672186</v>
      </c>
    </row>
    <row r="39" spans="1:14" x14ac:dyDescent="0.2">
      <c r="A39" s="1442" t="s">
        <v>199</v>
      </c>
      <c r="B39" s="614">
        <v>2140</v>
      </c>
      <c r="C39" s="466">
        <v>422945</v>
      </c>
      <c r="D39" s="466">
        <v>51202</v>
      </c>
      <c r="E39" s="466">
        <v>8518</v>
      </c>
      <c r="F39" s="466">
        <v>6413</v>
      </c>
      <c r="G39" s="466"/>
      <c r="H39" s="466">
        <v>210</v>
      </c>
      <c r="I39" s="467"/>
      <c r="J39" s="467"/>
      <c r="K39" s="1608">
        <f t="shared" si="2"/>
        <v>489288</v>
      </c>
      <c r="L39" s="466">
        <v>517635</v>
      </c>
    </row>
    <row r="40" spans="1:14" x14ac:dyDescent="0.2">
      <c r="A40" s="1442" t="s">
        <v>200</v>
      </c>
      <c r="B40" s="614">
        <v>2150</v>
      </c>
      <c r="C40" s="466">
        <v>798922</v>
      </c>
      <c r="D40" s="466">
        <v>118565</v>
      </c>
      <c r="E40" s="466">
        <v>42243</v>
      </c>
      <c r="F40" s="466">
        <v>4382</v>
      </c>
      <c r="G40" s="466"/>
      <c r="H40" s="466">
        <v>2376</v>
      </c>
      <c r="I40" s="467"/>
      <c r="J40" s="467"/>
      <c r="K40" s="1608">
        <f t="shared" si="2"/>
        <v>966488</v>
      </c>
      <c r="L40" s="466">
        <v>987852</v>
      </c>
    </row>
    <row r="41" spans="1:14" x14ac:dyDescent="0.2">
      <c r="A41" s="1442" t="s">
        <v>1669</v>
      </c>
      <c r="B41" s="614">
        <v>2190</v>
      </c>
      <c r="C41" s="466">
        <v>18176</v>
      </c>
      <c r="D41" s="466">
        <v>228</v>
      </c>
      <c r="E41" s="466">
        <v>1063</v>
      </c>
      <c r="F41" s="466"/>
      <c r="G41" s="466"/>
      <c r="H41" s="466"/>
      <c r="I41" s="467"/>
      <c r="J41" s="467"/>
      <c r="K41" s="1608">
        <f t="shared" si="2"/>
        <v>19467</v>
      </c>
      <c r="L41" s="466">
        <v>20826</v>
      </c>
    </row>
    <row r="42" spans="1:14" ht="12.75" customHeight="1" thickBot="1" x14ac:dyDescent="0.25">
      <c r="A42" s="1605" t="s">
        <v>560</v>
      </c>
      <c r="B42" s="1606" t="s">
        <v>716</v>
      </c>
      <c r="C42" s="1607">
        <f>SUM(C36:C41)</f>
        <v>2547438</v>
      </c>
      <c r="D42" s="1607">
        <f t="shared" ref="D42:L42" si="3">SUM(D36:D41)</f>
        <v>341263</v>
      </c>
      <c r="E42" s="1607">
        <f t="shared" si="3"/>
        <v>175488</v>
      </c>
      <c r="F42" s="1607">
        <f t="shared" si="3"/>
        <v>19048</v>
      </c>
      <c r="G42" s="1607">
        <f t="shared" si="3"/>
        <v>0</v>
      </c>
      <c r="H42" s="1607">
        <f t="shared" si="3"/>
        <v>2736</v>
      </c>
      <c r="I42" s="1607">
        <f t="shared" si="3"/>
        <v>0</v>
      </c>
      <c r="J42" s="1607">
        <f t="shared" si="3"/>
        <v>0</v>
      </c>
      <c r="K42" s="1607">
        <f t="shared" si="3"/>
        <v>3085973</v>
      </c>
      <c r="L42" s="1607">
        <f t="shared" si="3"/>
        <v>3120642</v>
      </c>
    </row>
    <row r="43" spans="1:14" ht="15.75" customHeight="1" thickTop="1" x14ac:dyDescent="0.2">
      <c r="A43" s="624" t="s">
        <v>592</v>
      </c>
      <c r="B43" s="625"/>
      <c r="C43" s="626"/>
      <c r="D43" s="626"/>
      <c r="E43" s="626"/>
      <c r="F43" s="626"/>
      <c r="G43" s="626"/>
      <c r="H43" s="626"/>
      <c r="I43" s="616"/>
      <c r="J43" s="616"/>
      <c r="K43" s="626"/>
      <c r="L43" s="626"/>
    </row>
    <row r="44" spans="1:14" x14ac:dyDescent="0.2">
      <c r="A44" s="1442" t="s">
        <v>814</v>
      </c>
      <c r="B44" s="614">
        <v>2210</v>
      </c>
      <c r="C44" s="481">
        <v>470973</v>
      </c>
      <c r="D44" s="481">
        <v>71628</v>
      </c>
      <c r="E44" s="481">
        <v>384820</v>
      </c>
      <c r="F44" s="481">
        <v>25247</v>
      </c>
      <c r="G44" s="481"/>
      <c r="H44" s="481">
        <v>3572</v>
      </c>
      <c r="I44" s="467">
        <v>2152</v>
      </c>
      <c r="J44" s="467"/>
      <c r="K44" s="1609">
        <f>SUM(C44:J44)</f>
        <v>958392</v>
      </c>
      <c r="L44" s="481">
        <v>1036282</v>
      </c>
    </row>
    <row r="45" spans="1:14" x14ac:dyDescent="0.2">
      <c r="A45" s="1442" t="s">
        <v>815</v>
      </c>
      <c r="B45" s="614">
        <v>2220</v>
      </c>
      <c r="C45" s="466">
        <v>734652</v>
      </c>
      <c r="D45" s="466">
        <v>110305</v>
      </c>
      <c r="E45" s="466">
        <v>23933</v>
      </c>
      <c r="F45" s="466">
        <v>110910</v>
      </c>
      <c r="G45" s="466"/>
      <c r="H45" s="466"/>
      <c r="I45" s="467">
        <v>70170</v>
      </c>
      <c r="J45" s="467"/>
      <c r="K45" s="1609">
        <f>SUM(C45:J45)</f>
        <v>1049970</v>
      </c>
      <c r="L45" s="466">
        <v>1055185</v>
      </c>
    </row>
    <row r="46" spans="1:14" x14ac:dyDescent="0.2">
      <c r="A46" s="1442" t="s">
        <v>816</v>
      </c>
      <c r="B46" s="614">
        <v>2230</v>
      </c>
      <c r="C46" s="466">
        <v>5000</v>
      </c>
      <c r="D46" s="466">
        <v>646</v>
      </c>
      <c r="E46" s="466">
        <v>129512</v>
      </c>
      <c r="F46" s="466">
        <v>200</v>
      </c>
      <c r="G46" s="466"/>
      <c r="H46" s="466"/>
      <c r="I46" s="467"/>
      <c r="J46" s="467"/>
      <c r="K46" s="1609">
        <f>SUM(C46:J46)</f>
        <v>135358</v>
      </c>
      <c r="L46" s="466">
        <v>177275</v>
      </c>
    </row>
    <row r="47" spans="1:14" ht="12.75" customHeight="1" thickBot="1" x14ac:dyDescent="0.25">
      <c r="A47" s="1605" t="s">
        <v>561</v>
      </c>
      <c r="B47" s="1606" t="s">
        <v>32</v>
      </c>
      <c r="C47" s="1607">
        <f>SUM(C44:C46)</f>
        <v>1210625</v>
      </c>
      <c r="D47" s="1607">
        <f t="shared" ref="D47:K47" si="4">SUM(D44:D46)</f>
        <v>182579</v>
      </c>
      <c r="E47" s="1607">
        <f t="shared" si="4"/>
        <v>538265</v>
      </c>
      <c r="F47" s="1607">
        <f t="shared" si="4"/>
        <v>136357</v>
      </c>
      <c r="G47" s="1607">
        <f t="shared" si="4"/>
        <v>0</v>
      </c>
      <c r="H47" s="1607">
        <f t="shared" si="4"/>
        <v>3572</v>
      </c>
      <c r="I47" s="1607">
        <f t="shared" si="4"/>
        <v>72322</v>
      </c>
      <c r="J47" s="1607">
        <f t="shared" si="4"/>
        <v>0</v>
      </c>
      <c r="K47" s="1607">
        <f t="shared" si="4"/>
        <v>2143720</v>
      </c>
      <c r="L47" s="1607">
        <f>SUM(L44:L46)</f>
        <v>2268742</v>
      </c>
    </row>
    <row r="48" spans="1:14" ht="15.75" customHeight="1" thickTop="1" x14ac:dyDescent="0.2">
      <c r="A48" s="624" t="s">
        <v>610</v>
      </c>
      <c r="B48" s="625"/>
      <c r="C48" s="626"/>
      <c r="D48" s="626"/>
      <c r="E48" s="626"/>
      <c r="F48" s="626"/>
      <c r="G48" s="626"/>
      <c r="H48" s="626"/>
      <c r="I48" s="616"/>
      <c r="J48" s="616"/>
      <c r="K48" s="626"/>
      <c r="L48" s="626"/>
    </row>
    <row r="49" spans="1:14" x14ac:dyDescent="0.2">
      <c r="A49" s="1442" t="s">
        <v>817</v>
      </c>
      <c r="B49" s="614">
        <v>2310</v>
      </c>
      <c r="C49" s="481">
        <v>7000</v>
      </c>
      <c r="D49" s="481">
        <v>10861</v>
      </c>
      <c r="E49" s="481">
        <v>158416</v>
      </c>
      <c r="F49" s="481">
        <v>15422</v>
      </c>
      <c r="G49" s="481"/>
      <c r="H49" s="481">
        <v>12871</v>
      </c>
      <c r="I49" s="467"/>
      <c r="J49" s="467"/>
      <c r="K49" s="1609">
        <f>SUM(C49:J49)</f>
        <v>204570</v>
      </c>
      <c r="L49" s="481">
        <v>278775</v>
      </c>
    </row>
    <row r="50" spans="1:14" x14ac:dyDescent="0.2">
      <c r="A50" s="1442" t="s">
        <v>818</v>
      </c>
      <c r="B50" s="614">
        <v>2320</v>
      </c>
      <c r="C50" s="466">
        <v>279013</v>
      </c>
      <c r="D50" s="466">
        <v>57433</v>
      </c>
      <c r="E50" s="466">
        <v>14777</v>
      </c>
      <c r="F50" s="466">
        <v>1912</v>
      </c>
      <c r="G50" s="466"/>
      <c r="H50" s="466">
        <v>3505</v>
      </c>
      <c r="I50" s="467"/>
      <c r="J50" s="467"/>
      <c r="K50" s="1609">
        <f>SUM(C50:J50)</f>
        <v>356640</v>
      </c>
      <c r="L50" s="466">
        <f>365448+2500</f>
        <v>367948</v>
      </c>
    </row>
    <row r="51" spans="1:14" x14ac:dyDescent="0.2">
      <c r="A51" s="1442" t="s">
        <v>42</v>
      </c>
      <c r="B51" s="614">
        <v>2330</v>
      </c>
      <c r="C51" s="466">
        <v>215373</v>
      </c>
      <c r="D51" s="466">
        <v>46166</v>
      </c>
      <c r="E51" s="466">
        <v>22743</v>
      </c>
      <c r="F51" s="466">
        <v>4016</v>
      </c>
      <c r="G51" s="466"/>
      <c r="H51" s="466">
        <v>645</v>
      </c>
      <c r="I51" s="467"/>
      <c r="J51" s="467"/>
      <c r="K51" s="1609">
        <f>SUM(C51:J51)</f>
        <v>288943</v>
      </c>
      <c r="L51" s="466">
        <v>315291</v>
      </c>
    </row>
    <row r="52" spans="1:14" ht="22.5" x14ac:dyDescent="0.2">
      <c r="A52" s="1443" t="s">
        <v>298</v>
      </c>
      <c r="B52" s="627" t="s">
        <v>366</v>
      </c>
      <c r="C52" s="474"/>
      <c r="D52" s="474"/>
      <c r="E52" s="474"/>
      <c r="F52" s="474"/>
      <c r="G52" s="474"/>
      <c r="H52" s="474"/>
      <c r="I52" s="474"/>
      <c r="J52" s="474"/>
      <c r="K52" s="1609">
        <f>SUM(C52:J52)</f>
        <v>0</v>
      </c>
      <c r="L52" s="474"/>
    </row>
    <row r="53" spans="1:14" ht="12.75" customHeight="1" thickBot="1" x14ac:dyDescent="0.25">
      <c r="A53" s="1605" t="s">
        <v>717</v>
      </c>
      <c r="B53" s="1606" t="s">
        <v>33</v>
      </c>
      <c r="C53" s="1607">
        <f>SUM(C49:C52)</f>
        <v>501386</v>
      </c>
      <c r="D53" s="1607">
        <f t="shared" ref="D53:L53" si="5">SUM(D49:D52)</f>
        <v>114460</v>
      </c>
      <c r="E53" s="1607">
        <f t="shared" si="5"/>
        <v>195936</v>
      </c>
      <c r="F53" s="1607">
        <f t="shared" si="5"/>
        <v>21350</v>
      </c>
      <c r="G53" s="1607">
        <f t="shared" si="5"/>
        <v>0</v>
      </c>
      <c r="H53" s="1607">
        <f t="shared" si="5"/>
        <v>17021</v>
      </c>
      <c r="I53" s="1607">
        <f t="shared" si="5"/>
        <v>0</v>
      </c>
      <c r="J53" s="1607">
        <f t="shared" si="5"/>
        <v>0</v>
      </c>
      <c r="K53" s="1607">
        <f t="shared" si="5"/>
        <v>850153</v>
      </c>
      <c r="L53" s="1607">
        <f t="shared" si="5"/>
        <v>962014</v>
      </c>
    </row>
    <row r="54" spans="1:14" ht="15.75" customHeight="1" thickTop="1" x14ac:dyDescent="0.2">
      <c r="A54" s="624" t="s">
        <v>611</v>
      </c>
      <c r="B54" s="625"/>
      <c r="C54" s="626"/>
      <c r="D54" s="626"/>
      <c r="E54" s="626"/>
      <c r="F54" s="626"/>
      <c r="G54" s="626"/>
      <c r="H54" s="626"/>
      <c r="I54" s="616"/>
      <c r="J54" s="616"/>
      <c r="K54" s="626"/>
      <c r="L54" s="626"/>
    </row>
    <row r="55" spans="1:14" x14ac:dyDescent="0.2">
      <c r="A55" s="1442" t="s">
        <v>1067</v>
      </c>
      <c r="B55" s="614">
        <v>2410</v>
      </c>
      <c r="C55" s="481">
        <v>1463701</v>
      </c>
      <c r="D55" s="481">
        <v>352094</v>
      </c>
      <c r="E55" s="481">
        <v>24525</v>
      </c>
      <c r="F55" s="481">
        <v>11517</v>
      </c>
      <c r="G55" s="481"/>
      <c r="H55" s="481">
        <v>3803</v>
      </c>
      <c r="I55" s="467">
        <v>5290</v>
      </c>
      <c r="J55" s="467"/>
      <c r="K55" s="1609">
        <f>SUM(C55:J55)</f>
        <v>1860930</v>
      </c>
      <c r="L55" s="481">
        <v>1869877</v>
      </c>
    </row>
    <row r="56" spans="1:14" ht="12.75" customHeight="1" x14ac:dyDescent="0.2">
      <c r="A56" s="1446" t="s">
        <v>376</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1463701</v>
      </c>
      <c r="D57" s="1611">
        <f t="shared" ref="D57:K57" si="6">SUM(D55:D56)</f>
        <v>352094</v>
      </c>
      <c r="E57" s="1611">
        <f t="shared" si="6"/>
        <v>24525</v>
      </c>
      <c r="F57" s="1611">
        <f t="shared" si="6"/>
        <v>11517</v>
      </c>
      <c r="G57" s="1611">
        <f t="shared" si="6"/>
        <v>0</v>
      </c>
      <c r="H57" s="1611">
        <f t="shared" si="6"/>
        <v>3803</v>
      </c>
      <c r="I57" s="1611">
        <f t="shared" si="6"/>
        <v>5290</v>
      </c>
      <c r="J57" s="1611">
        <f t="shared" si="6"/>
        <v>0</v>
      </c>
      <c r="K57" s="1611">
        <f t="shared" si="6"/>
        <v>1860930</v>
      </c>
      <c r="L57" s="1607">
        <f>SUM(L55:L56)</f>
        <v>1869877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2" t="s">
        <v>1068</v>
      </c>
      <c r="B59" s="614">
        <v>2510</v>
      </c>
      <c r="C59" s="481">
        <v>130269</v>
      </c>
      <c r="D59" s="481">
        <v>30092</v>
      </c>
      <c r="E59" s="481">
        <v>3836</v>
      </c>
      <c r="F59" s="481">
        <v>2351</v>
      </c>
      <c r="G59" s="481"/>
      <c r="H59" s="481">
        <v>645</v>
      </c>
      <c r="I59" s="467"/>
      <c r="J59" s="467"/>
      <c r="K59" s="1609">
        <f t="shared" ref="K59:K64" si="7">SUM(C59:J59)</f>
        <v>167193</v>
      </c>
      <c r="L59" s="481">
        <v>186460</v>
      </c>
      <c r="M59" s="609"/>
      <c r="N59" s="609"/>
    </row>
    <row r="60" spans="1:14" s="343" customFormat="1" x14ac:dyDescent="0.2">
      <c r="A60" s="1442" t="s">
        <v>463</v>
      </c>
      <c r="B60" s="614">
        <v>2520</v>
      </c>
      <c r="C60" s="466">
        <v>183477</v>
      </c>
      <c r="D60" s="466">
        <v>36221</v>
      </c>
      <c r="E60" s="466">
        <v>39702</v>
      </c>
      <c r="F60" s="466">
        <v>4374</v>
      </c>
      <c r="G60" s="466"/>
      <c r="H60" s="466"/>
      <c r="I60" s="467">
        <v>3550</v>
      </c>
      <c r="J60" s="467"/>
      <c r="K60" s="1609">
        <f t="shared" si="7"/>
        <v>267324</v>
      </c>
      <c r="L60" s="466">
        <v>291850</v>
      </c>
      <c r="M60" s="609"/>
      <c r="N60" s="609"/>
    </row>
    <row r="61" spans="1:14" s="343" customFormat="1" x14ac:dyDescent="0.2">
      <c r="A61" s="1442" t="s">
        <v>197</v>
      </c>
      <c r="B61" s="614">
        <v>2540</v>
      </c>
      <c r="C61" s="466"/>
      <c r="D61" s="466"/>
      <c r="E61" s="466">
        <v>5610</v>
      </c>
      <c r="F61" s="466"/>
      <c r="G61" s="466"/>
      <c r="H61" s="466"/>
      <c r="I61" s="467"/>
      <c r="J61" s="467"/>
      <c r="K61" s="1609">
        <f t="shared" si="7"/>
        <v>5610</v>
      </c>
      <c r="L61" s="466">
        <v>102500</v>
      </c>
      <c r="M61" s="609"/>
      <c r="N61" s="609"/>
    </row>
    <row r="62" spans="1:14" s="343" customFormat="1" x14ac:dyDescent="0.2">
      <c r="A62" s="1442" t="s">
        <v>953</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172694</v>
      </c>
      <c r="D63" s="466">
        <v>8929</v>
      </c>
      <c r="E63" s="466">
        <v>479909</v>
      </c>
      <c r="F63" s="466">
        <v>6777</v>
      </c>
      <c r="G63" s="466"/>
      <c r="H63" s="466"/>
      <c r="I63" s="467"/>
      <c r="J63" s="467"/>
      <c r="K63" s="1609">
        <f t="shared" si="7"/>
        <v>668309</v>
      </c>
      <c r="L63" s="466">
        <v>834979</v>
      </c>
    </row>
    <row r="64" spans="1:14" s="609" customFormat="1" x14ac:dyDescent="0.2">
      <c r="A64" s="1447" t="s">
        <v>101</v>
      </c>
      <c r="B64" s="630">
        <v>2570</v>
      </c>
      <c r="C64" s="481"/>
      <c r="D64" s="481"/>
      <c r="E64" s="481"/>
      <c r="F64" s="481"/>
      <c r="G64" s="481"/>
      <c r="H64" s="481"/>
      <c r="I64" s="467">
        <v>4458</v>
      </c>
      <c r="J64" s="467"/>
      <c r="K64" s="1609">
        <f t="shared" si="7"/>
        <v>4458</v>
      </c>
      <c r="L64" s="481"/>
    </row>
    <row r="65" spans="1:14" s="343" customFormat="1" ht="12.75" customHeight="1" thickBot="1" x14ac:dyDescent="0.25">
      <c r="A65" s="1605" t="s">
        <v>719</v>
      </c>
      <c r="B65" s="1606" t="s">
        <v>35</v>
      </c>
      <c r="C65" s="1607">
        <f>SUM(C59:C64)</f>
        <v>486440</v>
      </c>
      <c r="D65" s="1607">
        <f t="shared" ref="D65:L65" si="8">SUM(D59:D64)</f>
        <v>75242</v>
      </c>
      <c r="E65" s="1607">
        <f t="shared" si="8"/>
        <v>529057</v>
      </c>
      <c r="F65" s="1607">
        <f t="shared" si="8"/>
        <v>13502</v>
      </c>
      <c r="G65" s="1607">
        <f t="shared" si="8"/>
        <v>0</v>
      </c>
      <c r="H65" s="1607">
        <f t="shared" si="8"/>
        <v>645</v>
      </c>
      <c r="I65" s="1607">
        <f t="shared" si="8"/>
        <v>8008</v>
      </c>
      <c r="J65" s="1607">
        <f t="shared" si="8"/>
        <v>0</v>
      </c>
      <c r="K65" s="1607">
        <f t="shared" si="8"/>
        <v>1112894</v>
      </c>
      <c r="L65" s="1607">
        <f t="shared" si="8"/>
        <v>1415789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2" t="s">
        <v>1060</v>
      </c>
      <c r="B67" s="614">
        <v>2610</v>
      </c>
      <c r="C67" s="466"/>
      <c r="D67" s="466"/>
      <c r="E67" s="466"/>
      <c r="F67" s="466"/>
      <c r="G67" s="466"/>
      <c r="H67" s="466"/>
      <c r="I67" s="467"/>
      <c r="J67" s="467"/>
      <c r="K67" s="1609">
        <f>SUM(C67:J67)</f>
        <v>0</v>
      </c>
      <c r="L67" s="481"/>
      <c r="M67" s="609"/>
      <c r="N67" s="609"/>
    </row>
    <row r="68" spans="1:14" s="343" customFormat="1" x14ac:dyDescent="0.2">
      <c r="A68" s="1442" t="s">
        <v>607</v>
      </c>
      <c r="B68" s="614">
        <v>2620</v>
      </c>
      <c r="C68" s="466"/>
      <c r="D68" s="466"/>
      <c r="E68" s="466"/>
      <c r="F68" s="466"/>
      <c r="G68" s="466"/>
      <c r="H68" s="466"/>
      <c r="I68" s="467"/>
      <c r="J68" s="467"/>
      <c r="K68" s="1609">
        <f>SUM(C68:J68)</f>
        <v>0</v>
      </c>
      <c r="L68" s="466"/>
      <c r="M68" s="609"/>
      <c r="N68" s="609"/>
    </row>
    <row r="69" spans="1:14" s="343" customFormat="1" x14ac:dyDescent="0.2">
      <c r="A69" s="1442" t="s">
        <v>1061</v>
      </c>
      <c r="B69" s="614">
        <v>2630</v>
      </c>
      <c r="C69" s="466">
        <v>76649</v>
      </c>
      <c r="D69" s="466">
        <v>9481</v>
      </c>
      <c r="E69" s="466">
        <v>40078</v>
      </c>
      <c r="F69" s="466">
        <v>1833</v>
      </c>
      <c r="G69" s="466"/>
      <c r="H69" s="466">
        <v>950</v>
      </c>
      <c r="I69" s="467"/>
      <c r="J69" s="467"/>
      <c r="K69" s="1609">
        <f>SUM(C69:J69)</f>
        <v>128991</v>
      </c>
      <c r="L69" s="466">
        <v>139612</v>
      </c>
      <c r="M69" s="609"/>
      <c r="N69" s="609"/>
    </row>
    <row r="70" spans="1:14" s="343" customFormat="1" x14ac:dyDescent="0.2">
      <c r="A70" s="1442" t="s">
        <v>403</v>
      </c>
      <c r="B70" s="614">
        <v>2640</v>
      </c>
      <c r="C70" s="466">
        <v>291183</v>
      </c>
      <c r="D70" s="466">
        <v>61687</v>
      </c>
      <c r="E70" s="466">
        <v>63094</v>
      </c>
      <c r="F70" s="466">
        <v>4489</v>
      </c>
      <c r="G70" s="466"/>
      <c r="H70" s="466">
        <v>324</v>
      </c>
      <c r="I70" s="467">
        <v>210</v>
      </c>
      <c r="J70" s="467"/>
      <c r="K70" s="1609">
        <f>SUM(C70:J70)</f>
        <v>420987</v>
      </c>
      <c r="L70" s="466">
        <v>448265</v>
      </c>
      <c r="M70" s="609"/>
      <c r="N70" s="609"/>
    </row>
    <row r="71" spans="1:14" s="343" customFormat="1" x14ac:dyDescent="0.2">
      <c r="A71" s="1442" t="s">
        <v>404</v>
      </c>
      <c r="B71" s="614">
        <v>2660</v>
      </c>
      <c r="C71" s="466">
        <v>338186</v>
      </c>
      <c r="D71" s="466">
        <v>63472</v>
      </c>
      <c r="E71" s="466">
        <v>119331</v>
      </c>
      <c r="F71" s="466">
        <v>26399</v>
      </c>
      <c r="G71" s="466">
        <v>17838</v>
      </c>
      <c r="H71" s="466"/>
      <c r="I71" s="467">
        <v>29283</v>
      </c>
      <c r="J71" s="467"/>
      <c r="K71" s="1609">
        <f>SUM(C71:J71)</f>
        <v>594509</v>
      </c>
      <c r="L71" s="466">
        <f>699215+100000</f>
        <v>799215</v>
      </c>
      <c r="M71" s="609"/>
      <c r="N71" s="609"/>
    </row>
    <row r="72" spans="1:14" s="343" customFormat="1" ht="12.75" customHeight="1" thickBot="1" x14ac:dyDescent="0.25">
      <c r="A72" s="1605" t="s">
        <v>37</v>
      </c>
      <c r="B72" s="1612" t="s">
        <v>36</v>
      </c>
      <c r="C72" s="1607">
        <f>SUM(C67:C71)</f>
        <v>706018</v>
      </c>
      <c r="D72" s="1607">
        <f t="shared" ref="D72:K72" si="9">SUM(D67:D71)</f>
        <v>134640</v>
      </c>
      <c r="E72" s="1607">
        <f t="shared" si="9"/>
        <v>222503</v>
      </c>
      <c r="F72" s="1607">
        <f t="shared" si="9"/>
        <v>32721</v>
      </c>
      <c r="G72" s="1607">
        <f t="shared" si="9"/>
        <v>17838</v>
      </c>
      <c r="H72" s="1607">
        <f t="shared" si="9"/>
        <v>1274</v>
      </c>
      <c r="I72" s="1607">
        <f t="shared" si="9"/>
        <v>29493</v>
      </c>
      <c r="J72" s="1607">
        <f t="shared" si="9"/>
        <v>0</v>
      </c>
      <c r="K72" s="1607">
        <f t="shared" si="9"/>
        <v>1144487</v>
      </c>
      <c r="L72" s="1607">
        <f>SUM(L67:L71)</f>
        <v>1387092</v>
      </c>
      <c r="M72" s="609"/>
      <c r="N72" s="609"/>
    </row>
    <row r="73" spans="1:14" s="343" customFormat="1" ht="14.25" thickTop="1" thickBot="1" x14ac:dyDescent="0.25">
      <c r="A73" s="1448" t="s">
        <v>980</v>
      </c>
      <c r="B73" s="632" t="s">
        <v>574</v>
      </c>
      <c r="C73" s="573"/>
      <c r="D73" s="573">
        <v>48289</v>
      </c>
      <c r="E73" s="573">
        <v>10354</v>
      </c>
      <c r="F73" s="573">
        <v>92408</v>
      </c>
      <c r="G73" s="573"/>
      <c r="H73" s="573"/>
      <c r="I73" s="531"/>
      <c r="J73" s="531"/>
      <c r="K73" s="1607">
        <f>SUM(C73:J73)</f>
        <v>151051</v>
      </c>
      <c r="L73" s="576">
        <v>195000</v>
      </c>
      <c r="M73" s="609"/>
      <c r="N73" s="609"/>
    </row>
    <row r="74" spans="1:14" ht="12.75" customHeight="1" thickTop="1" thickBot="1" x14ac:dyDescent="0.25">
      <c r="A74" s="1605" t="s">
        <v>811</v>
      </c>
      <c r="B74" s="1613">
        <v>2000</v>
      </c>
      <c r="C74" s="1614">
        <f>SUM(C42,C47,C53,C57,C65,C72,C73)</f>
        <v>6915608</v>
      </c>
      <c r="D74" s="1614">
        <f t="shared" ref="D74:K74" si="10">SUM(D42,D47,D53,D57,D65,D72,D73)</f>
        <v>1248567</v>
      </c>
      <c r="E74" s="1614">
        <f t="shared" si="10"/>
        <v>1696128</v>
      </c>
      <c r="F74" s="1614">
        <f t="shared" si="10"/>
        <v>326903</v>
      </c>
      <c r="G74" s="1614">
        <f t="shared" si="10"/>
        <v>17838</v>
      </c>
      <c r="H74" s="1614">
        <f t="shared" si="10"/>
        <v>29051</v>
      </c>
      <c r="I74" s="1614">
        <f t="shared" si="10"/>
        <v>115113</v>
      </c>
      <c r="J74" s="1614">
        <f t="shared" si="10"/>
        <v>0</v>
      </c>
      <c r="K74" s="1614">
        <f t="shared" si="10"/>
        <v>10349208</v>
      </c>
      <c r="L74" s="1614">
        <f>SUM(L42,L47,L53,L57,L65,L72,L73)</f>
        <v>11219156</v>
      </c>
    </row>
    <row r="75" spans="1:14" s="259" customFormat="1" ht="15.75" customHeight="1" thickTop="1" thickBot="1" x14ac:dyDescent="0.25">
      <c r="A75" s="1548" t="s">
        <v>47</v>
      </c>
      <c r="B75" s="1549" t="s">
        <v>575</v>
      </c>
      <c r="C75" s="573">
        <v>56027</v>
      </c>
      <c r="D75" s="573">
        <v>19522</v>
      </c>
      <c r="E75" s="573">
        <v>3389</v>
      </c>
      <c r="F75" s="573">
        <v>4276</v>
      </c>
      <c r="G75" s="573"/>
      <c r="H75" s="573"/>
      <c r="I75" s="531"/>
      <c r="J75" s="531"/>
      <c r="K75" s="1607">
        <f>SUM(C75:J75)</f>
        <v>83214</v>
      </c>
      <c r="L75" s="576">
        <v>133286</v>
      </c>
      <c r="M75" s="613"/>
      <c r="N75" s="613"/>
    </row>
    <row r="76" spans="1:14" s="633" customFormat="1" ht="15.75" customHeight="1" thickTop="1" x14ac:dyDescent="0.2">
      <c r="A76" s="1550" t="s">
        <v>365</v>
      </c>
      <c r="B76" s="154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2" t="s">
        <v>496</v>
      </c>
      <c r="B78" s="614">
        <v>4110</v>
      </c>
      <c r="C78" s="616"/>
      <c r="D78" s="616"/>
      <c r="E78" s="481"/>
      <c r="F78" s="616"/>
      <c r="G78" s="616"/>
      <c r="H78" s="634"/>
      <c r="I78" s="477"/>
      <c r="J78" s="477"/>
      <c r="K78" s="1608">
        <f t="shared" ref="K78:K83" si="11">SUM(C78:J78)</f>
        <v>0</v>
      </c>
      <c r="L78" s="481"/>
    </row>
    <row r="79" spans="1:14" x14ac:dyDescent="0.2">
      <c r="A79" s="1442" t="s">
        <v>304</v>
      </c>
      <c r="B79" s="614">
        <v>4120</v>
      </c>
      <c r="C79" s="616"/>
      <c r="D79" s="616"/>
      <c r="E79" s="466"/>
      <c r="F79" s="616"/>
      <c r="G79" s="616"/>
      <c r="H79" s="466">
        <v>1060509</v>
      </c>
      <c r="I79" s="477"/>
      <c r="J79" s="477"/>
      <c r="K79" s="1608">
        <f t="shared" si="11"/>
        <v>1060509</v>
      </c>
      <c r="L79" s="466">
        <v>1400000</v>
      </c>
    </row>
    <row r="80" spans="1:14" x14ac:dyDescent="0.2">
      <c r="A80" s="1442" t="s">
        <v>305</v>
      </c>
      <c r="B80" s="614">
        <v>4130</v>
      </c>
      <c r="C80" s="616"/>
      <c r="D80" s="616"/>
      <c r="E80" s="466"/>
      <c r="F80" s="616"/>
      <c r="G80" s="616"/>
      <c r="H80" s="466"/>
      <c r="I80" s="477"/>
      <c r="J80" s="477"/>
      <c r="K80" s="1608">
        <f t="shared" si="11"/>
        <v>0</v>
      </c>
      <c r="L80" s="466"/>
    </row>
    <row r="81" spans="1:12" x14ac:dyDescent="0.2">
      <c r="A81" s="1442" t="s">
        <v>697</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698</v>
      </c>
      <c r="B83" s="628">
        <v>4190</v>
      </c>
      <c r="C83" s="616"/>
      <c r="D83" s="616"/>
      <c r="E83" s="466"/>
      <c r="F83" s="616"/>
      <c r="G83" s="616"/>
      <c r="H83" s="466">
        <v>3303</v>
      </c>
      <c r="I83" s="477"/>
      <c r="J83" s="477"/>
      <c r="K83" s="1608">
        <f t="shared" si="11"/>
        <v>3303</v>
      </c>
      <c r="L83" s="466">
        <v>59149</v>
      </c>
    </row>
    <row r="84" spans="1:12" ht="13.5" thickBot="1" x14ac:dyDescent="0.25">
      <c r="A84" s="1605" t="s">
        <v>1485</v>
      </c>
      <c r="B84" s="1615">
        <v>4100</v>
      </c>
      <c r="C84" s="616"/>
      <c r="D84" s="616"/>
      <c r="E84" s="1607">
        <f>SUM(E78:E83)</f>
        <v>0</v>
      </c>
      <c r="F84" s="616"/>
      <c r="G84" s="616"/>
      <c r="H84" s="1607">
        <f>SUM(H78:H83)</f>
        <v>1063812</v>
      </c>
      <c r="I84" s="477"/>
      <c r="J84" s="477"/>
      <c r="K84" s="1607">
        <f>SUM(K78:K83)</f>
        <v>1063812</v>
      </c>
      <c r="L84" s="1607">
        <f>SUM(L78:L83)</f>
        <v>1459149</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699</v>
      </c>
      <c r="B86" s="637">
        <v>4220</v>
      </c>
      <c r="C86" s="616"/>
      <c r="D86" s="616"/>
      <c r="E86" s="638"/>
      <c r="F86" s="616"/>
      <c r="G86" s="616"/>
      <c r="H86" s="467"/>
      <c r="I86" s="477"/>
      <c r="J86" s="477"/>
      <c r="K86" s="1614">
        <f t="shared" ref="K86:K98" si="12">H86</f>
        <v>0</v>
      </c>
      <c r="L86" s="530"/>
    </row>
    <row r="87" spans="1:12" ht="14.25" thickTop="1" thickBot="1" x14ac:dyDescent="0.25">
      <c r="A87" s="1451" t="s">
        <v>700</v>
      </c>
      <c r="B87" s="639">
        <v>4230</v>
      </c>
      <c r="C87" s="616"/>
      <c r="D87" s="616"/>
      <c r="E87" s="638"/>
      <c r="F87" s="616"/>
      <c r="G87" s="616"/>
      <c r="H87" s="467"/>
      <c r="I87" s="477"/>
      <c r="J87" s="477"/>
      <c r="K87" s="1614">
        <f t="shared" si="12"/>
        <v>0</v>
      </c>
      <c r="L87" s="530"/>
    </row>
    <row r="88" spans="1:12" ht="12.75" customHeight="1" thickTop="1" thickBot="1" x14ac:dyDescent="0.25">
      <c r="A88" s="1451" t="s">
        <v>765</v>
      </c>
      <c r="B88" s="639">
        <v>4240</v>
      </c>
      <c r="C88" s="616"/>
      <c r="D88" s="616"/>
      <c r="E88" s="638"/>
      <c r="F88" s="616"/>
      <c r="G88" s="616"/>
      <c r="H88" s="467"/>
      <c r="I88" s="477"/>
      <c r="J88" s="477"/>
      <c r="K88" s="1614">
        <f t="shared" si="12"/>
        <v>0</v>
      </c>
      <c r="L88" s="530"/>
    </row>
    <row r="89" spans="1:12" ht="12.75" customHeight="1" thickTop="1" thickBot="1" x14ac:dyDescent="0.25">
      <c r="A89" s="1451" t="s">
        <v>701</v>
      </c>
      <c r="B89" s="639">
        <v>4270</v>
      </c>
      <c r="C89" s="616"/>
      <c r="D89" s="616"/>
      <c r="E89" s="638"/>
      <c r="F89" s="616"/>
      <c r="G89" s="616"/>
      <c r="H89" s="467"/>
      <c r="I89" s="477"/>
      <c r="J89" s="477"/>
      <c r="K89" s="1614">
        <f t="shared" si="12"/>
        <v>0</v>
      </c>
      <c r="L89" s="530"/>
    </row>
    <row r="90" spans="1:12" ht="12.75" customHeight="1" thickTop="1" thickBot="1" x14ac:dyDescent="0.25">
      <c r="A90" s="1451" t="s">
        <v>686</v>
      </c>
      <c r="B90" s="639">
        <v>4280</v>
      </c>
      <c r="C90" s="616"/>
      <c r="D90" s="616"/>
      <c r="E90" s="638"/>
      <c r="F90" s="616"/>
      <c r="G90" s="616"/>
      <c r="H90" s="467"/>
      <c r="I90" s="477"/>
      <c r="J90" s="477"/>
      <c r="K90" s="1614">
        <f t="shared" si="12"/>
        <v>0</v>
      </c>
      <c r="L90" s="530"/>
    </row>
    <row r="91" spans="1:12" ht="12.75" customHeight="1" thickTop="1" thickBot="1" x14ac:dyDescent="0.25">
      <c r="A91" s="1451" t="s">
        <v>687</v>
      </c>
      <c r="B91" s="639">
        <v>4290</v>
      </c>
      <c r="C91" s="616"/>
      <c r="D91" s="616"/>
      <c r="E91" s="638"/>
      <c r="F91" s="616"/>
      <c r="G91" s="616"/>
      <c r="H91" s="467"/>
      <c r="I91" s="477"/>
      <c r="J91" s="477"/>
      <c r="K91" s="1614">
        <f t="shared" si="12"/>
        <v>0</v>
      </c>
      <c r="L91" s="530"/>
    </row>
    <row r="92" spans="1:12" ht="14.25" thickTop="1" thickBot="1" x14ac:dyDescent="0.25">
      <c r="A92" s="1617" t="s">
        <v>1560</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688</v>
      </c>
      <c r="B93" s="640">
        <v>4310</v>
      </c>
      <c r="C93" s="616"/>
      <c r="D93" s="616"/>
      <c r="E93" s="638"/>
      <c r="F93" s="616"/>
      <c r="G93" s="616"/>
      <c r="H93" s="641"/>
      <c r="I93" s="477"/>
      <c r="J93" s="477"/>
      <c r="K93" s="1614">
        <f t="shared" si="12"/>
        <v>0</v>
      </c>
      <c r="L93" s="532"/>
    </row>
    <row r="94" spans="1:12" ht="12.75" customHeight="1" thickTop="1" thickBot="1" x14ac:dyDescent="0.25">
      <c r="A94" s="1451" t="s">
        <v>689</v>
      </c>
      <c r="B94" s="639">
        <v>4320</v>
      </c>
      <c r="C94" s="616"/>
      <c r="D94" s="616"/>
      <c r="E94" s="638"/>
      <c r="F94" s="616"/>
      <c r="G94" s="616"/>
      <c r="H94" s="467"/>
      <c r="I94" s="477"/>
      <c r="J94" s="477"/>
      <c r="K94" s="1614">
        <f t="shared" si="12"/>
        <v>0</v>
      </c>
      <c r="L94" s="530"/>
    </row>
    <row r="95" spans="1:12" ht="15" customHeight="1" thickTop="1" thickBot="1" x14ac:dyDescent="0.25">
      <c r="A95" s="1451" t="s">
        <v>1488</v>
      </c>
      <c r="B95" s="639">
        <v>4330</v>
      </c>
      <c r="C95" s="616"/>
      <c r="D95" s="616"/>
      <c r="E95" s="638"/>
      <c r="F95" s="616"/>
      <c r="G95" s="616"/>
      <c r="H95" s="467"/>
      <c r="I95" s="477"/>
      <c r="J95" s="477"/>
      <c r="K95" s="1614">
        <f t="shared" si="12"/>
        <v>0</v>
      </c>
      <c r="L95" s="530"/>
    </row>
    <row r="96" spans="1:12" ht="14.25" thickTop="1" thickBot="1" x14ac:dyDescent="0.25">
      <c r="A96" s="1451" t="s">
        <v>690</v>
      </c>
      <c r="B96" s="639">
        <v>4340</v>
      </c>
      <c r="C96" s="616"/>
      <c r="D96" s="616"/>
      <c r="E96" s="638"/>
      <c r="F96" s="616"/>
      <c r="G96" s="616"/>
      <c r="H96" s="467"/>
      <c r="I96" s="477"/>
      <c r="J96" s="477"/>
      <c r="K96" s="1614">
        <f t="shared" si="12"/>
        <v>0</v>
      </c>
      <c r="L96" s="530"/>
    </row>
    <row r="97" spans="1:14" ht="12.75" customHeight="1" thickTop="1" thickBot="1" x14ac:dyDescent="0.25">
      <c r="A97" s="1451" t="s">
        <v>763</v>
      </c>
      <c r="B97" s="639">
        <v>4370</v>
      </c>
      <c r="C97" s="616"/>
      <c r="D97" s="616"/>
      <c r="E97" s="638"/>
      <c r="F97" s="616"/>
      <c r="G97" s="616"/>
      <c r="H97" s="467"/>
      <c r="I97" s="477"/>
      <c r="J97" s="477"/>
      <c r="K97" s="1614">
        <f t="shared" si="12"/>
        <v>0</v>
      </c>
      <c r="L97" s="530"/>
    </row>
    <row r="98" spans="1:14" ht="14.25" thickTop="1" thickBot="1" x14ac:dyDescent="0.25">
      <c r="A98" s="1451" t="s">
        <v>764</v>
      </c>
      <c r="B98" s="639">
        <v>4380</v>
      </c>
      <c r="C98" s="616"/>
      <c r="D98" s="616"/>
      <c r="E98" s="642"/>
      <c r="F98" s="616"/>
      <c r="G98" s="616"/>
      <c r="H98" s="467"/>
      <c r="I98" s="477"/>
      <c r="J98" s="477"/>
      <c r="K98" s="1614">
        <f t="shared" si="12"/>
        <v>0</v>
      </c>
      <c r="L98" s="530"/>
    </row>
    <row r="99" spans="1:14" ht="14.25" thickTop="1" thickBot="1" x14ac:dyDescent="0.25">
      <c r="A99" s="1451" t="s">
        <v>367</v>
      </c>
      <c r="B99" s="639">
        <v>4390</v>
      </c>
      <c r="C99" s="616"/>
      <c r="D99" s="616"/>
      <c r="E99" s="532"/>
      <c r="F99" s="616"/>
      <c r="G99" s="616"/>
      <c r="H99" s="467"/>
      <c r="I99" s="477"/>
      <c r="J99" s="477"/>
      <c r="K99" s="1614">
        <f>SUM(E99,H99)</f>
        <v>0</v>
      </c>
      <c r="L99" s="530"/>
    </row>
    <row r="100" spans="1:14" ht="14.25" thickTop="1" thickBot="1" x14ac:dyDescent="0.25">
      <c r="A100" s="1617" t="s">
        <v>1486</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1489</v>
      </c>
      <c r="B101" s="643" t="s">
        <v>931</v>
      </c>
      <c r="C101" s="616"/>
      <c r="D101" s="616"/>
      <c r="E101" s="531"/>
      <c r="F101" s="616"/>
      <c r="G101" s="616"/>
      <c r="H101" s="531"/>
      <c r="I101" s="477"/>
      <c r="J101" s="477"/>
      <c r="K101" s="1616">
        <f>SUM(C101:J101)</f>
        <v>0</v>
      </c>
      <c r="L101" s="530"/>
    </row>
    <row r="102" spans="1:14" ht="12.75" customHeight="1" thickTop="1" thickBot="1" x14ac:dyDescent="0.25">
      <c r="A102" s="1605" t="s">
        <v>1487</v>
      </c>
      <c r="B102" s="1615">
        <v>4000</v>
      </c>
      <c r="C102" s="616"/>
      <c r="D102" s="616"/>
      <c r="E102" s="1614">
        <f>SUM(E84,E92,E100,E101)</f>
        <v>0</v>
      </c>
      <c r="F102" s="616"/>
      <c r="G102" s="616"/>
      <c r="H102" s="1614">
        <f>SUM(H84,H92,H100,H101)</f>
        <v>1063812</v>
      </c>
      <c r="I102" s="477"/>
      <c r="J102" s="477"/>
      <c r="K102" s="1614">
        <f>SUM(K84,K92,K100,K101)</f>
        <v>1063812</v>
      </c>
      <c r="L102" s="1614">
        <f>SUM(L84,L92,L100,L101)</f>
        <v>1459149</v>
      </c>
    </row>
    <row r="103" spans="1:14" s="633" customFormat="1" ht="15.75" customHeight="1" thickTop="1" x14ac:dyDescent="0.2">
      <c r="A103" s="1550" t="s">
        <v>513</v>
      </c>
      <c r="B103" s="154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1170</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589</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368</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638</v>
      </c>
      <c r="B112" s="1606" t="s">
        <v>492</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514</v>
      </c>
      <c r="B113" s="1551" t="s">
        <v>861</v>
      </c>
      <c r="C113" s="623"/>
      <c r="D113" s="623"/>
      <c r="E113" s="616"/>
      <c r="F113" s="616"/>
      <c r="G113" s="616"/>
      <c r="H113" s="623"/>
      <c r="I113" s="468"/>
      <c r="J113" s="468"/>
      <c r="K113" s="623"/>
      <c r="L113" s="531">
        <v>1000000</v>
      </c>
      <c r="M113" s="613"/>
      <c r="N113" s="613"/>
    </row>
    <row r="114" spans="1:14" ht="12.75" customHeight="1" thickTop="1" thickBot="1" x14ac:dyDescent="0.25">
      <c r="A114" s="1605" t="s">
        <v>48</v>
      </c>
      <c r="B114" s="1619"/>
      <c r="C114" s="1607">
        <f>SUM(C33,C74,C75,C102,C112,C113)</f>
        <v>25657060</v>
      </c>
      <c r="D114" s="1607">
        <f t="shared" ref="D114:K114" si="13">SUM(D33,D74,D75,D102,D112,D113)</f>
        <v>4055422</v>
      </c>
      <c r="E114" s="1607">
        <f t="shared" si="13"/>
        <v>2047796</v>
      </c>
      <c r="F114" s="1607">
        <f t="shared" si="13"/>
        <v>1455660</v>
      </c>
      <c r="G114" s="1607">
        <f t="shared" si="13"/>
        <v>40128</v>
      </c>
      <c r="H114" s="1607">
        <f>SUM(H33,H74,H75,H102,H112,H113)</f>
        <v>2164179</v>
      </c>
      <c r="I114" s="1607">
        <f t="shared" si="13"/>
        <v>239634</v>
      </c>
      <c r="J114" s="1607">
        <f t="shared" si="13"/>
        <v>0</v>
      </c>
      <c r="K114" s="1607">
        <f t="shared" si="13"/>
        <v>35659879</v>
      </c>
      <c r="L114" s="1607">
        <f>SUM(L33,L74,L75,L102,L112,L113)</f>
        <v>38914801</v>
      </c>
    </row>
    <row r="115" spans="1:14" ht="13.5" thickTop="1" x14ac:dyDescent="0.2">
      <c r="A115" s="2195" t="s">
        <v>996</v>
      </c>
      <c r="B115" s="2196"/>
      <c r="C115" s="618"/>
      <c r="D115" s="618"/>
      <c r="E115" s="618"/>
      <c r="F115" s="618"/>
      <c r="G115" s="618"/>
      <c r="H115" s="618"/>
      <c r="I115" s="618"/>
      <c r="J115" s="618"/>
      <c r="K115" s="1621">
        <f>'Revenues 9-14'!C268-'Expenditures 15-22'!K114</f>
        <v>3377106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564"/>
      <c r="D117" s="1565"/>
      <c r="E117" s="1565"/>
      <c r="F117" s="1565"/>
      <c r="G117" s="1565"/>
      <c r="H117" s="1565"/>
      <c r="I117" s="1565"/>
      <c r="J117" s="1565"/>
      <c r="K117" s="1565"/>
      <c r="L117" s="1566"/>
      <c r="M117" s="175"/>
      <c r="N117" s="175"/>
    </row>
    <row r="118" spans="1:14" ht="15.75" customHeight="1" x14ac:dyDescent="0.2">
      <c r="A118" s="1552" t="s">
        <v>1035</v>
      </c>
      <c r="B118" s="155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6" t="s">
        <v>2059</v>
      </c>
      <c r="B120" s="628" t="s">
        <v>716</v>
      </c>
      <c r="C120" s="466"/>
      <c r="D120" s="466"/>
      <c r="E120" s="466"/>
      <c r="F120" s="466"/>
      <c r="G120" s="466"/>
      <c r="H120" s="466"/>
      <c r="I120" s="467"/>
      <c r="J120" s="467"/>
      <c r="K120" s="160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2" t="s">
        <v>1068</v>
      </c>
      <c r="B122" s="614">
        <v>2510</v>
      </c>
      <c r="C122" s="466">
        <v>46897</v>
      </c>
      <c r="D122" s="466">
        <v>9640</v>
      </c>
      <c r="E122" s="466"/>
      <c r="F122" s="466"/>
      <c r="G122" s="466"/>
      <c r="H122" s="466"/>
      <c r="I122" s="467"/>
      <c r="J122" s="467"/>
      <c r="K122" s="1607">
        <f>SUM(C122:J122)</f>
        <v>56537</v>
      </c>
      <c r="L122" s="466">
        <v>56497</v>
      </c>
    </row>
    <row r="123" spans="1:14" ht="14.25" thickTop="1" thickBot="1" x14ac:dyDescent="0.25">
      <c r="A123" s="1442" t="s">
        <v>4</v>
      </c>
      <c r="B123" s="614">
        <v>2530</v>
      </c>
      <c r="C123" s="466"/>
      <c r="D123" s="466"/>
      <c r="E123" s="466"/>
      <c r="F123" s="466"/>
      <c r="G123" s="466"/>
      <c r="H123" s="466"/>
      <c r="I123" s="467"/>
      <c r="J123" s="467"/>
      <c r="K123" s="1607">
        <f>SUM(C123:J123)</f>
        <v>0</v>
      </c>
      <c r="L123" s="466">
        <v>20000</v>
      </c>
    </row>
    <row r="124" spans="1:14" ht="14.25" thickTop="1" thickBot="1" x14ac:dyDescent="0.25">
      <c r="A124" s="1442" t="s">
        <v>197</v>
      </c>
      <c r="B124" s="614">
        <v>2540</v>
      </c>
      <c r="C124" s="466">
        <v>1166571</v>
      </c>
      <c r="D124" s="466">
        <v>209709</v>
      </c>
      <c r="E124" s="466">
        <v>550377</v>
      </c>
      <c r="F124" s="466">
        <v>667688</v>
      </c>
      <c r="G124" s="466">
        <v>168806</v>
      </c>
      <c r="H124" s="466">
        <v>75</v>
      </c>
      <c r="I124" s="467">
        <v>75857</v>
      </c>
      <c r="J124" s="467"/>
      <c r="K124" s="1607">
        <f>SUM(C124:J124)</f>
        <v>2839083</v>
      </c>
      <c r="L124" s="466">
        <f>3543650+175000</f>
        <v>3718650</v>
      </c>
    </row>
    <row r="125" spans="1:14" ht="14.25" thickTop="1" thickBot="1" x14ac:dyDescent="0.25">
      <c r="A125" s="1442" t="s">
        <v>953</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719</v>
      </c>
      <c r="B127" s="1606" t="s">
        <v>35</v>
      </c>
      <c r="C127" s="1607">
        <f>SUM(C122:C126)</f>
        <v>1213468</v>
      </c>
      <c r="D127" s="1607">
        <f t="shared" ref="D127:L127" si="14">SUM(D122:D126)</f>
        <v>219349</v>
      </c>
      <c r="E127" s="1607">
        <f t="shared" si="14"/>
        <v>550377</v>
      </c>
      <c r="F127" s="1607">
        <f t="shared" si="14"/>
        <v>667688</v>
      </c>
      <c r="G127" s="1607">
        <f t="shared" si="14"/>
        <v>168806</v>
      </c>
      <c r="H127" s="1607">
        <f t="shared" si="14"/>
        <v>75</v>
      </c>
      <c r="I127" s="1607">
        <f t="shared" si="14"/>
        <v>75857</v>
      </c>
      <c r="J127" s="1607">
        <f t="shared" si="14"/>
        <v>0</v>
      </c>
      <c r="K127" s="1607">
        <f t="shared" si="14"/>
        <v>2895620</v>
      </c>
      <c r="L127" s="1607">
        <f t="shared" si="14"/>
        <v>3795147</v>
      </c>
    </row>
    <row r="128" spans="1:14" ht="12.75" customHeight="1" thickTop="1" x14ac:dyDescent="0.2">
      <c r="A128" s="1449" t="s">
        <v>980</v>
      </c>
      <c r="B128" s="655" t="s">
        <v>574</v>
      </c>
      <c r="C128" s="656"/>
      <c r="D128" s="656"/>
      <c r="E128" s="656"/>
      <c r="F128" s="656">
        <v>2265</v>
      </c>
      <c r="G128" s="656"/>
      <c r="H128" s="656"/>
      <c r="I128" s="535"/>
      <c r="J128" s="535"/>
      <c r="K128" s="1622">
        <f>SUM(C128:J128)</f>
        <v>2265</v>
      </c>
      <c r="L128" s="656">
        <v>2500</v>
      </c>
    </row>
    <row r="129" spans="1:14" ht="12.75" customHeight="1" thickBot="1" x14ac:dyDescent="0.25">
      <c r="A129" s="1623" t="s">
        <v>811</v>
      </c>
      <c r="B129" s="1624" t="s">
        <v>569</v>
      </c>
      <c r="C129" s="1614">
        <f>SUM(C120,C127,C128)</f>
        <v>1213468</v>
      </c>
      <c r="D129" s="1614">
        <f t="shared" ref="D129:L129" si="15">SUM(D120,D127,D128)</f>
        <v>219349</v>
      </c>
      <c r="E129" s="1614">
        <f t="shared" si="15"/>
        <v>550377</v>
      </c>
      <c r="F129" s="1614">
        <f t="shared" si="15"/>
        <v>669953</v>
      </c>
      <c r="G129" s="1614">
        <f t="shared" si="15"/>
        <v>168806</v>
      </c>
      <c r="H129" s="1614">
        <f t="shared" si="15"/>
        <v>75</v>
      </c>
      <c r="I129" s="1614">
        <f t="shared" si="15"/>
        <v>75857</v>
      </c>
      <c r="J129" s="1614">
        <f t="shared" si="15"/>
        <v>0</v>
      </c>
      <c r="K129" s="1614">
        <f t="shared" si="15"/>
        <v>2897885</v>
      </c>
      <c r="L129" s="1614">
        <f t="shared" si="15"/>
        <v>3797647</v>
      </c>
    </row>
    <row r="130" spans="1:14" ht="15.75" customHeight="1" thickTop="1" thickBot="1" x14ac:dyDescent="0.25">
      <c r="A130" s="1548" t="s">
        <v>1036</v>
      </c>
      <c r="B130" s="1549" t="s">
        <v>575</v>
      </c>
      <c r="C130" s="576">
        <v>162</v>
      </c>
      <c r="D130" s="576"/>
      <c r="E130" s="576"/>
      <c r="F130" s="576"/>
      <c r="G130" s="576"/>
      <c r="H130" s="576"/>
      <c r="I130" s="531"/>
      <c r="J130" s="531"/>
      <c r="K130" s="1607">
        <f>SUM(C130:J130)</f>
        <v>162</v>
      </c>
      <c r="L130" s="576">
        <v>1030</v>
      </c>
    </row>
    <row r="131" spans="1:14" ht="15.75" customHeight="1" thickTop="1" x14ac:dyDescent="0.2">
      <c r="A131" s="1554" t="s">
        <v>616</v>
      </c>
      <c r="B131" s="154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8" t="s">
        <v>496</v>
      </c>
      <c r="B133" s="1778" t="s">
        <v>1844</v>
      </c>
      <c r="C133" s="468"/>
      <c r="D133" s="468"/>
      <c r="E133" s="641"/>
      <c r="F133" s="468"/>
      <c r="G133" s="468"/>
      <c r="H133" s="641"/>
      <c r="I133" s="468"/>
      <c r="J133" s="468"/>
      <c r="K133" s="1758">
        <f>SUM(E133,H133)</f>
        <v>0</v>
      </c>
      <c r="L133" s="641"/>
      <c r="M133" s="206"/>
      <c r="N133" s="206"/>
    </row>
    <row r="134" spans="1:14" x14ac:dyDescent="0.2">
      <c r="A134" s="1442" t="s">
        <v>304</v>
      </c>
      <c r="B134" s="614">
        <v>4120</v>
      </c>
      <c r="C134" s="616"/>
      <c r="D134" s="616"/>
      <c r="E134" s="478"/>
      <c r="F134" s="616"/>
      <c r="G134" s="616"/>
      <c r="H134" s="481"/>
      <c r="I134" s="477"/>
      <c r="J134" s="616"/>
      <c r="K134" s="1609">
        <f>SUM(E134,H134)</f>
        <v>0</v>
      </c>
      <c r="L134" s="481"/>
    </row>
    <row r="135" spans="1:14" x14ac:dyDescent="0.2">
      <c r="A135" s="1442" t="s">
        <v>697</v>
      </c>
      <c r="B135" s="614">
        <v>4140</v>
      </c>
      <c r="C135" s="616"/>
      <c r="D135" s="616"/>
      <c r="E135" s="467"/>
      <c r="F135" s="616"/>
      <c r="G135" s="616"/>
      <c r="H135" s="466"/>
      <c r="I135" s="477"/>
      <c r="J135" s="616"/>
      <c r="K135" s="1609">
        <f>SUM(E135,H135)</f>
        <v>0</v>
      </c>
      <c r="L135" s="466"/>
    </row>
    <row r="136" spans="1:14" x14ac:dyDescent="0.2">
      <c r="A136" s="1446" t="s">
        <v>698</v>
      </c>
      <c r="B136" s="628">
        <v>4190</v>
      </c>
      <c r="C136" s="616"/>
      <c r="D136" s="616"/>
      <c r="E136" s="467"/>
      <c r="F136" s="616"/>
      <c r="G136" s="616"/>
      <c r="H136" s="466"/>
      <c r="I136" s="477"/>
      <c r="J136" s="616"/>
      <c r="K136" s="1609">
        <f>SUM(E136,H136)</f>
        <v>0</v>
      </c>
      <c r="L136" s="466"/>
    </row>
    <row r="137" spans="1:14" ht="12.75" customHeight="1" thickBot="1" x14ac:dyDescent="0.25">
      <c r="A137" s="1605" t="s">
        <v>480</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931</v>
      </c>
      <c r="C138" s="616"/>
      <c r="D138" s="616"/>
      <c r="E138" s="479"/>
      <c r="F138" s="616"/>
      <c r="G138" s="616"/>
      <c r="H138" s="576"/>
      <c r="I138" s="477"/>
      <c r="J138" s="616"/>
      <c r="K138" s="1609">
        <f>SUM(E138,H138)</f>
        <v>0</v>
      </c>
      <c r="L138" s="576"/>
    </row>
    <row r="139" spans="1:14" ht="12.75" customHeight="1" thickTop="1" thickBot="1" x14ac:dyDescent="0.25">
      <c r="A139" s="1605" t="s">
        <v>1487</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1037</v>
      </c>
      <c r="B140" s="155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1170</v>
      </c>
      <c r="B144" s="628" t="s">
        <v>617</v>
      </c>
      <c r="C144" s="616"/>
      <c r="D144" s="616"/>
      <c r="E144" s="616"/>
      <c r="F144" s="616"/>
      <c r="G144" s="616"/>
      <c r="H144" s="466"/>
      <c r="I144" s="468"/>
      <c r="J144" s="616"/>
      <c r="K144" s="1609">
        <f>SUM(H144)</f>
        <v>0</v>
      </c>
      <c r="L144" s="466"/>
    </row>
    <row r="145" spans="1:14" x14ac:dyDescent="0.2">
      <c r="A145" s="1442" t="s">
        <v>89</v>
      </c>
      <c r="B145" s="614" t="s">
        <v>589</v>
      </c>
      <c r="C145" s="616"/>
      <c r="D145" s="616"/>
      <c r="E145" s="616"/>
      <c r="F145" s="616"/>
      <c r="G145" s="616"/>
      <c r="H145" s="466"/>
      <c r="I145" s="468"/>
      <c r="J145" s="616"/>
      <c r="K145" s="1609">
        <f>SUM(H145)</f>
        <v>0</v>
      </c>
      <c r="L145" s="466"/>
    </row>
    <row r="146" spans="1:14" ht="12.75" customHeight="1" x14ac:dyDescent="0.2">
      <c r="A146" s="1442" t="s">
        <v>619</v>
      </c>
      <c r="B146" s="614" t="s">
        <v>618</v>
      </c>
      <c r="C146" s="616"/>
      <c r="D146" s="616"/>
      <c r="E146" s="616"/>
      <c r="F146" s="616"/>
      <c r="G146" s="616"/>
      <c r="H146" s="466"/>
      <c r="I146" s="468"/>
      <c r="J146" s="616"/>
      <c r="K146" s="1609">
        <f>SUM(H146)</f>
        <v>0</v>
      </c>
      <c r="L146" s="466"/>
    </row>
    <row r="147" spans="1:14" ht="12.75" customHeight="1" thickBot="1" x14ac:dyDescent="0.25">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1103</v>
      </c>
      <c r="B148" s="661" t="s">
        <v>38</v>
      </c>
      <c r="C148" s="616"/>
      <c r="D148" s="616"/>
      <c r="E148" s="616"/>
      <c r="F148" s="616"/>
      <c r="G148" s="616"/>
      <c r="H148" s="479"/>
      <c r="I148" s="468"/>
      <c r="J148" s="616"/>
      <c r="K148" s="1609">
        <f>SUM(H148)</f>
        <v>0</v>
      </c>
      <c r="L148" s="492"/>
    </row>
    <row r="149" spans="1:14" ht="12.75" customHeight="1" thickBot="1" x14ac:dyDescent="0.25">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1038</v>
      </c>
      <c r="B150" s="1551" t="s">
        <v>861</v>
      </c>
      <c r="C150" s="616"/>
      <c r="D150" s="616"/>
      <c r="E150" s="616"/>
      <c r="F150" s="616"/>
      <c r="G150" s="616"/>
      <c r="H150" s="662"/>
      <c r="I150" s="521"/>
      <c r="J150" s="616"/>
      <c r="K150" s="623"/>
      <c r="L150" s="573">
        <v>250000</v>
      </c>
    </row>
    <row r="151" spans="1:14" ht="12.75" customHeight="1" thickTop="1" thickBot="1" x14ac:dyDescent="0.25">
      <c r="A151" s="2185" t="s">
        <v>620</v>
      </c>
      <c r="B151" s="2167"/>
      <c r="C151" s="1607">
        <f>SUM(C129,C130,C139,C149,C150)</f>
        <v>1213630</v>
      </c>
      <c r="D151" s="1607">
        <f t="shared" ref="D151:K151" si="16">SUM(D129,D130,D139,D149,D150)</f>
        <v>219349</v>
      </c>
      <c r="E151" s="1607">
        <f t="shared" si="16"/>
        <v>550377</v>
      </c>
      <c r="F151" s="1607">
        <f t="shared" si="16"/>
        <v>669953</v>
      </c>
      <c r="G151" s="1607">
        <f t="shared" si="16"/>
        <v>168806</v>
      </c>
      <c r="H151" s="1607">
        <f t="shared" si="16"/>
        <v>75</v>
      </c>
      <c r="I151" s="1607">
        <f t="shared" si="16"/>
        <v>75857</v>
      </c>
      <c r="J151" s="1607">
        <f t="shared" si="16"/>
        <v>0</v>
      </c>
      <c r="K151" s="1607">
        <f t="shared" si="16"/>
        <v>2898047</v>
      </c>
      <c r="L151" s="1607">
        <f>SUM(L129,L130,L139,L149,L150)</f>
        <v>4048677</v>
      </c>
    </row>
    <row r="152" spans="1:14" ht="12.75" customHeight="1" thickTop="1" x14ac:dyDescent="0.2">
      <c r="A152" s="2188" t="s">
        <v>1178</v>
      </c>
      <c r="B152" s="2189"/>
      <c r="C152" s="618"/>
      <c r="D152" s="618"/>
      <c r="E152" s="618"/>
      <c r="F152" s="618"/>
      <c r="G152" s="618"/>
      <c r="H152" s="618"/>
      <c r="I152" s="618"/>
      <c r="J152" s="616"/>
      <c r="K152" s="1621">
        <f>'Revenues 9-14'!D268-'Expenditures 15-22'!K151</f>
        <v>265707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x14ac:dyDescent="0.2">
      <c r="A156" s="1759" t="s">
        <v>1845</v>
      </c>
      <c r="B156" s="1760"/>
      <c r="C156" s="616"/>
      <c r="D156" s="616"/>
      <c r="E156" s="616"/>
      <c r="F156" s="616"/>
      <c r="G156" s="616"/>
      <c r="H156" s="1780"/>
      <c r="I156" s="616"/>
      <c r="J156" s="616"/>
      <c r="K156" s="1761"/>
      <c r="L156" s="1780"/>
      <c r="M156" s="619"/>
      <c r="N156" s="619"/>
    </row>
    <row r="157" spans="1:14" s="620" customFormat="1" ht="12" x14ac:dyDescent="0.2">
      <c r="A157" s="1763" t="s">
        <v>496</v>
      </c>
      <c r="B157" s="1764" t="s">
        <v>1844</v>
      </c>
      <c r="C157" s="616"/>
      <c r="D157" s="616"/>
      <c r="E157" s="616"/>
      <c r="F157" s="616"/>
      <c r="G157" s="616"/>
      <c r="H157" s="641"/>
      <c r="I157" s="616"/>
      <c r="J157" s="616"/>
      <c r="K157" s="1608">
        <f>H157</f>
        <v>0</v>
      </c>
      <c r="L157" s="467"/>
      <c r="M157" s="619"/>
      <c r="N157" s="619"/>
    </row>
    <row r="158" spans="1:14" s="620" customFormat="1" ht="12" x14ac:dyDescent="0.2">
      <c r="A158" s="1763" t="s">
        <v>304</v>
      </c>
      <c r="B158" s="1764" t="s">
        <v>1846</v>
      </c>
      <c r="C158" s="616"/>
      <c r="D158" s="616"/>
      <c r="E158" s="616"/>
      <c r="F158" s="616"/>
      <c r="G158" s="616"/>
      <c r="H158" s="467"/>
      <c r="I158" s="616"/>
      <c r="J158" s="616"/>
      <c r="K158" s="1608">
        <f>H158</f>
        <v>0</v>
      </c>
      <c r="L158" s="467"/>
      <c r="M158" s="619"/>
      <c r="N158" s="619"/>
    </row>
    <row r="159" spans="1:14" s="620" customFormat="1" ht="12" x14ac:dyDescent="0.2">
      <c r="A159" s="1763" t="s">
        <v>1847</v>
      </c>
      <c r="B159" s="1764" t="s">
        <v>558</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1848</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1170</v>
      </c>
      <c r="B165" s="614" t="s">
        <v>617</v>
      </c>
      <c r="C165" s="616"/>
      <c r="D165" s="616"/>
      <c r="E165" s="616"/>
      <c r="F165" s="616"/>
      <c r="G165" s="616"/>
      <c r="H165" s="466"/>
      <c r="I165" s="616"/>
      <c r="J165" s="616"/>
      <c r="K165" s="1608">
        <f>SUM(C165:J165)</f>
        <v>0</v>
      </c>
      <c r="L165" s="466"/>
    </row>
    <row r="166" spans="1:14" x14ac:dyDescent="0.2">
      <c r="A166" s="1442" t="s">
        <v>89</v>
      </c>
      <c r="B166" s="628" t="s">
        <v>589</v>
      </c>
      <c r="C166" s="616"/>
      <c r="D166" s="616"/>
      <c r="E166" s="616"/>
      <c r="F166" s="616"/>
      <c r="G166" s="616"/>
      <c r="H166" s="466"/>
      <c r="I166" s="616"/>
      <c r="J166" s="616"/>
      <c r="K166" s="1608">
        <f>SUM(C166:J166)</f>
        <v>0</v>
      </c>
      <c r="L166" s="466"/>
    </row>
    <row r="167" spans="1:14" ht="12.75" customHeight="1" x14ac:dyDescent="0.2">
      <c r="A167" s="1442" t="s">
        <v>619</v>
      </c>
      <c r="B167" s="614" t="s">
        <v>618</v>
      </c>
      <c r="C167" s="616"/>
      <c r="D167" s="616"/>
      <c r="E167" s="616"/>
      <c r="F167" s="616"/>
      <c r="G167" s="616"/>
      <c r="H167" s="466"/>
      <c r="I167" s="616"/>
      <c r="J167" s="616"/>
      <c r="K167" s="1608">
        <f>SUM(C167:J167)</f>
        <v>0</v>
      </c>
      <c r="L167" s="466"/>
    </row>
    <row r="168" spans="1:14" ht="13.5" thickBot="1" x14ac:dyDescent="0.25">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c r="I169" s="616"/>
      <c r="J169" s="616"/>
      <c r="K169" s="1608">
        <f>SUM(C169:H169)</f>
        <v>0</v>
      </c>
      <c r="L169" s="656"/>
    </row>
    <row r="170" spans="1:14" ht="33.75" customHeight="1" x14ac:dyDescent="0.2">
      <c r="A170" s="669" t="s">
        <v>1670</v>
      </c>
      <c r="B170" s="671" t="s">
        <v>31</v>
      </c>
      <c r="C170" s="616"/>
      <c r="D170" s="616"/>
      <c r="E170" s="616"/>
      <c r="F170" s="616"/>
      <c r="G170" s="616"/>
      <c r="H170" s="569">
        <v>86544</v>
      </c>
      <c r="I170" s="616"/>
      <c r="J170" s="616"/>
      <c r="K170" s="1608">
        <f>SUM(C170:J170)</f>
        <v>86544</v>
      </c>
      <c r="L170" s="569">
        <v>0</v>
      </c>
    </row>
    <row r="171" spans="1:14" ht="15.75" customHeight="1" x14ac:dyDescent="0.2">
      <c r="A171" s="621" t="s">
        <v>766</v>
      </c>
      <c r="B171" s="672" t="s">
        <v>84</v>
      </c>
      <c r="C171" s="616"/>
      <c r="D171" s="616"/>
      <c r="E171" s="466"/>
      <c r="F171" s="616"/>
      <c r="G171" s="616"/>
      <c r="H171" s="569"/>
      <c r="I171" s="477"/>
      <c r="J171" s="616"/>
      <c r="K171" s="1608">
        <f>SUM(C171:J171)</f>
        <v>0</v>
      </c>
      <c r="L171" s="569"/>
    </row>
    <row r="172" spans="1:14" ht="12.75" customHeight="1" thickBot="1" x14ac:dyDescent="0.25">
      <c r="A172" s="1605" t="s">
        <v>638</v>
      </c>
      <c r="B172" s="1606" t="s">
        <v>492</v>
      </c>
      <c r="C172" s="616"/>
      <c r="D172" s="616"/>
      <c r="E172" s="1614">
        <f>SUM(E168,E169,E170,E171)</f>
        <v>0</v>
      </c>
      <c r="F172" s="616"/>
      <c r="G172" s="616"/>
      <c r="H172" s="1614">
        <f>SUM(H168,H169,H170,H171)</f>
        <v>86544</v>
      </c>
      <c r="I172" s="638"/>
      <c r="J172" s="616"/>
      <c r="K172" s="1614">
        <f>SUM(K168,K169,K170,K171)</f>
        <v>86544</v>
      </c>
      <c r="L172" s="1614">
        <f>SUM(L168,L169,L170,L171)</f>
        <v>0</v>
      </c>
    </row>
    <row r="173" spans="1:14" ht="15.75" customHeight="1" thickTop="1" thickBot="1" x14ac:dyDescent="0.25">
      <c r="A173" s="1557" t="s">
        <v>85</v>
      </c>
      <c r="B173" s="1549" t="s">
        <v>861</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86544</v>
      </c>
      <c r="I174" s="638"/>
      <c r="J174" s="616"/>
      <c r="K174" s="1614">
        <f>SUM(K160,K172,K173)</f>
        <v>86544</v>
      </c>
      <c r="L174" s="1614">
        <f>SUM(L160,L172,L173)</f>
        <v>0</v>
      </c>
    </row>
    <row r="175" spans="1:14" ht="13.5" thickTop="1" x14ac:dyDescent="0.2">
      <c r="A175" s="2195" t="s">
        <v>996</v>
      </c>
      <c r="B175" s="2196"/>
      <c r="C175" s="616"/>
      <c r="D175" s="616"/>
      <c r="E175" s="616"/>
      <c r="F175" s="616"/>
      <c r="G175" s="616"/>
      <c r="H175" s="618"/>
      <c r="I175" s="616"/>
      <c r="J175" s="616"/>
      <c r="K175" s="1621">
        <f>'Revenues 9-14'!E268-'Expenditures 15-22'!K174</f>
        <v>-86230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937</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938</v>
      </c>
      <c r="B178" s="155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2" t="s">
        <v>2059</v>
      </c>
      <c r="B180" s="614" t="s">
        <v>716</v>
      </c>
      <c r="C180" s="466"/>
      <c r="D180" s="466"/>
      <c r="E180" s="466"/>
      <c r="F180" s="466"/>
      <c r="G180" s="466"/>
      <c r="H180" s="466"/>
      <c r="I180" s="467"/>
      <c r="J180" s="467"/>
      <c r="K180" s="160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2" t="s">
        <v>953</v>
      </c>
      <c r="B182" s="614">
        <v>2550</v>
      </c>
      <c r="C182" s="466">
        <v>12568</v>
      </c>
      <c r="D182" s="466">
        <v>1938</v>
      </c>
      <c r="E182" s="466">
        <v>2474829</v>
      </c>
      <c r="F182" s="466"/>
      <c r="G182" s="466"/>
      <c r="H182" s="466"/>
      <c r="I182" s="467"/>
      <c r="J182" s="467"/>
      <c r="K182" s="1608">
        <f>SUM(C182:J182)</f>
        <v>2489335</v>
      </c>
      <c r="L182" s="466">
        <v>2132308</v>
      </c>
    </row>
    <row r="183" spans="1:14" ht="12.75" customHeight="1" thickBot="1" x14ac:dyDescent="0.25">
      <c r="A183" s="1447" t="s">
        <v>980</v>
      </c>
      <c r="B183" s="677">
        <v>2900</v>
      </c>
      <c r="C183" s="573"/>
      <c r="D183" s="573"/>
      <c r="E183" s="573"/>
      <c r="F183" s="573"/>
      <c r="G183" s="573"/>
      <c r="H183" s="573"/>
      <c r="I183" s="532"/>
      <c r="J183" s="532"/>
      <c r="K183" s="1614">
        <f>SUM(C183:J183)</f>
        <v>0</v>
      </c>
      <c r="L183" s="573">
        <v>250000</v>
      </c>
    </row>
    <row r="184" spans="1:14" ht="12.75" customHeight="1" thickTop="1" thickBot="1" x14ac:dyDescent="0.25">
      <c r="A184" s="1628" t="s">
        <v>811</v>
      </c>
      <c r="B184" s="1606" t="s">
        <v>569</v>
      </c>
      <c r="C184" s="1614">
        <f>SUM(C180,C182,C183)</f>
        <v>12568</v>
      </c>
      <c r="D184" s="1614">
        <f t="shared" ref="D184:J184" si="17">SUM(D180,D182,D183)</f>
        <v>1938</v>
      </c>
      <c r="E184" s="1614">
        <f t="shared" si="17"/>
        <v>2474829</v>
      </c>
      <c r="F184" s="1614">
        <f t="shared" si="17"/>
        <v>0</v>
      </c>
      <c r="G184" s="1614">
        <f t="shared" si="17"/>
        <v>0</v>
      </c>
      <c r="H184" s="1614">
        <f t="shared" si="17"/>
        <v>0</v>
      </c>
      <c r="I184" s="1614">
        <f t="shared" si="17"/>
        <v>0</v>
      </c>
      <c r="J184" s="1614">
        <f t="shared" si="17"/>
        <v>0</v>
      </c>
      <c r="K184" s="1614">
        <f>SUM(K180,K182,K183)</f>
        <v>2489335</v>
      </c>
      <c r="L184" s="1614">
        <f>SUM(L180, L182:L183)</f>
        <v>2382308</v>
      </c>
    </row>
    <row r="185" spans="1:14" ht="15.75" customHeight="1" thickTop="1" thickBot="1" x14ac:dyDescent="0.25">
      <c r="A185" s="1560" t="s">
        <v>939</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2" t="s">
        <v>496</v>
      </c>
      <c r="B188" s="614">
        <v>4110</v>
      </c>
      <c r="C188" s="616"/>
      <c r="D188" s="616"/>
      <c r="E188" s="466"/>
      <c r="F188" s="616"/>
      <c r="G188" s="616"/>
      <c r="H188" s="466"/>
      <c r="I188" s="477"/>
      <c r="J188" s="616"/>
      <c r="K188" s="1608">
        <f t="shared" ref="K188:K193" si="18">SUM(E188,H188)</f>
        <v>0</v>
      </c>
      <c r="L188" s="466"/>
    </row>
    <row r="189" spans="1:14" x14ac:dyDescent="0.2">
      <c r="A189" s="1442" t="s">
        <v>304</v>
      </c>
      <c r="B189" s="614">
        <v>4120</v>
      </c>
      <c r="C189" s="616"/>
      <c r="D189" s="616"/>
      <c r="E189" s="466"/>
      <c r="F189" s="616"/>
      <c r="G189" s="616"/>
      <c r="H189" s="466"/>
      <c r="I189" s="477"/>
      <c r="J189" s="616"/>
      <c r="K189" s="1608">
        <f t="shared" si="18"/>
        <v>0</v>
      </c>
      <c r="L189" s="466"/>
    </row>
    <row r="190" spans="1:14" x14ac:dyDescent="0.2">
      <c r="A190" s="1442" t="s">
        <v>305</v>
      </c>
      <c r="B190" s="628">
        <v>4130</v>
      </c>
      <c r="C190" s="616"/>
      <c r="D190" s="616"/>
      <c r="E190" s="466"/>
      <c r="F190" s="616"/>
      <c r="G190" s="616"/>
      <c r="H190" s="466"/>
      <c r="I190" s="477"/>
      <c r="J190" s="616"/>
      <c r="K190" s="1608">
        <f t="shared" si="18"/>
        <v>0</v>
      </c>
      <c r="L190" s="466"/>
    </row>
    <row r="191" spans="1:14" x14ac:dyDescent="0.2">
      <c r="A191" s="1442" t="s">
        <v>697</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698</v>
      </c>
      <c r="B193" s="628">
        <v>4190</v>
      </c>
      <c r="C193" s="616"/>
      <c r="D193" s="616"/>
      <c r="E193" s="466"/>
      <c r="F193" s="616"/>
      <c r="G193" s="616"/>
      <c r="H193" s="466"/>
      <c r="I193" s="477"/>
      <c r="J193" s="616"/>
      <c r="K193" s="1608">
        <f t="shared" si="18"/>
        <v>0</v>
      </c>
      <c r="L193" s="466"/>
    </row>
    <row r="194" spans="1:14" ht="12.75" customHeight="1" thickBot="1" x14ac:dyDescent="0.25">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931</v>
      </c>
      <c r="C195" s="616"/>
      <c r="D195" s="616"/>
      <c r="E195" s="656"/>
      <c r="F195" s="616"/>
      <c r="G195" s="616"/>
      <c r="H195" s="656"/>
      <c r="I195" s="477"/>
      <c r="J195" s="616"/>
      <c r="K195" s="1622">
        <f>SUM(E195,H195)</f>
        <v>0</v>
      </c>
      <c r="L195" s="656"/>
    </row>
    <row r="196" spans="1:14" ht="12.75" customHeight="1" thickBot="1" x14ac:dyDescent="0.25">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940</v>
      </c>
      <c r="B197" s="154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1170</v>
      </c>
      <c r="B201" s="628" t="s">
        <v>617</v>
      </c>
      <c r="C201" s="616"/>
      <c r="D201" s="616"/>
      <c r="E201" s="616"/>
      <c r="F201" s="616"/>
      <c r="G201" s="616"/>
      <c r="H201" s="466"/>
      <c r="I201" s="616"/>
      <c r="J201" s="616"/>
      <c r="K201" s="1608">
        <f>SUM(H201)</f>
        <v>0</v>
      </c>
      <c r="L201" s="466"/>
    </row>
    <row r="202" spans="1:14" x14ac:dyDescent="0.2">
      <c r="A202" s="1442" t="s">
        <v>89</v>
      </c>
      <c r="B202" s="614" t="s">
        <v>589</v>
      </c>
      <c r="C202" s="616"/>
      <c r="D202" s="616"/>
      <c r="E202" s="616"/>
      <c r="F202" s="616"/>
      <c r="G202" s="616"/>
      <c r="H202" s="466"/>
      <c r="I202" s="616"/>
      <c r="J202" s="616"/>
      <c r="K202" s="1608">
        <f>SUM(H202)</f>
        <v>0</v>
      </c>
      <c r="L202" s="466"/>
    </row>
    <row r="203" spans="1:14" x14ac:dyDescent="0.2">
      <c r="A203" s="1454" t="s">
        <v>619</v>
      </c>
      <c r="B203" s="614" t="s">
        <v>618</v>
      </c>
      <c r="C203" s="616"/>
      <c r="D203" s="616"/>
      <c r="E203" s="616"/>
      <c r="F203" s="616"/>
      <c r="G203" s="616"/>
      <c r="H203" s="471"/>
      <c r="I203" s="616"/>
      <c r="J203" s="616"/>
      <c r="K203" s="1608">
        <f>SUM(H203)</f>
        <v>0</v>
      </c>
      <c r="L203" s="471"/>
    </row>
    <row r="204" spans="1:14" ht="13.5" thickBot="1" x14ac:dyDescent="0.25">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1671</v>
      </c>
      <c r="B206" s="672" t="s">
        <v>31</v>
      </c>
      <c r="C206" s="616"/>
      <c r="D206" s="616"/>
      <c r="E206" s="616"/>
      <c r="F206" s="616"/>
      <c r="G206" s="616"/>
      <c r="H206" s="466"/>
      <c r="I206" s="616"/>
      <c r="J206" s="616"/>
      <c r="K206" s="1608">
        <f>SUM(H206)</f>
        <v>0</v>
      </c>
      <c r="L206" s="466"/>
    </row>
    <row r="207" spans="1:14" ht="15.75" customHeight="1" x14ac:dyDescent="0.2">
      <c r="A207" s="621" t="s">
        <v>766</v>
      </c>
      <c r="B207" s="672" t="s">
        <v>84</v>
      </c>
      <c r="C207" s="616"/>
      <c r="D207" s="616"/>
      <c r="E207" s="616"/>
      <c r="F207" s="616"/>
      <c r="G207" s="616"/>
      <c r="H207" s="467"/>
      <c r="I207" s="616"/>
      <c r="J207" s="616"/>
      <c r="K207" s="1608">
        <f>H207</f>
        <v>0</v>
      </c>
      <c r="L207" s="466"/>
    </row>
    <row r="208" spans="1:14" ht="12.75" customHeight="1" thickBot="1" x14ac:dyDescent="0.25">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872</v>
      </c>
      <c r="B209" s="1551" t="s">
        <v>861</v>
      </c>
      <c r="C209" s="623"/>
      <c r="D209" s="623"/>
      <c r="E209" s="623"/>
      <c r="F209" s="623"/>
      <c r="G209" s="623"/>
      <c r="H209" s="623"/>
      <c r="I209" s="616"/>
      <c r="J209" s="616"/>
      <c r="K209" s="623"/>
      <c r="L209" s="576"/>
    </row>
    <row r="210" spans="1:14" ht="12.75" customHeight="1" thickTop="1" thickBot="1" x14ac:dyDescent="0.25">
      <c r="A210" s="1629" t="s">
        <v>277</v>
      </c>
      <c r="B210" s="1630"/>
      <c r="C210" s="1607">
        <f>SUM(C184,C185)</f>
        <v>12568</v>
      </c>
      <c r="D210" s="1607">
        <f>SUM(D184,D185)</f>
        <v>1938</v>
      </c>
      <c r="E210" s="1607">
        <f>SUM(E184,E185,E196)</f>
        <v>2474829</v>
      </c>
      <c r="F210" s="1607">
        <f>SUM(F184,F185)</f>
        <v>0</v>
      </c>
      <c r="G210" s="1607">
        <f>SUM(G184,G185)</f>
        <v>0</v>
      </c>
      <c r="H210" s="1607">
        <f>SUM(H184,H185,H196,H208,H209)</f>
        <v>0</v>
      </c>
      <c r="I210" s="1607">
        <f>SUM(I184,I185)</f>
        <v>0</v>
      </c>
      <c r="J210" s="1607">
        <f>SUM(J184,J185)</f>
        <v>0</v>
      </c>
      <c r="K210" s="1608">
        <f>SUM(K184,K185,K196,K208,K209)</f>
        <v>2489335</v>
      </c>
      <c r="L210" s="1607">
        <f>SUM(L184,L185,L196,L208,L209)</f>
        <v>2382308</v>
      </c>
    </row>
    <row r="211" spans="1:14" ht="13.5" thickTop="1" x14ac:dyDescent="0.2">
      <c r="A211" s="2195" t="s">
        <v>996</v>
      </c>
      <c r="B211" s="2196"/>
      <c r="C211" s="618"/>
      <c r="D211" s="618"/>
      <c r="E211" s="618"/>
      <c r="F211" s="618"/>
      <c r="G211" s="618"/>
      <c r="H211" s="618"/>
      <c r="I211" s="616"/>
      <c r="J211" s="616"/>
      <c r="K211" s="1621">
        <f>'Revenues 9-14'!F268-'Expenditures 15-22'!K210</f>
        <v>-389174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489"/>
      <c r="D213" s="1490"/>
      <c r="E213" s="1490"/>
      <c r="F213" s="1490"/>
      <c r="G213" s="1490"/>
      <c r="H213" s="1490"/>
      <c r="I213" s="1490"/>
      <c r="J213" s="1490"/>
      <c r="K213" s="1490"/>
      <c r="L213" s="1491"/>
      <c r="M213" s="609"/>
      <c r="N213" s="609"/>
    </row>
    <row r="214" spans="1:14" s="674" customFormat="1" ht="15.75" customHeight="1" x14ac:dyDescent="0.2">
      <c r="A214" s="1561" t="s">
        <v>873</v>
      </c>
      <c r="B214" s="1553" t="s">
        <v>570</v>
      </c>
      <c r="C214" s="616"/>
      <c r="D214" s="623"/>
      <c r="E214" s="616"/>
      <c r="F214" s="616"/>
      <c r="G214" s="616"/>
      <c r="H214" s="616"/>
      <c r="I214" s="616"/>
      <c r="J214" s="616"/>
      <c r="K214" s="623"/>
      <c r="L214" s="623"/>
      <c r="M214" s="665"/>
      <c r="N214" s="665"/>
    </row>
    <row r="215" spans="1:14" x14ac:dyDescent="0.2">
      <c r="A215" s="1442" t="s">
        <v>961</v>
      </c>
      <c r="B215" s="614">
        <v>1100</v>
      </c>
      <c r="C215" s="616"/>
      <c r="D215" s="466">
        <f>177191+1045</f>
        <v>178236</v>
      </c>
      <c r="E215" s="616"/>
      <c r="F215" s="616"/>
      <c r="G215" s="616"/>
      <c r="H215" s="616"/>
      <c r="I215" s="616"/>
      <c r="J215" s="616"/>
      <c r="K215" s="1608">
        <f>D215</f>
        <v>178236</v>
      </c>
      <c r="L215" s="466">
        <f>192475+525</f>
        <v>193000</v>
      </c>
    </row>
    <row r="216" spans="1:14" x14ac:dyDescent="0.2">
      <c r="A216" s="1442" t="s">
        <v>163</v>
      </c>
      <c r="B216" s="614" t="s">
        <v>967</v>
      </c>
      <c r="C216" s="616"/>
      <c r="D216" s="467">
        <f>11373+18067</f>
        <v>29440</v>
      </c>
      <c r="E216" s="616"/>
      <c r="F216" s="616"/>
      <c r="G216" s="616"/>
      <c r="H216" s="616"/>
      <c r="I216" s="616"/>
      <c r="J216" s="616"/>
      <c r="K216" s="1608">
        <f t="shared" ref="K216:K228" si="19">D216</f>
        <v>29440</v>
      </c>
      <c r="L216" s="466">
        <f>10550+13200</f>
        <v>23750</v>
      </c>
    </row>
    <row r="217" spans="1:14" x14ac:dyDescent="0.2">
      <c r="A217" s="1442" t="s">
        <v>164</v>
      </c>
      <c r="B217" s="614">
        <v>1200</v>
      </c>
      <c r="C217" s="616"/>
      <c r="D217" s="466">
        <f>100903+158087</f>
        <v>258990</v>
      </c>
      <c r="E217" s="616"/>
      <c r="F217" s="616"/>
      <c r="G217" s="616"/>
      <c r="H217" s="616"/>
      <c r="I217" s="616"/>
      <c r="J217" s="616"/>
      <c r="K217" s="1608">
        <f t="shared" si="19"/>
        <v>258990</v>
      </c>
      <c r="L217" s="466">
        <f>101225+115250</f>
        <v>216475</v>
      </c>
    </row>
    <row r="218" spans="1:14" x14ac:dyDescent="0.2">
      <c r="A218" s="1442" t="s">
        <v>278</v>
      </c>
      <c r="B218" s="614" t="s">
        <v>968</v>
      </c>
      <c r="C218" s="616"/>
      <c r="D218" s="467">
        <f>10168+23074</f>
        <v>33242</v>
      </c>
      <c r="E218" s="616"/>
      <c r="F218" s="616"/>
      <c r="G218" s="616"/>
      <c r="H218" s="616"/>
      <c r="I218" s="616"/>
      <c r="J218" s="616"/>
      <c r="K218" s="1608">
        <f t="shared" si="19"/>
        <v>33242</v>
      </c>
      <c r="L218" s="466">
        <f>9725+14275</f>
        <v>24000</v>
      </c>
    </row>
    <row r="219" spans="1:14" x14ac:dyDescent="0.2">
      <c r="A219" s="1442" t="s">
        <v>279</v>
      </c>
      <c r="B219" s="614">
        <v>1250</v>
      </c>
      <c r="C219" s="616"/>
      <c r="D219" s="466">
        <f>18910+49169</f>
        <v>68079</v>
      </c>
      <c r="E219" s="616"/>
      <c r="F219" s="616"/>
      <c r="G219" s="616"/>
      <c r="H219" s="616"/>
      <c r="I219" s="616"/>
      <c r="J219" s="616"/>
      <c r="K219" s="1608">
        <f t="shared" si="19"/>
        <v>68079</v>
      </c>
      <c r="L219" s="466">
        <f>19925+39375</f>
        <v>59300</v>
      </c>
    </row>
    <row r="220" spans="1:14" x14ac:dyDescent="0.2">
      <c r="A220" s="1442" t="s">
        <v>280</v>
      </c>
      <c r="B220" s="614" t="s">
        <v>161</v>
      </c>
      <c r="C220" s="616"/>
      <c r="D220" s="467"/>
      <c r="E220" s="616"/>
      <c r="F220" s="616"/>
      <c r="G220" s="616"/>
      <c r="H220" s="616"/>
      <c r="I220" s="616"/>
      <c r="J220" s="616"/>
      <c r="K220" s="1608">
        <f t="shared" si="19"/>
        <v>0</v>
      </c>
      <c r="L220" s="466"/>
    </row>
    <row r="221" spans="1:14" x14ac:dyDescent="0.2">
      <c r="A221" s="1442" t="s">
        <v>962</v>
      </c>
      <c r="B221" s="614">
        <v>1300</v>
      </c>
      <c r="C221" s="616"/>
      <c r="D221" s="466"/>
      <c r="E221" s="616"/>
      <c r="F221" s="616"/>
      <c r="G221" s="616"/>
      <c r="H221" s="616"/>
      <c r="I221" s="616"/>
      <c r="J221" s="616"/>
      <c r="K221" s="1608">
        <f t="shared" si="19"/>
        <v>0</v>
      </c>
      <c r="L221" s="466"/>
    </row>
    <row r="222" spans="1:14" x14ac:dyDescent="0.2">
      <c r="A222" s="1442" t="s">
        <v>723</v>
      </c>
      <c r="B222" s="614">
        <v>1400</v>
      </c>
      <c r="C222" s="616"/>
      <c r="D222" s="466"/>
      <c r="E222" s="616"/>
      <c r="F222" s="616"/>
      <c r="G222" s="616"/>
      <c r="H222" s="616"/>
      <c r="I222" s="616"/>
      <c r="J222" s="616"/>
      <c r="K222" s="1608">
        <f t="shared" si="19"/>
        <v>0</v>
      </c>
      <c r="L222" s="466"/>
    </row>
    <row r="223" spans="1:14" x14ac:dyDescent="0.2">
      <c r="A223" s="1442" t="s">
        <v>963</v>
      </c>
      <c r="B223" s="614">
        <v>1500</v>
      </c>
      <c r="C223" s="616"/>
      <c r="D223" s="466">
        <f>2955+2528</f>
        <v>5483</v>
      </c>
      <c r="E223" s="616"/>
      <c r="F223" s="616"/>
      <c r="G223" s="616"/>
      <c r="H223" s="616"/>
      <c r="I223" s="616"/>
      <c r="J223" s="616"/>
      <c r="K223" s="1608">
        <f t="shared" si="19"/>
        <v>5483</v>
      </c>
      <c r="L223" s="466">
        <f>5100+1150</f>
        <v>6250</v>
      </c>
    </row>
    <row r="224" spans="1:14" x14ac:dyDescent="0.2">
      <c r="A224" s="1442" t="s">
        <v>964</v>
      </c>
      <c r="B224" s="614">
        <v>1600</v>
      </c>
      <c r="C224" s="616"/>
      <c r="D224" s="466"/>
      <c r="E224" s="616"/>
      <c r="F224" s="616"/>
      <c r="G224" s="616"/>
      <c r="H224" s="616"/>
      <c r="I224" s="616"/>
      <c r="J224" s="616"/>
      <c r="K224" s="1608">
        <f t="shared" si="19"/>
        <v>0</v>
      </c>
      <c r="L224" s="466"/>
    </row>
    <row r="225" spans="1:12" x14ac:dyDescent="0.2">
      <c r="A225" s="1442" t="s">
        <v>987</v>
      </c>
      <c r="B225" s="614">
        <v>1650</v>
      </c>
      <c r="C225" s="616"/>
      <c r="D225" s="466">
        <f>10032+3397</f>
        <v>13429</v>
      </c>
      <c r="E225" s="616"/>
      <c r="F225" s="616"/>
      <c r="G225" s="616"/>
      <c r="H225" s="616"/>
      <c r="I225" s="616"/>
      <c r="J225" s="616"/>
      <c r="K225" s="1608">
        <f t="shared" si="19"/>
        <v>13429</v>
      </c>
      <c r="L225" s="466">
        <v>10450</v>
      </c>
    </row>
    <row r="226" spans="1:12" x14ac:dyDescent="0.2">
      <c r="A226" s="1442" t="s">
        <v>724</v>
      </c>
      <c r="B226" s="614" t="s">
        <v>162</v>
      </c>
      <c r="C226" s="616"/>
      <c r="D226" s="467"/>
      <c r="E226" s="616"/>
      <c r="F226" s="616"/>
      <c r="G226" s="616"/>
      <c r="H226" s="616"/>
      <c r="I226" s="616"/>
      <c r="J226" s="616"/>
      <c r="K226" s="1608">
        <f t="shared" si="19"/>
        <v>0</v>
      </c>
      <c r="L226" s="466"/>
    </row>
    <row r="227" spans="1:12" x14ac:dyDescent="0.2">
      <c r="A227" s="1442" t="s">
        <v>1087</v>
      </c>
      <c r="B227" s="614">
        <v>1800</v>
      </c>
      <c r="C227" s="616"/>
      <c r="D227" s="466">
        <v>20472</v>
      </c>
      <c r="E227" s="616"/>
      <c r="F227" s="616"/>
      <c r="G227" s="616"/>
      <c r="H227" s="616"/>
      <c r="I227" s="616"/>
      <c r="J227" s="616"/>
      <c r="K227" s="1608">
        <f t="shared" si="19"/>
        <v>20472</v>
      </c>
      <c r="L227" s="466">
        <f>22850+10025</f>
        <v>32875</v>
      </c>
    </row>
    <row r="228" spans="1:12" x14ac:dyDescent="0.2">
      <c r="A228" s="1442" t="s">
        <v>1088</v>
      </c>
      <c r="B228" s="614">
        <v>1900</v>
      </c>
      <c r="C228" s="616"/>
      <c r="D228" s="466"/>
      <c r="E228" s="616"/>
      <c r="F228" s="616"/>
      <c r="G228" s="616"/>
      <c r="H228" s="616"/>
      <c r="I228" s="616"/>
      <c r="J228" s="616"/>
      <c r="K228" s="1608">
        <f t="shared" si="19"/>
        <v>0</v>
      </c>
      <c r="L228" s="466"/>
    </row>
    <row r="229" spans="1:12" ht="12.75" customHeight="1" thickBot="1" x14ac:dyDescent="0.25">
      <c r="A229" s="1605" t="s">
        <v>715</v>
      </c>
      <c r="B229" s="1612" t="s">
        <v>570</v>
      </c>
      <c r="C229" s="616"/>
      <c r="D229" s="1607">
        <f>SUM(D215:D228)</f>
        <v>607371</v>
      </c>
      <c r="E229" s="616"/>
      <c r="F229" s="616"/>
      <c r="G229" s="616"/>
      <c r="H229" s="616"/>
      <c r="I229" s="616"/>
      <c r="J229" s="616"/>
      <c r="K229" s="1607">
        <f>SUM(K215:K228)</f>
        <v>607371</v>
      </c>
      <c r="L229" s="1607">
        <f>SUM(L215:L228)</f>
        <v>566100</v>
      </c>
    </row>
    <row r="230" spans="1:12" ht="15.75" customHeight="1" thickTop="1" x14ac:dyDescent="0.2">
      <c r="A230" s="1550" t="s">
        <v>874</v>
      </c>
      <c r="B230" s="155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2" t="s">
        <v>1089</v>
      </c>
      <c r="B232" s="614">
        <v>2110</v>
      </c>
      <c r="C232" s="616"/>
      <c r="D232" s="466">
        <v>9605</v>
      </c>
      <c r="E232" s="616"/>
      <c r="F232" s="616"/>
      <c r="G232" s="616"/>
      <c r="H232" s="616"/>
      <c r="I232" s="616"/>
      <c r="J232" s="616"/>
      <c r="K232" s="1608">
        <f t="shared" ref="K232:K237" si="20">D232</f>
        <v>9605</v>
      </c>
      <c r="L232" s="466">
        <v>10300</v>
      </c>
    </row>
    <row r="233" spans="1:12" x14ac:dyDescent="0.2">
      <c r="A233" s="1442" t="s">
        <v>1090</v>
      </c>
      <c r="B233" s="614">
        <v>2120</v>
      </c>
      <c r="C233" s="616"/>
      <c r="D233" s="466">
        <v>1098</v>
      </c>
      <c r="E233" s="616"/>
      <c r="F233" s="616"/>
      <c r="G233" s="616"/>
      <c r="H233" s="616"/>
      <c r="I233" s="616"/>
      <c r="J233" s="616"/>
      <c r="K233" s="1608">
        <f t="shared" si="20"/>
        <v>1098</v>
      </c>
      <c r="L233" s="466">
        <v>1125</v>
      </c>
    </row>
    <row r="234" spans="1:12" x14ac:dyDescent="0.2">
      <c r="A234" s="1442" t="s">
        <v>198</v>
      </c>
      <c r="B234" s="614">
        <v>2130</v>
      </c>
      <c r="C234" s="616"/>
      <c r="D234" s="466">
        <f>36338+97858</f>
        <v>134196</v>
      </c>
      <c r="E234" s="616"/>
      <c r="F234" s="616"/>
      <c r="G234" s="616"/>
      <c r="H234" s="616"/>
      <c r="I234" s="616"/>
      <c r="J234" s="616"/>
      <c r="K234" s="1608">
        <f t="shared" si="20"/>
        <v>134196</v>
      </c>
      <c r="L234" s="466">
        <f>40000+75925</f>
        <v>115925</v>
      </c>
    </row>
    <row r="235" spans="1:12" x14ac:dyDescent="0.2">
      <c r="A235" s="1442" t="s">
        <v>199</v>
      </c>
      <c r="B235" s="614">
        <v>2140</v>
      </c>
      <c r="C235" s="616"/>
      <c r="D235" s="466">
        <v>6114</v>
      </c>
      <c r="E235" s="616"/>
      <c r="F235" s="616"/>
      <c r="G235" s="616"/>
      <c r="H235" s="616"/>
      <c r="I235" s="616"/>
      <c r="J235" s="616"/>
      <c r="K235" s="1608">
        <f t="shared" si="20"/>
        <v>6114</v>
      </c>
      <c r="L235" s="466">
        <v>6250</v>
      </c>
    </row>
    <row r="236" spans="1:12" x14ac:dyDescent="0.2">
      <c r="A236" s="1442" t="s">
        <v>200</v>
      </c>
      <c r="B236" s="614">
        <v>2150</v>
      </c>
      <c r="C236" s="616"/>
      <c r="D236" s="466">
        <v>11161</v>
      </c>
      <c r="E236" s="616"/>
      <c r="F236" s="616"/>
      <c r="G236" s="616"/>
      <c r="H236" s="616"/>
      <c r="I236" s="616"/>
      <c r="J236" s="616"/>
      <c r="K236" s="1608">
        <f t="shared" si="20"/>
        <v>11161</v>
      </c>
      <c r="L236" s="466">
        <v>12025</v>
      </c>
    </row>
    <row r="237" spans="1:12" x14ac:dyDescent="0.2">
      <c r="A237" s="1442" t="s">
        <v>165</v>
      </c>
      <c r="B237" s="614">
        <v>2190</v>
      </c>
      <c r="C237" s="616"/>
      <c r="D237" s="466">
        <f>371+410</f>
        <v>781</v>
      </c>
      <c r="E237" s="616"/>
      <c r="F237" s="616"/>
      <c r="G237" s="616"/>
      <c r="H237" s="616"/>
      <c r="I237" s="616"/>
      <c r="J237" s="616"/>
      <c r="K237" s="1608">
        <f t="shared" si="20"/>
        <v>781</v>
      </c>
      <c r="L237" s="466">
        <v>375</v>
      </c>
    </row>
    <row r="238" spans="1:12" ht="12.75" customHeight="1" thickBot="1" x14ac:dyDescent="0.25">
      <c r="A238" s="1605" t="s">
        <v>560</v>
      </c>
      <c r="B238" s="1612" t="s">
        <v>716</v>
      </c>
      <c r="C238" s="616"/>
      <c r="D238" s="1607">
        <f>SUM(D232:D237)</f>
        <v>162955</v>
      </c>
      <c r="E238" s="616"/>
      <c r="F238" s="616"/>
      <c r="G238" s="616"/>
      <c r="H238" s="616"/>
      <c r="I238" s="616"/>
      <c r="J238" s="616"/>
      <c r="K238" s="1607">
        <f>SUM(K232:K237)</f>
        <v>162955</v>
      </c>
      <c r="L238" s="1607">
        <f>SUM(L232:L237)</f>
        <v>146000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2" t="s">
        <v>814</v>
      </c>
      <c r="B240" s="614">
        <v>2210</v>
      </c>
      <c r="C240" s="616"/>
      <c r="D240" s="481">
        <f>15282+16202</f>
        <v>31484</v>
      </c>
      <c r="E240" s="616"/>
      <c r="F240" s="616"/>
      <c r="G240" s="616"/>
      <c r="H240" s="616"/>
      <c r="I240" s="616"/>
      <c r="J240" s="616"/>
      <c r="K240" s="1609">
        <f>D240</f>
        <v>31484</v>
      </c>
      <c r="L240" s="481">
        <f>16300+18325</f>
        <v>34625</v>
      </c>
    </row>
    <row r="241" spans="1:12" x14ac:dyDescent="0.2">
      <c r="A241" s="1442" t="s">
        <v>815</v>
      </c>
      <c r="B241" s="614">
        <v>2220</v>
      </c>
      <c r="C241" s="616"/>
      <c r="D241" s="466">
        <f>28288+18503</f>
        <v>46791</v>
      </c>
      <c r="E241" s="616"/>
      <c r="F241" s="616"/>
      <c r="G241" s="616"/>
      <c r="H241" s="616"/>
      <c r="I241" s="616"/>
      <c r="J241" s="616"/>
      <c r="K241" s="1609">
        <f>D241</f>
        <v>46791</v>
      </c>
      <c r="L241" s="466">
        <f>20600+19275</f>
        <v>39875</v>
      </c>
    </row>
    <row r="242" spans="1:12" x14ac:dyDescent="0.2">
      <c r="A242" s="1442" t="s">
        <v>816</v>
      </c>
      <c r="B242" s="614">
        <v>2230</v>
      </c>
      <c r="C242" s="616"/>
      <c r="D242" s="466">
        <v>141</v>
      </c>
      <c r="E242" s="616"/>
      <c r="F242" s="616"/>
      <c r="G242" s="616"/>
      <c r="H242" s="616"/>
      <c r="I242" s="616"/>
      <c r="J242" s="616"/>
      <c r="K242" s="1609">
        <f>D242</f>
        <v>141</v>
      </c>
      <c r="L242" s="466">
        <v>150</v>
      </c>
    </row>
    <row r="243" spans="1:12" ht="12.75" customHeight="1" thickBot="1" x14ac:dyDescent="0.25">
      <c r="A243" s="1631" t="s">
        <v>561</v>
      </c>
      <c r="B243" s="1632">
        <v>2200</v>
      </c>
      <c r="C243" s="616"/>
      <c r="D243" s="1607">
        <f>SUM(D240:D242)</f>
        <v>78416</v>
      </c>
      <c r="E243" s="616"/>
      <c r="F243" s="616"/>
      <c r="G243" s="616"/>
      <c r="H243" s="616"/>
      <c r="I243" s="616"/>
      <c r="J243" s="616"/>
      <c r="K243" s="1607">
        <f>SUM(K240:K242)</f>
        <v>78416</v>
      </c>
      <c r="L243" s="1607">
        <f>SUM(L240:L242)</f>
        <v>74650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2" t="s">
        <v>817</v>
      </c>
      <c r="B245" s="614">
        <v>2310</v>
      </c>
      <c r="C245" s="616"/>
      <c r="D245" s="481">
        <f>991+412</f>
        <v>1403</v>
      </c>
      <c r="E245" s="616"/>
      <c r="F245" s="616"/>
      <c r="G245" s="616"/>
      <c r="H245" s="616"/>
      <c r="I245" s="616"/>
      <c r="J245" s="616"/>
      <c r="K245" s="1609">
        <f>D245</f>
        <v>1403</v>
      </c>
      <c r="L245" s="481">
        <f>775+475</f>
        <v>1250</v>
      </c>
    </row>
    <row r="246" spans="1:12" x14ac:dyDescent="0.2">
      <c r="A246" s="1442" t="s">
        <v>818</v>
      </c>
      <c r="B246" s="614">
        <v>2320</v>
      </c>
      <c r="C246" s="616"/>
      <c r="D246" s="466">
        <f>14003+10919</f>
        <v>24922</v>
      </c>
      <c r="E246" s="616"/>
      <c r="F246" s="616"/>
      <c r="G246" s="616"/>
      <c r="H246" s="616"/>
      <c r="I246" s="616"/>
      <c r="J246" s="616"/>
      <c r="K246" s="1609">
        <f t="shared" ref="K246:K256" si="21">D246</f>
        <v>24922</v>
      </c>
      <c r="L246" s="466">
        <f>10625+11475</f>
        <v>22100</v>
      </c>
    </row>
    <row r="247" spans="1:12" x14ac:dyDescent="0.2">
      <c r="A247" s="1442" t="s">
        <v>819</v>
      </c>
      <c r="B247" s="614">
        <v>2330</v>
      </c>
      <c r="C247" s="616"/>
      <c r="D247" s="466">
        <f>12032+6553</f>
        <v>18585</v>
      </c>
      <c r="E247" s="616"/>
      <c r="F247" s="616"/>
      <c r="G247" s="616"/>
      <c r="H247" s="616"/>
      <c r="I247" s="616"/>
      <c r="J247" s="616"/>
      <c r="K247" s="1609">
        <f t="shared" si="21"/>
        <v>18585</v>
      </c>
      <c r="L247" s="466">
        <f>9250+8775</f>
        <v>18025</v>
      </c>
    </row>
    <row r="248" spans="1:12" x14ac:dyDescent="0.2">
      <c r="A248" s="1443" t="s">
        <v>299</v>
      </c>
      <c r="B248" s="602" t="s">
        <v>281</v>
      </c>
      <c r="C248" s="616"/>
      <c r="D248" s="474"/>
      <c r="E248" s="616"/>
      <c r="F248" s="616"/>
      <c r="G248" s="616"/>
      <c r="H248" s="616"/>
      <c r="I248" s="616"/>
      <c r="J248" s="616"/>
      <c r="K248" s="1609">
        <f t="shared" si="21"/>
        <v>0</v>
      </c>
      <c r="L248" s="466"/>
    </row>
    <row r="249" spans="1:12" x14ac:dyDescent="0.2">
      <c r="A249" s="1444" t="s">
        <v>1804</v>
      </c>
      <c r="B249" s="683" t="s">
        <v>282</v>
      </c>
      <c r="C249" s="616"/>
      <c r="D249" s="474"/>
      <c r="E249" s="616"/>
      <c r="F249" s="616"/>
      <c r="G249" s="616"/>
      <c r="H249" s="616"/>
      <c r="I249" s="616"/>
      <c r="J249" s="616"/>
      <c r="K249" s="1609">
        <f t="shared" si="21"/>
        <v>0</v>
      </c>
      <c r="L249" s="466"/>
    </row>
    <row r="250" spans="1:12" x14ac:dyDescent="0.2">
      <c r="A250" s="1443" t="s">
        <v>1805</v>
      </c>
      <c r="B250" s="602" t="s">
        <v>283</v>
      </c>
      <c r="C250" s="616"/>
      <c r="D250" s="474"/>
      <c r="E250" s="616"/>
      <c r="F250" s="616"/>
      <c r="G250" s="616"/>
      <c r="H250" s="616"/>
      <c r="I250" s="616"/>
      <c r="J250" s="616"/>
      <c r="K250" s="1609">
        <f t="shared" si="21"/>
        <v>0</v>
      </c>
      <c r="L250" s="466"/>
    </row>
    <row r="251" spans="1:12" x14ac:dyDescent="0.2">
      <c r="A251" s="1443" t="s">
        <v>238</v>
      </c>
      <c r="B251" s="602" t="s">
        <v>284</v>
      </c>
      <c r="C251" s="616"/>
      <c r="D251" s="474"/>
      <c r="E251" s="616"/>
      <c r="F251" s="616"/>
      <c r="G251" s="616"/>
      <c r="H251" s="616"/>
      <c r="I251" s="616"/>
      <c r="J251" s="616"/>
      <c r="K251" s="1609">
        <f t="shared" si="21"/>
        <v>0</v>
      </c>
      <c r="L251" s="466"/>
    </row>
    <row r="252" spans="1:12" x14ac:dyDescent="0.2">
      <c r="A252" s="1443" t="s">
        <v>702</v>
      </c>
      <c r="B252" s="602" t="s">
        <v>285</v>
      </c>
      <c r="C252" s="616"/>
      <c r="D252" s="474"/>
      <c r="E252" s="616"/>
      <c r="F252" s="616"/>
      <c r="G252" s="616"/>
      <c r="H252" s="616"/>
      <c r="I252" s="616"/>
      <c r="J252" s="616"/>
      <c r="K252" s="1609">
        <f t="shared" si="21"/>
        <v>0</v>
      </c>
      <c r="L252" s="466"/>
    </row>
    <row r="253" spans="1:12" x14ac:dyDescent="0.2">
      <c r="A253" s="1443" t="s">
        <v>239</v>
      </c>
      <c r="B253" s="602" t="s">
        <v>286</v>
      </c>
      <c r="C253" s="616"/>
      <c r="D253" s="474"/>
      <c r="E253" s="616"/>
      <c r="F253" s="616"/>
      <c r="G253" s="616"/>
      <c r="H253" s="616"/>
      <c r="I253" s="616"/>
      <c r="J253" s="616"/>
      <c r="K253" s="1609">
        <f t="shared" si="21"/>
        <v>0</v>
      </c>
      <c r="L253" s="466"/>
    </row>
    <row r="254" spans="1:12" ht="22.5" x14ac:dyDescent="0.2">
      <c r="A254" s="1443" t="s">
        <v>1029</v>
      </c>
      <c r="B254" s="683" t="s">
        <v>287</v>
      </c>
      <c r="C254" s="616"/>
      <c r="D254" s="474"/>
      <c r="E254" s="616"/>
      <c r="F254" s="616"/>
      <c r="G254" s="616"/>
      <c r="H254" s="616"/>
      <c r="I254" s="616"/>
      <c r="J254" s="616"/>
      <c r="K254" s="1609">
        <f t="shared" si="21"/>
        <v>0</v>
      </c>
      <c r="L254" s="466"/>
    </row>
    <row r="255" spans="1:12" x14ac:dyDescent="0.2">
      <c r="A255" s="1443" t="s">
        <v>1030</v>
      </c>
      <c r="B255" s="602" t="s">
        <v>288</v>
      </c>
      <c r="C255" s="616"/>
      <c r="D255" s="474"/>
      <c r="E255" s="616"/>
      <c r="F255" s="616"/>
      <c r="G255" s="616"/>
      <c r="H255" s="616"/>
      <c r="I255" s="616"/>
      <c r="J255" s="616"/>
      <c r="K255" s="1609">
        <f t="shared" si="21"/>
        <v>0</v>
      </c>
      <c r="L255" s="466"/>
    </row>
    <row r="256" spans="1:12" x14ac:dyDescent="0.2">
      <c r="A256" s="1443" t="s">
        <v>971</v>
      </c>
      <c r="B256" s="614" t="s">
        <v>289</v>
      </c>
      <c r="C256" s="616"/>
      <c r="D256" s="474"/>
      <c r="E256" s="616"/>
      <c r="F256" s="616"/>
      <c r="G256" s="616"/>
      <c r="H256" s="616"/>
      <c r="I256" s="616"/>
      <c r="J256" s="616"/>
      <c r="K256" s="1609">
        <f t="shared" si="21"/>
        <v>0</v>
      </c>
      <c r="L256" s="466"/>
    </row>
    <row r="257" spans="1:14" ht="12.75" customHeight="1" thickBot="1" x14ac:dyDescent="0.25">
      <c r="A257" s="1605" t="s">
        <v>717</v>
      </c>
      <c r="B257" s="1633">
        <v>2300</v>
      </c>
      <c r="C257" s="616"/>
      <c r="D257" s="1607">
        <f>SUM(D245:D256)</f>
        <v>44910</v>
      </c>
      <c r="E257" s="616"/>
      <c r="F257" s="616"/>
      <c r="G257" s="616"/>
      <c r="H257" s="616"/>
      <c r="I257" s="616"/>
      <c r="J257" s="616"/>
      <c r="K257" s="1607">
        <f>SUM(K245:K256)</f>
        <v>44910</v>
      </c>
      <c r="L257" s="1607">
        <f>SUM(L245:L256)</f>
        <v>41375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2" t="s">
        <v>1067</v>
      </c>
      <c r="B259" s="685">
        <v>2410</v>
      </c>
      <c r="C259" s="616"/>
      <c r="D259" s="481">
        <f>66674+40592</f>
        <v>107266</v>
      </c>
      <c r="E259" s="616"/>
      <c r="F259" s="616"/>
      <c r="G259" s="616"/>
      <c r="H259" s="616"/>
      <c r="I259" s="616"/>
      <c r="J259" s="616"/>
      <c r="K259" s="1609">
        <f>D259</f>
        <v>107266</v>
      </c>
      <c r="L259" s="481">
        <f>41125+59625</f>
        <v>100750</v>
      </c>
    </row>
    <row r="260" spans="1:14" s="597" customFormat="1" x14ac:dyDescent="0.2">
      <c r="A260" s="1460" t="s">
        <v>1803</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107266</v>
      </c>
      <c r="E261" s="616"/>
      <c r="F261" s="616"/>
      <c r="G261" s="616"/>
      <c r="H261" s="616"/>
      <c r="I261" s="616"/>
      <c r="J261" s="616"/>
      <c r="K261" s="1607">
        <f>SUM(K259:K260)</f>
        <v>107266</v>
      </c>
      <c r="L261" s="1607">
        <f>SUM(L259:L260)</f>
        <v>100750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2" t="s">
        <v>1068</v>
      </c>
      <c r="B263" s="685">
        <v>2510</v>
      </c>
      <c r="C263" s="616"/>
      <c r="D263" s="466">
        <v>5023</v>
      </c>
      <c r="E263" s="616"/>
      <c r="F263" s="616"/>
      <c r="G263" s="616"/>
      <c r="H263" s="616"/>
      <c r="I263" s="616"/>
      <c r="J263" s="616"/>
      <c r="K263" s="1609">
        <f>D263</f>
        <v>5023</v>
      </c>
      <c r="L263" s="481">
        <v>5525</v>
      </c>
    </row>
    <row r="264" spans="1:14" x14ac:dyDescent="0.2">
      <c r="A264" s="1442" t="s">
        <v>463</v>
      </c>
      <c r="B264" s="685">
        <v>2520</v>
      </c>
      <c r="C264" s="616"/>
      <c r="D264" s="466">
        <f>36576+13244</f>
        <v>49820</v>
      </c>
      <c r="E264" s="616"/>
      <c r="F264" s="616"/>
      <c r="G264" s="616"/>
      <c r="H264" s="616"/>
      <c r="I264" s="616"/>
      <c r="J264" s="616"/>
      <c r="K264" s="1609">
        <f t="shared" ref="K264:K269" si="22">D264</f>
        <v>49820</v>
      </c>
      <c r="L264" s="466">
        <f>28925+13725</f>
        <v>42650</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f>232947+87567</f>
        <v>320514</v>
      </c>
      <c r="E266" s="616"/>
      <c r="F266" s="616"/>
      <c r="G266" s="616"/>
      <c r="H266" s="616"/>
      <c r="I266" s="616"/>
      <c r="J266" s="616"/>
      <c r="K266" s="1609">
        <f t="shared" si="22"/>
        <v>320514</v>
      </c>
      <c r="L266" s="466">
        <f>178150+90575</f>
        <v>268725</v>
      </c>
    </row>
    <row r="267" spans="1:14" x14ac:dyDescent="0.2">
      <c r="A267" s="1442" t="s">
        <v>953</v>
      </c>
      <c r="B267" s="614">
        <v>2550</v>
      </c>
      <c r="C267" s="616"/>
      <c r="D267" s="466">
        <v>356</v>
      </c>
      <c r="E267" s="616"/>
      <c r="F267" s="616"/>
      <c r="G267" s="616"/>
      <c r="H267" s="616"/>
      <c r="I267" s="616"/>
      <c r="J267" s="616"/>
      <c r="K267" s="1609">
        <f t="shared" si="22"/>
        <v>356</v>
      </c>
      <c r="L267" s="466">
        <v>550</v>
      </c>
    </row>
    <row r="268" spans="1:14" x14ac:dyDescent="0.2">
      <c r="A268" s="1442" t="s">
        <v>100</v>
      </c>
      <c r="B268" s="614">
        <v>2560</v>
      </c>
      <c r="C268" s="616"/>
      <c r="D268" s="466">
        <f>11785+9893</f>
        <v>21678</v>
      </c>
      <c r="E268" s="616"/>
      <c r="F268" s="616"/>
      <c r="G268" s="616"/>
      <c r="H268" s="616"/>
      <c r="I268" s="616"/>
      <c r="J268" s="616"/>
      <c r="K268" s="1609">
        <f t="shared" si="22"/>
        <v>21678</v>
      </c>
      <c r="L268" s="466">
        <f>20200+12775</f>
        <v>32975</v>
      </c>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719</v>
      </c>
      <c r="B270" s="1612" t="s">
        <v>35</v>
      </c>
      <c r="C270" s="616"/>
      <c r="D270" s="1607">
        <f>SUM(D263:D269)</f>
        <v>397391</v>
      </c>
      <c r="E270" s="616"/>
      <c r="F270" s="616"/>
      <c r="G270" s="616"/>
      <c r="H270" s="616"/>
      <c r="I270" s="616"/>
      <c r="J270" s="616"/>
      <c r="K270" s="1607">
        <f>SUM(K263:K269)</f>
        <v>397391</v>
      </c>
      <c r="L270" s="1607">
        <f>SUM(L263:L269)</f>
        <v>350425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2" t="s">
        <v>1060</v>
      </c>
      <c r="B272" s="614">
        <v>2610</v>
      </c>
      <c r="C272" s="616"/>
      <c r="D272" s="481"/>
      <c r="E272" s="616"/>
      <c r="F272" s="616"/>
      <c r="G272" s="616"/>
      <c r="H272" s="616"/>
      <c r="I272" s="616"/>
      <c r="J272" s="616"/>
      <c r="K272" s="1609">
        <f>D272</f>
        <v>0</v>
      </c>
      <c r="L272" s="481"/>
    </row>
    <row r="273" spans="1:12" x14ac:dyDescent="0.2">
      <c r="A273" s="1442" t="s">
        <v>607</v>
      </c>
      <c r="B273" s="628">
        <v>2620</v>
      </c>
      <c r="C273" s="616"/>
      <c r="D273" s="466"/>
      <c r="E273" s="616"/>
      <c r="F273" s="616"/>
      <c r="G273" s="616"/>
      <c r="H273" s="616"/>
      <c r="I273" s="616"/>
      <c r="J273" s="616"/>
      <c r="K273" s="1609">
        <f>D273</f>
        <v>0</v>
      </c>
      <c r="L273" s="466"/>
    </row>
    <row r="274" spans="1:12" ht="12" customHeight="1" x14ac:dyDescent="0.2">
      <c r="A274" s="1442" t="s">
        <v>1061</v>
      </c>
      <c r="B274" s="614">
        <v>2630</v>
      </c>
      <c r="C274" s="616"/>
      <c r="D274" s="466">
        <f>14912+5864</f>
        <v>20776</v>
      </c>
      <c r="E274" s="616"/>
      <c r="F274" s="616"/>
      <c r="G274" s="616"/>
      <c r="H274" s="616"/>
      <c r="I274" s="616"/>
      <c r="J274" s="616"/>
      <c r="K274" s="1609">
        <f>D274</f>
        <v>20776</v>
      </c>
      <c r="L274" s="466">
        <f>11750+5900</f>
        <v>17650</v>
      </c>
    </row>
    <row r="275" spans="1:12" x14ac:dyDescent="0.2">
      <c r="A275" s="1442" t="s">
        <v>403</v>
      </c>
      <c r="B275" s="614">
        <v>2640</v>
      </c>
      <c r="C275" s="616"/>
      <c r="D275" s="466">
        <f>21113+13038</f>
        <v>34151</v>
      </c>
      <c r="E275" s="616"/>
      <c r="F275" s="616"/>
      <c r="G275" s="616"/>
      <c r="H275" s="616"/>
      <c r="I275" s="616"/>
      <c r="J275" s="616"/>
      <c r="K275" s="1609">
        <f>D275</f>
        <v>34151</v>
      </c>
      <c r="L275" s="466">
        <f>17000+14050</f>
        <v>31050</v>
      </c>
    </row>
    <row r="276" spans="1:12" x14ac:dyDescent="0.2">
      <c r="A276" s="1442" t="s">
        <v>404</v>
      </c>
      <c r="B276" s="614">
        <v>2660</v>
      </c>
      <c r="C276" s="616"/>
      <c r="D276" s="466">
        <f>38812+16738</f>
        <v>55550</v>
      </c>
      <c r="E276" s="616"/>
      <c r="F276" s="616"/>
      <c r="G276" s="616"/>
      <c r="H276" s="616"/>
      <c r="I276" s="616"/>
      <c r="J276" s="616"/>
      <c r="K276" s="1609">
        <f>D276</f>
        <v>55550</v>
      </c>
      <c r="L276" s="466">
        <f>28300+17550</f>
        <v>45850</v>
      </c>
    </row>
    <row r="277" spans="1:12" ht="12.75" customHeight="1" thickBot="1" x14ac:dyDescent="0.25">
      <c r="A277" s="1628" t="s">
        <v>37</v>
      </c>
      <c r="B277" s="1606" t="s">
        <v>36</v>
      </c>
      <c r="C277" s="616"/>
      <c r="D277" s="1607">
        <f>SUM(D272:D276)</f>
        <v>110477</v>
      </c>
      <c r="E277" s="616"/>
      <c r="F277" s="616"/>
      <c r="G277" s="616"/>
      <c r="H277" s="616"/>
      <c r="I277" s="616"/>
      <c r="J277" s="616"/>
      <c r="K277" s="1607">
        <f>SUM(K272:K276)</f>
        <v>110477</v>
      </c>
      <c r="L277" s="1607">
        <f>SUM(L272:L276)</f>
        <v>94550</v>
      </c>
    </row>
    <row r="278" spans="1:12" ht="13.5" customHeight="1" thickTop="1" x14ac:dyDescent="0.2">
      <c r="A278" s="1448" t="s">
        <v>980</v>
      </c>
      <c r="B278" s="655" t="s">
        <v>574</v>
      </c>
      <c r="C278" s="616"/>
      <c r="D278" s="656"/>
      <c r="E278" s="616"/>
      <c r="F278" s="616"/>
      <c r="G278" s="616"/>
      <c r="H278" s="616"/>
      <c r="I278" s="616"/>
      <c r="J278" s="616"/>
      <c r="K278" s="1622">
        <f>D278</f>
        <v>0</v>
      </c>
      <c r="L278" s="656"/>
    </row>
    <row r="279" spans="1:12" ht="12.75" customHeight="1" thickBot="1" x14ac:dyDescent="0.25">
      <c r="A279" s="1635" t="s">
        <v>811</v>
      </c>
      <c r="B279" s="1618">
        <v>2000</v>
      </c>
      <c r="C279" s="616"/>
      <c r="D279" s="1614">
        <f>SUM(D238,D243,D257,D261,D270,D277,D278)</f>
        <v>901415</v>
      </c>
      <c r="E279" s="616"/>
      <c r="F279" s="616"/>
      <c r="G279" s="616"/>
      <c r="H279" s="616"/>
      <c r="I279" s="616"/>
      <c r="J279" s="616"/>
      <c r="K279" s="1614">
        <f>SUM(K238,K243,K257,K261,K270,K277,K278)</f>
        <v>901415</v>
      </c>
      <c r="L279" s="1614">
        <f>SUM(L238,L243,L257,L261,L270,L277,L278)</f>
        <v>807750</v>
      </c>
    </row>
    <row r="280" spans="1:12" ht="15.75" customHeight="1" thickTop="1" thickBot="1" x14ac:dyDescent="0.25">
      <c r="A280" s="1562" t="s">
        <v>875</v>
      </c>
      <c r="B280" s="1551">
        <v>3000</v>
      </c>
      <c r="C280" s="616"/>
      <c r="D280" s="576">
        <f>10595+3962</f>
        <v>14557</v>
      </c>
      <c r="E280" s="616"/>
      <c r="F280" s="616"/>
      <c r="G280" s="616"/>
      <c r="H280" s="616"/>
      <c r="I280" s="616"/>
      <c r="J280" s="616"/>
      <c r="K280" s="1616">
        <f>D280</f>
        <v>14557</v>
      </c>
      <c r="L280" s="576">
        <f>7925+7350</f>
        <v>15275</v>
      </c>
    </row>
    <row r="281" spans="1:12" ht="15.75" customHeight="1" thickTop="1" x14ac:dyDescent="0.2">
      <c r="A281" s="1552" t="s">
        <v>142</v>
      </c>
      <c r="B281" s="1553" t="s">
        <v>860</v>
      </c>
      <c r="C281" s="616"/>
      <c r="D281" s="566"/>
      <c r="E281" s="616"/>
      <c r="F281" s="616"/>
      <c r="G281" s="616"/>
      <c r="H281" s="616"/>
      <c r="I281" s="616"/>
      <c r="J281" s="616"/>
      <c r="K281" s="616"/>
      <c r="L281" s="616"/>
    </row>
    <row r="282" spans="1:12" ht="15.75" customHeight="1" x14ac:dyDescent="0.2">
      <c r="A282" s="1767" t="s">
        <v>496</v>
      </c>
      <c r="B282" s="690" t="s">
        <v>1844</v>
      </c>
      <c r="C282" s="616"/>
      <c r="D282" s="467"/>
      <c r="E282" s="616"/>
      <c r="F282" s="616"/>
      <c r="G282" s="616"/>
      <c r="H282" s="616"/>
      <c r="I282" s="616"/>
      <c r="J282" s="616"/>
      <c r="K282" s="1608">
        <f>D282</f>
        <v>0</v>
      </c>
      <c r="L282" s="467"/>
    </row>
    <row r="283" spans="1:12" x14ac:dyDescent="0.2">
      <c r="A283" s="1442" t="s">
        <v>304</v>
      </c>
      <c r="B283" s="614">
        <v>4120</v>
      </c>
      <c r="C283" s="616"/>
      <c r="D283" s="466"/>
      <c r="E283" s="616"/>
      <c r="F283" s="616"/>
      <c r="G283" s="616"/>
      <c r="H283" s="616"/>
      <c r="I283" s="616"/>
      <c r="J283" s="616"/>
      <c r="K283" s="1608">
        <f>D283</f>
        <v>0</v>
      </c>
      <c r="L283" s="466"/>
    </row>
    <row r="284" spans="1:12" x14ac:dyDescent="0.2">
      <c r="A284" s="1442" t="s">
        <v>697</v>
      </c>
      <c r="B284" s="614">
        <v>4140</v>
      </c>
      <c r="C284" s="616"/>
      <c r="D284" s="467"/>
      <c r="E284" s="616"/>
      <c r="F284" s="616"/>
      <c r="G284" s="616"/>
      <c r="H284" s="616"/>
      <c r="I284" s="616"/>
      <c r="J284" s="616"/>
      <c r="K284" s="1608">
        <f>D284</f>
        <v>0</v>
      </c>
      <c r="L284" s="466"/>
    </row>
    <row r="285" spans="1:12" ht="12.75" customHeight="1" thickBot="1" x14ac:dyDescent="0.25">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876</v>
      </c>
      <c r="B286" s="154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1170</v>
      </c>
      <c r="B290" s="628" t="s">
        <v>617</v>
      </c>
      <c r="C290" s="616"/>
      <c r="D290" s="616"/>
      <c r="E290" s="616"/>
      <c r="F290" s="616"/>
      <c r="G290" s="616"/>
      <c r="H290" s="466"/>
      <c r="I290" s="616"/>
      <c r="J290" s="616"/>
      <c r="K290" s="1608">
        <f>H290</f>
        <v>0</v>
      </c>
      <c r="L290" s="466"/>
    </row>
    <row r="291" spans="1:14" x14ac:dyDescent="0.2">
      <c r="A291" s="1442" t="s">
        <v>89</v>
      </c>
      <c r="B291" s="614" t="s">
        <v>589</v>
      </c>
      <c r="C291" s="616"/>
      <c r="D291" s="616"/>
      <c r="E291" s="616"/>
      <c r="F291" s="616"/>
      <c r="G291" s="616"/>
      <c r="H291" s="466"/>
      <c r="I291" s="616"/>
      <c r="J291" s="616"/>
      <c r="K291" s="1608">
        <f>H291</f>
        <v>0</v>
      </c>
      <c r="L291" s="466"/>
    </row>
    <row r="292" spans="1:14" x14ac:dyDescent="0.2">
      <c r="A292" s="1442" t="s">
        <v>762</v>
      </c>
      <c r="B292" s="614" t="s">
        <v>618</v>
      </c>
      <c r="C292" s="616"/>
      <c r="D292" s="616"/>
      <c r="E292" s="616"/>
      <c r="F292" s="616"/>
      <c r="G292" s="616"/>
      <c r="H292" s="466"/>
      <c r="I292" s="616"/>
      <c r="J292" s="616"/>
      <c r="K292" s="1608">
        <f>H292</f>
        <v>0</v>
      </c>
      <c r="L292" s="466"/>
    </row>
    <row r="293" spans="1:14" ht="12.75" customHeight="1" thickBot="1" x14ac:dyDescent="0.25">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877</v>
      </c>
      <c r="B294" s="1551" t="s">
        <v>861</v>
      </c>
      <c r="C294" s="616"/>
      <c r="D294" s="623"/>
      <c r="E294" s="616"/>
      <c r="F294" s="616"/>
      <c r="G294" s="616"/>
      <c r="H294" s="686"/>
      <c r="I294" s="616"/>
      <c r="J294" s="616"/>
      <c r="K294" s="686"/>
      <c r="L294" s="578"/>
    </row>
    <row r="295" spans="1:14" ht="12.75" customHeight="1" thickTop="1" thickBot="1" x14ac:dyDescent="0.25">
      <c r="A295" s="2186" t="s">
        <v>505</v>
      </c>
      <c r="B295" s="2187"/>
      <c r="C295" s="616"/>
      <c r="D295" s="1607">
        <f>SUM(D229,D279,D280,D285)</f>
        <v>1523343</v>
      </c>
      <c r="E295" s="616"/>
      <c r="F295" s="616"/>
      <c r="G295" s="616"/>
      <c r="H295" s="1607">
        <f>H293</f>
        <v>0</v>
      </c>
      <c r="I295" s="616"/>
      <c r="J295" s="616"/>
      <c r="K295" s="1607">
        <f>SUM(K229,K279,K280,K285,K293,K294)</f>
        <v>1523343</v>
      </c>
      <c r="L295" s="1607">
        <f>SUM(L229,L279,L280,L285,L293,L294)</f>
        <v>1389125</v>
      </c>
    </row>
    <row r="296" spans="1:14" ht="13.5" thickTop="1" x14ac:dyDescent="0.2">
      <c r="A296" s="2195" t="s">
        <v>996</v>
      </c>
      <c r="B296" s="2196"/>
      <c r="C296" s="616"/>
      <c r="D296" s="618"/>
      <c r="E296" s="616"/>
      <c r="F296" s="616"/>
      <c r="G296" s="616"/>
      <c r="H296" s="687"/>
      <c r="I296" s="616"/>
      <c r="J296" s="616"/>
      <c r="K296" s="1621">
        <f>'Revenues 9-14'!G268-'Expenditures 15-22'!K295</f>
        <v>-548226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489"/>
      <c r="D298" s="1490"/>
      <c r="E298" s="1490"/>
      <c r="F298" s="1490"/>
      <c r="G298" s="1490"/>
      <c r="H298" s="1490"/>
      <c r="I298" s="1490"/>
      <c r="J298" s="1490"/>
      <c r="K298" s="1490"/>
      <c r="L298" s="1491"/>
    </row>
    <row r="299" spans="1:14" ht="15.75" customHeight="1" x14ac:dyDescent="0.2">
      <c r="A299" s="1550" t="s">
        <v>144</v>
      </c>
      <c r="B299" s="155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5" t="s">
        <v>608</v>
      </c>
      <c r="B301" s="689">
        <v>2530</v>
      </c>
      <c r="C301" s="466"/>
      <c r="D301" s="466"/>
      <c r="E301" s="466">
        <v>782321</v>
      </c>
      <c r="F301" s="466"/>
      <c r="G301" s="466">
        <v>4898072</v>
      </c>
      <c r="H301" s="466"/>
      <c r="I301" s="467"/>
      <c r="J301" s="467"/>
      <c r="K301" s="1608">
        <f>SUM(C301:J301)</f>
        <v>5680393</v>
      </c>
      <c r="L301" s="467">
        <v>5623100</v>
      </c>
    </row>
    <row r="302" spans="1:14" ht="13.5" customHeight="1" x14ac:dyDescent="0.2">
      <c r="A302" s="1455" t="s">
        <v>980</v>
      </c>
      <c r="B302" s="614" t="s">
        <v>574</v>
      </c>
      <c r="C302" s="466"/>
      <c r="D302" s="466"/>
      <c r="E302" s="466"/>
      <c r="F302" s="466"/>
      <c r="G302" s="466"/>
      <c r="H302" s="466"/>
      <c r="I302" s="467"/>
      <c r="J302" s="467"/>
      <c r="K302" s="1608">
        <f>SUM(C302:J302)</f>
        <v>0</v>
      </c>
      <c r="L302" s="466"/>
    </row>
    <row r="303" spans="1:14" ht="12.75" customHeight="1" thickBot="1" x14ac:dyDescent="0.25">
      <c r="A303" s="1605" t="s">
        <v>811</v>
      </c>
      <c r="B303" s="1606" t="s">
        <v>569</v>
      </c>
      <c r="C303" s="1614">
        <f>SUM(C301:C302)</f>
        <v>0</v>
      </c>
      <c r="D303" s="1614">
        <f t="shared" ref="D303:L303" si="23">SUM(D301:D302)</f>
        <v>0</v>
      </c>
      <c r="E303" s="1614">
        <f t="shared" si="23"/>
        <v>782321</v>
      </c>
      <c r="F303" s="1614">
        <f t="shared" si="23"/>
        <v>0</v>
      </c>
      <c r="G303" s="1614">
        <f t="shared" si="23"/>
        <v>4898072</v>
      </c>
      <c r="H303" s="1614">
        <f t="shared" si="23"/>
        <v>0</v>
      </c>
      <c r="I303" s="1614">
        <f t="shared" si="23"/>
        <v>0</v>
      </c>
      <c r="J303" s="1614">
        <f t="shared" si="23"/>
        <v>0</v>
      </c>
      <c r="K303" s="1614">
        <f t="shared" si="23"/>
        <v>5680393</v>
      </c>
      <c r="L303" s="1614">
        <f t="shared" si="23"/>
        <v>5623100</v>
      </c>
    </row>
    <row r="304" spans="1:14" ht="15.75" customHeight="1" thickTop="1" x14ac:dyDescent="0.2">
      <c r="A304" s="1550" t="s">
        <v>145</v>
      </c>
      <c r="B304" s="155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6" t="s">
        <v>1849</v>
      </c>
      <c r="B306" s="690" t="s">
        <v>1844</v>
      </c>
      <c r="C306" s="616"/>
      <c r="D306" s="616"/>
      <c r="E306" s="467"/>
      <c r="F306" s="616"/>
      <c r="G306" s="616"/>
      <c r="H306" s="467"/>
      <c r="I306" s="616"/>
      <c r="J306" s="616"/>
      <c r="K306" s="1608">
        <f>SUM(E306,H306)</f>
        <v>0</v>
      </c>
      <c r="L306" s="467"/>
    </row>
    <row r="307" spans="1:14" x14ac:dyDescent="0.2">
      <c r="A307" s="1442" t="s">
        <v>304</v>
      </c>
      <c r="B307" s="614">
        <v>4120</v>
      </c>
      <c r="C307" s="616"/>
      <c r="D307" s="616"/>
      <c r="E307" s="467"/>
      <c r="F307" s="616"/>
      <c r="G307" s="616"/>
      <c r="H307" s="467"/>
      <c r="I307" s="477"/>
      <c r="J307" s="616"/>
      <c r="K307" s="1608">
        <f>SUM(E307,H307)</f>
        <v>0</v>
      </c>
      <c r="L307" s="466"/>
    </row>
    <row r="308" spans="1:14" x14ac:dyDescent="0.2">
      <c r="A308" s="1442" t="s">
        <v>697</v>
      </c>
      <c r="B308" s="614">
        <v>4140</v>
      </c>
      <c r="C308" s="616"/>
      <c r="D308" s="616"/>
      <c r="E308" s="467"/>
      <c r="F308" s="616"/>
      <c r="G308" s="616"/>
      <c r="H308" s="467"/>
      <c r="I308" s="477"/>
      <c r="J308" s="616"/>
      <c r="K308" s="1608">
        <f>SUM(E308,H308)</f>
        <v>0</v>
      </c>
      <c r="L308" s="466"/>
    </row>
    <row r="309" spans="1:14" ht="12.75" customHeight="1" x14ac:dyDescent="0.2">
      <c r="A309" s="1446" t="s">
        <v>698</v>
      </c>
      <c r="B309" s="628">
        <v>4190</v>
      </c>
      <c r="C309" s="616"/>
      <c r="D309" s="616"/>
      <c r="E309" s="467"/>
      <c r="F309" s="616"/>
      <c r="G309" s="616"/>
      <c r="H309" s="467"/>
      <c r="I309" s="477"/>
      <c r="J309" s="616"/>
      <c r="K309" s="1608">
        <f>SUM(E309,H309)</f>
        <v>0</v>
      </c>
      <c r="L309" s="466"/>
    </row>
    <row r="310" spans="1:14" ht="12.75" customHeight="1" thickBot="1" x14ac:dyDescent="0.25">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895</v>
      </c>
      <c r="B311" s="1549" t="s">
        <v>861</v>
      </c>
      <c r="C311" s="623"/>
      <c r="D311" s="623"/>
      <c r="E311" s="623"/>
      <c r="F311" s="623"/>
      <c r="G311" s="623"/>
      <c r="H311" s="623"/>
      <c r="I311" s="623"/>
      <c r="J311" s="616"/>
      <c r="K311" s="623"/>
      <c r="L311" s="576"/>
    </row>
    <row r="312" spans="1:14" s="674" customFormat="1" ht="12.75" customHeight="1" thickTop="1" thickBot="1" x14ac:dyDescent="0.25">
      <c r="A312" s="2183" t="s">
        <v>277</v>
      </c>
      <c r="B312" s="2184"/>
      <c r="C312" s="1607">
        <f>SUM(C303)</f>
        <v>0</v>
      </c>
      <c r="D312" s="1607">
        <f>SUM(D303)</f>
        <v>0</v>
      </c>
      <c r="E312" s="1607">
        <f>SUM(E303,E310)</f>
        <v>782321</v>
      </c>
      <c r="F312" s="1607">
        <f>SUM(F303)</f>
        <v>0</v>
      </c>
      <c r="G312" s="1607">
        <f>SUM(G303)</f>
        <v>4898072</v>
      </c>
      <c r="H312" s="1607">
        <f>SUM(H303,H310)</f>
        <v>0</v>
      </c>
      <c r="I312" s="1607">
        <f>SUM(I303)</f>
        <v>0</v>
      </c>
      <c r="J312" s="1607">
        <f>SUM(J303)</f>
        <v>0</v>
      </c>
      <c r="K312" s="1607">
        <f>SUM(K303,K310,K311)</f>
        <v>5680393</v>
      </c>
      <c r="L312" s="1607">
        <f>SUM(L303,L310,L311)</f>
        <v>5623100</v>
      </c>
      <c r="M312" s="665"/>
      <c r="N312" s="665"/>
    </row>
    <row r="313" spans="1:14" ht="13.5" thickTop="1" x14ac:dyDescent="0.2">
      <c r="A313" s="2179" t="s">
        <v>996</v>
      </c>
      <c r="B313" s="2180"/>
      <c r="C313" s="626"/>
      <c r="D313" s="626"/>
      <c r="E313" s="626"/>
      <c r="F313" s="626"/>
      <c r="G313" s="626"/>
      <c r="H313" s="626"/>
      <c r="I313" s="626"/>
      <c r="J313" s="626"/>
      <c r="K313" s="1622">
        <f>'Revenues 9-14'!H268-'Expenditures 15-22'!K312</f>
        <v>-5501107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494"/>
      <c r="D317" s="1495"/>
      <c r="E317" s="1495"/>
      <c r="F317" s="1495"/>
      <c r="G317" s="1495"/>
      <c r="H317" s="1495"/>
      <c r="I317" s="1495"/>
      <c r="J317" s="1495"/>
      <c r="K317" s="1495"/>
      <c r="L317" s="149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7" t="s">
        <v>299</v>
      </c>
      <c r="B319" s="697" t="s">
        <v>281</v>
      </c>
      <c r="C319" s="467"/>
      <c r="D319" s="467"/>
      <c r="E319" s="467"/>
      <c r="F319" s="467"/>
      <c r="G319" s="467"/>
      <c r="H319" s="467"/>
      <c r="I319" s="467"/>
      <c r="J319" s="467"/>
      <c r="K319" s="1608">
        <f>SUM(C319:J319)</f>
        <v>0</v>
      </c>
      <c r="L319" s="467"/>
      <c r="M319" s="665"/>
      <c r="N319" s="665"/>
    </row>
    <row r="320" spans="1:14" s="674" customFormat="1" x14ac:dyDescent="0.2">
      <c r="A320" s="1461" t="s">
        <v>1804</v>
      </c>
      <c r="B320" s="698" t="s">
        <v>282</v>
      </c>
      <c r="C320" s="467"/>
      <c r="D320" s="467"/>
      <c r="E320" s="467">
        <v>117804</v>
      </c>
      <c r="F320" s="467"/>
      <c r="G320" s="467"/>
      <c r="H320" s="467"/>
      <c r="I320" s="467"/>
      <c r="J320" s="467"/>
      <c r="K320" s="1608">
        <f t="shared" ref="K320:K327" si="24">SUM(C320:J320)</f>
        <v>117804</v>
      </c>
      <c r="L320" s="467">
        <v>135000</v>
      </c>
      <c r="M320" s="665"/>
      <c r="N320" s="665"/>
    </row>
    <row r="321" spans="1:14" s="674" customFormat="1" x14ac:dyDescent="0.2">
      <c r="A321" s="1457" t="s">
        <v>300</v>
      </c>
      <c r="B321" s="697" t="s">
        <v>283</v>
      </c>
      <c r="C321" s="467"/>
      <c r="D321" s="467"/>
      <c r="E321" s="467">
        <v>5627</v>
      </c>
      <c r="F321" s="467"/>
      <c r="G321" s="467"/>
      <c r="H321" s="467"/>
      <c r="I321" s="467"/>
      <c r="J321" s="467"/>
      <c r="K321" s="1608">
        <f t="shared" si="24"/>
        <v>5627</v>
      </c>
      <c r="L321" s="467">
        <v>10000</v>
      </c>
      <c r="M321" s="665"/>
      <c r="N321" s="665"/>
    </row>
    <row r="322" spans="1:14" s="674" customFormat="1" x14ac:dyDescent="0.2">
      <c r="A322" s="1457" t="s">
        <v>238</v>
      </c>
      <c r="B322" s="697" t="s">
        <v>284</v>
      </c>
      <c r="C322" s="467"/>
      <c r="D322" s="467"/>
      <c r="E322" s="467">
        <v>63763</v>
      </c>
      <c r="F322" s="467"/>
      <c r="G322" s="467"/>
      <c r="H322" s="467"/>
      <c r="I322" s="467"/>
      <c r="J322" s="467"/>
      <c r="K322" s="1608">
        <f t="shared" si="24"/>
        <v>63763</v>
      </c>
      <c r="L322" s="467">
        <v>59000</v>
      </c>
      <c r="M322" s="665"/>
      <c r="N322" s="665"/>
    </row>
    <row r="323" spans="1:14" s="674" customFormat="1" x14ac:dyDescent="0.2">
      <c r="A323" s="1457" t="s">
        <v>702</v>
      </c>
      <c r="B323" s="697" t="s">
        <v>285</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286</v>
      </c>
      <c r="C324" s="467"/>
      <c r="D324" s="467"/>
      <c r="E324" s="467"/>
      <c r="F324" s="467"/>
      <c r="G324" s="467"/>
      <c r="H324" s="467"/>
      <c r="I324" s="467"/>
      <c r="J324" s="467"/>
      <c r="K324" s="1608">
        <f t="shared" si="24"/>
        <v>0</v>
      </c>
      <c r="L324" s="467"/>
      <c r="M324" s="665"/>
      <c r="N324" s="665"/>
    </row>
    <row r="325" spans="1:14" s="674" customFormat="1" ht="22.5" x14ac:dyDescent="0.2">
      <c r="A325" s="1457" t="s">
        <v>1029</v>
      </c>
      <c r="B325" s="698" t="s">
        <v>287</v>
      </c>
      <c r="C325" s="467"/>
      <c r="D325" s="467"/>
      <c r="E325" s="467"/>
      <c r="F325" s="467"/>
      <c r="G325" s="467"/>
      <c r="H325" s="467"/>
      <c r="I325" s="467">
        <v>18158</v>
      </c>
      <c r="J325" s="467"/>
      <c r="K325" s="1608">
        <f t="shared" si="24"/>
        <v>18158</v>
      </c>
      <c r="L325" s="467"/>
      <c r="M325" s="665"/>
      <c r="N325" s="665"/>
    </row>
    <row r="326" spans="1:14" s="674" customFormat="1" x14ac:dyDescent="0.2">
      <c r="A326" s="1457" t="s">
        <v>1030</v>
      </c>
      <c r="B326" s="697" t="s">
        <v>288</v>
      </c>
      <c r="C326" s="467"/>
      <c r="D326" s="467"/>
      <c r="E326" s="467"/>
      <c r="F326" s="467"/>
      <c r="G326" s="467"/>
      <c r="H326" s="467"/>
      <c r="I326" s="467"/>
      <c r="J326" s="467"/>
      <c r="K326" s="1608">
        <f t="shared" si="24"/>
        <v>0</v>
      </c>
      <c r="L326" s="467"/>
      <c r="M326" s="665"/>
      <c r="N326" s="665"/>
    </row>
    <row r="327" spans="1:14" s="674" customFormat="1" x14ac:dyDescent="0.2">
      <c r="A327" s="1457" t="s">
        <v>971</v>
      </c>
      <c r="B327" s="697" t="s">
        <v>289</v>
      </c>
      <c r="C327" s="467"/>
      <c r="D327" s="467"/>
      <c r="E327" s="467">
        <v>17894</v>
      </c>
      <c r="F327" s="467"/>
      <c r="G327" s="467"/>
      <c r="H327" s="467"/>
      <c r="I327" s="467"/>
      <c r="J327" s="467"/>
      <c r="K327" s="1608">
        <f t="shared" si="24"/>
        <v>17894</v>
      </c>
      <c r="L327" s="467">
        <v>75000</v>
      </c>
      <c r="M327" s="665"/>
      <c r="N327" s="665"/>
    </row>
    <row r="328" spans="1:14" s="674" customFormat="1" x14ac:dyDescent="0.2">
      <c r="A328" s="1458" t="s">
        <v>472</v>
      </c>
      <c r="B328" s="690" t="s">
        <v>1132</v>
      </c>
      <c r="C328" s="474"/>
      <c r="D328" s="474"/>
      <c r="E328" s="474">
        <v>32810</v>
      </c>
      <c r="F328" s="474"/>
      <c r="G328" s="474"/>
      <c r="H328" s="474"/>
      <c r="I328" s="474"/>
      <c r="J328" s="474"/>
      <c r="K328" s="1636">
        <f>SUM(C328:J328)</f>
        <v>32810</v>
      </c>
      <c r="L328" s="474">
        <v>37000</v>
      </c>
      <c r="M328" s="665"/>
      <c r="N328" s="665"/>
    </row>
    <row r="329" spans="1:14" s="674" customFormat="1" x14ac:dyDescent="0.2">
      <c r="A329" s="1458" t="s">
        <v>1133</v>
      </c>
      <c r="B329" s="690" t="s">
        <v>1134</v>
      </c>
      <c r="C329" s="474"/>
      <c r="D329" s="474"/>
      <c r="E329" s="474">
        <v>5419</v>
      </c>
      <c r="F329" s="474"/>
      <c r="G329" s="474"/>
      <c r="H329" s="474"/>
      <c r="I329" s="474"/>
      <c r="J329" s="474"/>
      <c r="K329" s="1636">
        <f>SUM(C329:J329)</f>
        <v>5419</v>
      </c>
      <c r="L329" s="474">
        <v>6000</v>
      </c>
      <c r="M329" s="665"/>
      <c r="N329" s="665"/>
    </row>
    <row r="330" spans="1:14" s="674" customFormat="1" ht="12.75" customHeight="1" thickBot="1" x14ac:dyDescent="0.25">
      <c r="A330" s="1637" t="s">
        <v>717</v>
      </c>
      <c r="B330" s="1606" t="s">
        <v>569</v>
      </c>
      <c r="C330" s="1607">
        <f>SUM(C319:C329)</f>
        <v>0</v>
      </c>
      <c r="D330" s="1607">
        <f t="shared" ref="D330:J330" si="25">SUM(D319:D329)</f>
        <v>0</v>
      </c>
      <c r="E330" s="1607">
        <f t="shared" si="25"/>
        <v>243317</v>
      </c>
      <c r="F330" s="1607">
        <f t="shared" si="25"/>
        <v>0</v>
      </c>
      <c r="G330" s="1607">
        <f t="shared" si="25"/>
        <v>0</v>
      </c>
      <c r="H330" s="1607">
        <f t="shared" si="25"/>
        <v>0</v>
      </c>
      <c r="I330" s="1607">
        <f t="shared" si="25"/>
        <v>18158</v>
      </c>
      <c r="J330" s="1607">
        <f t="shared" si="25"/>
        <v>0</v>
      </c>
      <c r="K330" s="1607">
        <f>SUM(K319:K329)</f>
        <v>261475</v>
      </c>
      <c r="L330" s="1607">
        <f>SUM(L319:L329)</f>
        <v>322000</v>
      </c>
      <c r="M330" s="665"/>
      <c r="N330" s="665"/>
    </row>
    <row r="331" spans="1:14" s="674" customFormat="1" ht="12.75" customHeight="1" thickTop="1" x14ac:dyDescent="0.2">
      <c r="A331" s="1768" t="s">
        <v>1850</v>
      </c>
      <c r="B331" s="647" t="s">
        <v>860</v>
      </c>
      <c r="C331" s="1770"/>
      <c r="D331" s="1770"/>
      <c r="E331" s="1770"/>
      <c r="F331" s="1770"/>
      <c r="G331" s="1770"/>
      <c r="H331" s="1770"/>
      <c r="I331" s="1770"/>
      <c r="J331" s="1770"/>
      <c r="K331" s="1770"/>
      <c r="L331" s="1770"/>
      <c r="M331" s="665"/>
      <c r="N331" s="665"/>
    </row>
    <row r="332" spans="1:14" s="674" customFormat="1" ht="12.75" customHeight="1" x14ac:dyDescent="0.2">
      <c r="A332" s="1769" t="s">
        <v>496</v>
      </c>
      <c r="B332" s="1764" t="s">
        <v>1844</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304</v>
      </c>
      <c r="B333" s="1764" t="s">
        <v>1846</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1851</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899</v>
      </c>
      <c r="B335" s="154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6" t="s">
        <v>87</v>
      </c>
      <c r="B337" s="690" t="s">
        <v>900</v>
      </c>
      <c r="C337" s="638"/>
      <c r="D337" s="638"/>
      <c r="E337" s="638"/>
      <c r="F337" s="638"/>
      <c r="G337" s="638"/>
      <c r="H337" s="478"/>
      <c r="I337" s="638"/>
      <c r="J337" s="638"/>
      <c r="K337" s="1608">
        <f>H337</f>
        <v>0</v>
      </c>
      <c r="L337" s="478"/>
    </row>
    <row r="338" spans="1:14" ht="12.75" customHeight="1" x14ac:dyDescent="0.2">
      <c r="A338" s="1456" t="s">
        <v>1170</v>
      </c>
      <c r="B338" s="690" t="s">
        <v>617</v>
      </c>
      <c r="C338" s="638"/>
      <c r="D338" s="638"/>
      <c r="E338" s="638"/>
      <c r="F338" s="638"/>
      <c r="G338" s="638"/>
      <c r="H338" s="478"/>
      <c r="I338" s="638"/>
      <c r="J338" s="638"/>
      <c r="K338" s="1608">
        <f>H338</f>
        <v>0</v>
      </c>
      <c r="L338" s="478"/>
    </row>
    <row r="339" spans="1:14" x14ac:dyDescent="0.2">
      <c r="A339" s="1442" t="s">
        <v>901</v>
      </c>
      <c r="B339" s="628">
        <v>5150</v>
      </c>
      <c r="C339" s="638"/>
      <c r="D339" s="638"/>
      <c r="E339" s="638"/>
      <c r="F339" s="638"/>
      <c r="G339" s="638"/>
      <c r="H339" s="467"/>
      <c r="I339" s="638"/>
      <c r="J339" s="638"/>
      <c r="K339" s="1608">
        <f>H339</f>
        <v>0</v>
      </c>
      <c r="L339" s="467"/>
    </row>
    <row r="340" spans="1:14" ht="13.5" thickBot="1" x14ac:dyDescent="0.25">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903</v>
      </c>
      <c r="B341" s="1549" t="s">
        <v>861</v>
      </c>
      <c r="C341" s="616"/>
      <c r="D341" s="616"/>
      <c r="E341" s="477"/>
      <c r="F341" s="468"/>
      <c r="G341" s="468"/>
      <c r="H341" s="477"/>
      <c r="I341" s="477"/>
      <c r="J341" s="468"/>
      <c r="K341" s="477"/>
      <c r="L341" s="576"/>
    </row>
    <row r="342" spans="1:14" ht="12.75" customHeight="1" thickTop="1" thickBot="1" x14ac:dyDescent="0.25">
      <c r="A342" s="1623" t="s">
        <v>505</v>
      </c>
      <c r="B342" s="1638"/>
      <c r="C342" s="1607">
        <f>SUM(C330)</f>
        <v>0</v>
      </c>
      <c r="D342" s="1607">
        <f>SUM(D330)</f>
        <v>0</v>
      </c>
      <c r="E342" s="1607">
        <f>SUM(E330)</f>
        <v>243317</v>
      </c>
      <c r="F342" s="1607">
        <f>SUM(F330)</f>
        <v>0</v>
      </c>
      <c r="G342" s="1607">
        <f>SUM(G330)</f>
        <v>0</v>
      </c>
      <c r="H342" s="1607">
        <f>SUM(H330,H334,H340)</f>
        <v>0</v>
      </c>
      <c r="I342" s="1607">
        <f>SUM(I330)</f>
        <v>18158</v>
      </c>
      <c r="J342" s="1607">
        <f>SUM(J330)</f>
        <v>0</v>
      </c>
      <c r="K342" s="1607">
        <f>SUM(K330,K334,K340)</f>
        <v>261475</v>
      </c>
      <c r="L342" s="1614">
        <f>SUM(L330,L340,L341)</f>
        <v>322000</v>
      </c>
    </row>
    <row r="343" spans="1:14" ht="12.75" customHeight="1" thickTop="1" x14ac:dyDescent="0.2">
      <c r="A343" s="2181" t="s">
        <v>996</v>
      </c>
      <c r="B343" s="2182"/>
      <c r="C343" s="616"/>
      <c r="D343" s="616"/>
      <c r="E343" s="616"/>
      <c r="F343" s="616"/>
      <c r="G343" s="616"/>
      <c r="H343" s="616"/>
      <c r="I343" s="616"/>
      <c r="J343" s="616"/>
      <c r="K343" s="1621">
        <f>'Revenues 9-14'!J268-'Expenditures 15-22'!K342</f>
        <v>-61476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489"/>
      <c r="D345" s="1490"/>
      <c r="E345" s="1490"/>
      <c r="F345" s="1490"/>
      <c r="G345" s="1490"/>
      <c r="H345" s="1490"/>
      <c r="I345" s="1490"/>
      <c r="J345" s="1490"/>
      <c r="K345" s="1490"/>
      <c r="L345" s="1491"/>
      <c r="M345" s="667"/>
      <c r="N345" s="667"/>
    </row>
    <row r="346" spans="1:14" s="343" customFormat="1" ht="15.75" customHeight="1" x14ac:dyDescent="0.2">
      <c r="A346" s="1561" t="s">
        <v>844</v>
      </c>
      <c r="B346" s="155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980</v>
      </c>
      <c r="B351" s="643" t="s">
        <v>574</v>
      </c>
      <c r="C351" s="481"/>
      <c r="D351" s="481"/>
      <c r="E351" s="481"/>
      <c r="F351" s="481"/>
      <c r="G351" s="481"/>
      <c r="H351" s="481"/>
      <c r="I351" s="478"/>
      <c r="J351" s="478"/>
      <c r="K351" s="615">
        <f>SUM(C351:J351)</f>
        <v>0</v>
      </c>
      <c r="L351" s="481"/>
    </row>
    <row r="352" spans="1:14" ht="12.75" customHeight="1" thickBot="1" x14ac:dyDescent="0.25">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625</v>
      </c>
      <c r="B353" s="1547" t="s">
        <v>860</v>
      </c>
      <c r="C353" s="616"/>
      <c r="D353" s="616"/>
      <c r="E353" s="616"/>
      <c r="F353" s="616"/>
      <c r="G353" s="616"/>
      <c r="H353" s="616"/>
      <c r="I353" s="616"/>
      <c r="J353" s="616"/>
      <c r="K353" s="616"/>
      <c r="L353" s="616"/>
      <c r="M353" s="609"/>
      <c r="N353" s="609"/>
    </row>
    <row r="354" spans="1:14" x14ac:dyDescent="0.2">
      <c r="A354" s="1771" t="s">
        <v>1852</v>
      </c>
      <c r="B354" s="683" t="s">
        <v>1844</v>
      </c>
      <c r="C354" s="616"/>
      <c r="D354" s="616"/>
      <c r="E354" s="616"/>
      <c r="F354" s="616"/>
      <c r="G354" s="616"/>
      <c r="H354" s="474"/>
      <c r="I354" s="701"/>
      <c r="J354" s="616"/>
      <c r="K354" s="1636">
        <f>H354</f>
        <v>0</v>
      </c>
      <c r="L354" s="471"/>
    </row>
    <row r="355" spans="1:14" ht="12.75" customHeight="1" x14ac:dyDescent="0.2">
      <c r="A355" s="1451" t="s">
        <v>1853</v>
      </c>
      <c r="B355" s="690" t="s">
        <v>1846</v>
      </c>
      <c r="C355" s="616"/>
      <c r="D355" s="616"/>
      <c r="E355" s="616"/>
      <c r="F355" s="616"/>
      <c r="G355" s="616"/>
      <c r="H355" s="467"/>
      <c r="I355" s="701"/>
      <c r="J355" s="616"/>
      <c r="K355" s="1680">
        <f>H355</f>
        <v>0</v>
      </c>
      <c r="L355" s="467"/>
    </row>
    <row r="356" spans="1:14" ht="12.75" customHeight="1" x14ac:dyDescent="0.2">
      <c r="A356" s="1771" t="s">
        <v>698</v>
      </c>
      <c r="B356" s="683" t="s">
        <v>558</v>
      </c>
      <c r="C356" s="616"/>
      <c r="D356" s="616"/>
      <c r="E356" s="616"/>
      <c r="F356" s="616"/>
      <c r="G356" s="616"/>
      <c r="H356" s="479"/>
      <c r="I356" s="701"/>
      <c r="J356" s="616"/>
      <c r="K356" s="1677">
        <f>H356</f>
        <v>0</v>
      </c>
      <c r="L356" s="479"/>
    </row>
    <row r="357" spans="1:14" ht="12.75" customHeight="1" thickBot="1" x14ac:dyDescent="0.25">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948</v>
      </c>
      <c r="B358" s="154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619</v>
      </c>
      <c r="B361" s="602" t="s">
        <v>618</v>
      </c>
      <c r="C361" s="616"/>
      <c r="D361" s="616"/>
      <c r="E361" s="616"/>
      <c r="F361" s="616"/>
      <c r="G361" s="616"/>
      <c r="H361" s="467"/>
      <c r="I361" s="616"/>
      <c r="J361" s="616"/>
      <c r="K361" s="1608">
        <f>SUM(C361:J361)</f>
        <v>0</v>
      </c>
      <c r="L361" s="466"/>
    </row>
    <row r="362" spans="1:14" ht="12.75" customHeight="1" thickBot="1" x14ac:dyDescent="0.25">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949</v>
      </c>
      <c r="B366" s="1551" t="s">
        <v>861</v>
      </c>
      <c r="C366" s="623"/>
      <c r="D366" s="623"/>
      <c r="E366" s="623"/>
      <c r="F366" s="623"/>
      <c r="G366" s="623"/>
      <c r="H366" s="623"/>
      <c r="I366" s="623"/>
      <c r="J366" s="616"/>
      <c r="K366" s="623"/>
      <c r="L366" s="573"/>
      <c r="M366" s="609"/>
      <c r="N366" s="609"/>
    </row>
    <row r="367" spans="1:14" ht="12.75" customHeight="1" thickTop="1" thickBot="1" x14ac:dyDescent="0.25">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95" t="s">
        <v>996</v>
      </c>
      <c r="B368" s="2196"/>
      <c r="C368" s="654"/>
      <c r="D368" s="654"/>
      <c r="E368" s="626"/>
      <c r="F368" s="626"/>
      <c r="G368" s="626"/>
      <c r="H368" s="626"/>
      <c r="I368" s="626"/>
      <c r="J368" s="623"/>
      <c r="K368" s="1608">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Width="0"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4d435f69-8686-490b-bd6d-b153bf22ab50"/>
    <ds:schemaRef ds:uri="http://schemas.microsoft.com/office/infopath/2007/PartnerControls"/>
    <ds:schemaRef ds:uri="d21dc803-237d-4c68-8692-8d731fd29118"/>
    <ds:schemaRef ds:uri="http://schemas.microsoft.com/office/2006/documentManagement/types"/>
    <ds:schemaRef ds:uri="http://www.w3.org/XML/1998/namespace"/>
    <ds:schemaRef ds:uri="6ce3111e-7420-4802-b50a-75d4e9a0b980"/>
    <ds:schemaRef ds:uri="http://schemas.openxmlformats.org/package/2006/metadata/core-properties"/>
    <ds:schemaRef ds:uri="http://purl.org/dc/elements/1.1/"/>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2019-10-03T00:49:51Z</cp:lastPrinted>
  <dcterms:created xsi:type="dcterms:W3CDTF">2003-10-29T19:06:34Z</dcterms:created>
  <dcterms:modified xsi:type="dcterms:W3CDTF">2019-11-15T21:07:26Z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