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9E73EE3A-5D48-47AB-89A8-B2ACC9B8BF1B}" xr6:coauthVersionLast="36" xr6:coauthVersionMax="36" xr10:uidLastSave="{00000000-0000-0000-0000-000000000000}"/>
  <bookViews>
    <workbookView xWindow="28680" yWindow="-120" windowWidth="29040" windowHeight="15840" tabRatio="643"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8" i="4" l="1"/>
  <c r="M19" i="3" l="1"/>
  <c r="D10" i="11" l="1"/>
  <c r="D12" i="11"/>
  <c r="G35" i="8" l="1"/>
  <c r="C12" i="11" l="1"/>
  <c r="C8" i="7"/>
  <c r="E8" i="7"/>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6" i="181"/>
  <c r="F19"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E27" i="181"/>
  <c r="F27" i="181" s="1"/>
  <c r="G27" i="181" s="1"/>
  <c r="E26" i="181"/>
  <c r="E25" i="181"/>
  <c r="E24" i="181"/>
  <c r="E23" i="181"/>
  <c r="E22" i="181"/>
  <c r="E21" i="181"/>
  <c r="E20" i="181"/>
  <c r="F20" i="181" s="1"/>
  <c r="E19" i="181"/>
  <c r="F25" i="181" l="1"/>
  <c r="G25" i="181" s="1"/>
  <c r="F24" i="181"/>
  <c r="G24" i="181" s="1"/>
  <c r="F23" i="181"/>
  <c r="G23" i="181" s="1"/>
  <c r="F22" i="181"/>
  <c r="G22" i="181" s="1"/>
  <c r="F21" i="181"/>
  <c r="G21" i="181" s="1"/>
  <c r="G44" i="181"/>
  <c r="G43" i="181"/>
  <c r="G34" i="181"/>
  <c r="G30" i="181"/>
  <c r="G28" i="181"/>
  <c r="G26" i="181"/>
  <c r="G20" i="181"/>
  <c r="G19" i="181"/>
  <c r="D142" i="181"/>
  <c r="D80" i="36" l="1"/>
  <c r="B7797" i="106"/>
  <c r="E142" i="181"/>
  <c r="E18" i="181"/>
  <c r="F18" i="181" s="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B2976" i="106" s="1"/>
  <c r="D2976" i="106" s="1"/>
  <c r="K82" i="29"/>
  <c r="B2977" i="106" s="1"/>
  <c r="D2977" i="106" s="1"/>
  <c r="K83" i="29"/>
  <c r="B2978" i="106" s="1"/>
  <c r="D2978" i="106" s="1"/>
  <c r="K93" i="29"/>
  <c r="K94" i="29"/>
  <c r="K95" i="29"/>
  <c r="K96" i="29"/>
  <c r="K97" i="29"/>
  <c r="K98" i="29"/>
  <c r="K99" i="29"/>
  <c r="B7010" i="106" s="1"/>
  <c r="D7010" i="106" s="1"/>
  <c r="K101" i="29"/>
  <c r="B7015" i="106" s="1"/>
  <c r="D7015" i="106" s="1"/>
  <c r="K105" i="29"/>
  <c r="K106" i="29"/>
  <c r="B1147" i="106" s="1"/>
  <c r="D1147" i="106" s="1"/>
  <c r="D1148" i="106"/>
  <c r="K109" i="29"/>
  <c r="B1149" i="106" s="1"/>
  <c r="D1149" i="106" s="1"/>
  <c r="D1150" i="106"/>
  <c r="K107" i="29"/>
  <c r="B2795" i="106" s="1"/>
  <c r="D2795" i="106" s="1"/>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F68" i="34" s="1"/>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L13" i="11"/>
  <c r="B2060" i="106" s="1"/>
  <c r="D2060"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1" i="106"/>
  <c r="D7011" i="106" s="1"/>
  <c r="B7012" i="106"/>
  <c r="D7012"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9" i="36"/>
  <c r="D71" i="36"/>
  <c r="D72" i="36"/>
  <c r="D79" i="36"/>
  <c r="B64" i="127"/>
  <c r="B65" i="127"/>
  <c r="E27" i="108"/>
  <c r="G27" i="108"/>
  <c r="F28" i="108"/>
  <c r="F31" i="108"/>
  <c r="G28" i="108"/>
  <c r="D31" i="108"/>
  <c r="E31" i="108"/>
  <c r="G31" i="108"/>
  <c r="E33" i="108"/>
  <c r="E34" i="108"/>
  <c r="E35" i="108"/>
  <c r="G35" i="108"/>
  <c r="E36" i="108"/>
  <c r="G36" i="108"/>
  <c r="E37" i="108"/>
  <c r="G37" i="108"/>
  <c r="E38"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C38" i="34"/>
  <c r="D38" i="34"/>
  <c r="F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C51" i="34"/>
  <c r="D51" i="34"/>
  <c r="C52" i="34"/>
  <c r="C53" i="34"/>
  <c r="D53" i="34"/>
  <c r="C56" i="34"/>
  <c r="F56" i="34"/>
  <c r="C57" i="34"/>
  <c r="D57" i="34"/>
  <c r="C61" i="34"/>
  <c r="C62" i="34"/>
  <c r="C63" i="34"/>
  <c r="D63" i="34"/>
  <c r="C64" i="34"/>
  <c r="F64" i="34"/>
  <c r="C67" i="34"/>
  <c r="D67" i="34"/>
  <c r="F67" i="34"/>
  <c r="C68" i="34"/>
  <c r="D68" i="34"/>
  <c r="C69" i="34"/>
  <c r="D69" i="34"/>
  <c r="F69" i="34"/>
  <c r="C70" i="34"/>
  <c r="D70" i="34"/>
  <c r="F70" i="34"/>
  <c r="C71" i="34"/>
  <c r="D71" i="34"/>
  <c r="F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H28" i="118"/>
  <c r="J22" i="37"/>
  <c r="D24" i="37"/>
  <c r="B4270" i="106" s="1"/>
  <c r="D4270" i="106" s="1"/>
  <c r="L5" i="11"/>
  <c r="B2056" i="106" s="1"/>
  <c r="D2056" i="106" s="1"/>
  <c r="B5752" i="106"/>
  <c r="D5752" i="106" s="1"/>
  <c r="D54" i="36" l="1"/>
  <c r="F72" i="34"/>
  <c r="G14" i="4"/>
  <c r="B2609" i="106" s="1"/>
  <c r="D2609" i="106" s="1"/>
  <c r="G210" i="29"/>
  <c r="F52" i="34"/>
  <c r="F36" i="108"/>
  <c r="D36" i="108"/>
  <c r="G30" i="108"/>
  <c r="H33" i="118"/>
  <c r="F27" i="108"/>
  <c r="F41" i="108" s="1"/>
  <c r="G43" i="108" s="1"/>
  <c r="J352" i="29"/>
  <c r="J367" i="29" s="1"/>
  <c r="B7245" i="106" s="1"/>
  <c r="D7245" i="106" s="1"/>
  <c r="H365" i="29"/>
  <c r="B7242" i="106" s="1"/>
  <c r="D7242" i="106" s="1"/>
  <c r="L342" i="29"/>
  <c r="F37" i="34"/>
  <c r="C342" i="29"/>
  <c r="B7216" i="106" s="1"/>
  <c r="D7216" i="106" s="1"/>
  <c r="B2836" i="106"/>
  <c r="D2836" i="106" s="1"/>
  <c r="B1274" i="106"/>
  <c r="D1274" i="106" s="1"/>
  <c r="L367" i="29"/>
  <c r="F19" i="7"/>
  <c r="B1807" i="106" s="1"/>
  <c r="D1807" i="106" s="1"/>
  <c r="L22" i="37"/>
  <c r="G29" i="108"/>
  <c r="H342" i="29"/>
  <c r="J129" i="29"/>
  <c r="B7038" i="106" s="1"/>
  <c r="D7038" i="106" s="1"/>
  <c r="G15" i="145"/>
  <c r="G26" i="108"/>
  <c r="D68" i="36"/>
  <c r="I129" i="29"/>
  <c r="B7037" i="106" s="1"/>
  <c r="D7037" i="106" s="1"/>
  <c r="H112" i="29"/>
  <c r="B7018" i="106" s="1"/>
  <c r="D7018" i="106" s="1"/>
  <c r="K184" i="29"/>
  <c r="F13" i="4" s="1"/>
  <c r="B2596" i="106" s="1"/>
  <c r="D2596" i="106" s="1"/>
  <c r="F50" i="34"/>
  <c r="G39" i="108"/>
  <c r="D22" i="37"/>
  <c r="F46" i="34"/>
  <c r="F36" i="34"/>
  <c r="E26" i="108"/>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D41" i="108" s="1"/>
  <c r="E43" i="108" s="1"/>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L16" i="11" l="1"/>
  <c r="B2061" i="106" s="1"/>
  <c r="D2061" i="106" s="1"/>
  <c r="B1365" i="106"/>
  <c r="D1365" i="106" s="1"/>
  <c r="F65" i="34"/>
  <c r="L114" i="29"/>
  <c r="B5778" i="106"/>
  <c r="D5778" i="106" s="1"/>
  <c r="G6" i="4"/>
  <c r="B2604" i="106" s="1"/>
  <c r="D2604" i="106" s="1"/>
  <c r="C114" i="29"/>
  <c r="B757" i="106" s="1"/>
  <c r="D757" i="106" s="1"/>
  <c r="B5770" i="106"/>
  <c r="D5770" i="106" s="1"/>
  <c r="I7" i="4"/>
  <c r="B4444" i="106" s="1"/>
  <c r="D4444" i="106" s="1"/>
  <c r="K342" i="29"/>
  <c r="F13" i="34" s="1"/>
  <c r="B5527" i="106"/>
  <c r="D5527"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B5508" i="106" s="1"/>
  <c r="D5508" i="106" s="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2567" i="106"/>
  <c r="D2567" i="106" s="1"/>
  <c r="F8" i="4" l="1"/>
  <c r="K17" i="4"/>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F10" i="4" l="1"/>
  <c r="B4125" i="106" s="1"/>
  <c r="D4125" i="106" s="1"/>
  <c r="D8" i="146"/>
  <c r="B2595" i="106"/>
  <c r="D2595" i="106" s="1"/>
  <c r="D10" i="4"/>
  <c r="B4123" i="106" s="1"/>
  <c r="D4123" i="106" s="1"/>
  <c r="B2568" i="106"/>
  <c r="D2568" i="106" s="1"/>
  <c r="H13" i="118"/>
  <c r="D20" i="4"/>
  <c r="B2574" i="106" s="1"/>
  <c r="D2574" i="106" s="1"/>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F8" i="146"/>
  <c r="D10" i="146"/>
  <c r="D78" i="4"/>
  <c r="D81" i="4"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E78" i="4"/>
  <c r="B2636" i="106"/>
  <c r="D2636" i="106" s="1"/>
  <c r="D64" i="36"/>
  <c r="J82" i="4"/>
  <c r="B6266" i="106"/>
  <c r="D6266" i="106" s="1"/>
  <c r="F177" i="34" l="1"/>
  <c r="F179" i="34" s="1"/>
  <c r="F10" i="146"/>
  <c r="B3239" i="106"/>
  <c r="D3239" i="106" s="1"/>
  <c r="B3278" i="106"/>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<sst xmlns="http://schemas.openxmlformats.org/spreadsheetml/2006/main" count="5121" uniqueCount="2131">
  <si>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</si>
  <si>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</si>
  <si>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</si>
  <si>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</si>
  <si>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</si>
  <si>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</si>
  <si>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</si>
  <si>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</si>
  <si>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</si>
  <si>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</si>
  <si>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</si>
  <si>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</si>
  <si>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</si>
  <si>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</si>
  <si>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</si>
  <si>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</si>
  <si>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</si>
  <si>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</si>
  <si>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</si>
  <si>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</si>
  <si>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</si>
  <si>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</si>
  <si>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</si>
  <si>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</si>
  <si>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</si>
  <si>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</si>
  <si>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</si>
  <si>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</si>
  <si>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</si>
  <si>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</si>
  <si>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</si>
  <si>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</si>
  <si>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</si>
  <si>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</si>
  <si>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</si>
  <si>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</si>
  <si>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</si>
  <si>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</si>
  <si>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</si>
  <si>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</si>
  <si>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</si>
  <si>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</si>
  <si>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</si>
  <si>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</si>
  <si>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</si>
  <si>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</si>
  <si>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</si>
  <si>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</si>
  <si>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</si>
  <si>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</si>
  <si>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</si>
  <si>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</si>
  <si>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</si>
  <si>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</si>
  <si>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</si>
  <si>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</si>
  <si>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</si>
  <si>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</si>
  <si>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</si>
  <si>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</si>
  <si>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</si>
  <si>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</si>
  <si>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</si>
  <si>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</si>
  <si>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</si>
  <si>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</si>
  <si>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</si>
  <si>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</si>
  <si>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</si>
  <si>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</si>
  <si>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</si>
  <si>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</si>
  <si>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</si>
  <si>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</si>
  <si>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</si>
  <si>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</si>
  <si>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</si>
  <si>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</si>
  <si>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</si>
  <si>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</si>
  <si>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</si>
  <si>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</si>
  <si>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</si>
  <si>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</si>
  <si>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</si>
  <si>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</si>
  <si>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</si>
  <si>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</si>
  <si>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</si>
  <si>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</si>
  <si>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</si>
  <si>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</si>
  <si>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</si>
  <si>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</si>
  <si>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</si>
  <si>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</si>
  <si>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</si>
  <si>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</si>
  <si>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</si>
  <si>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</si>
  <si>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</si>
  <si>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</si>
  <si>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</si>
  <si>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</si>
  <si>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</si>
  <si>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</si>
  <si>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</si>
  <si>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</si>
  <si>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</si>
  <si>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</si>
  <si>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</si>
  <si>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</si>
  <si>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</si>
  <si>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</si>
  <si>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</si>
  <si>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</si>
  <si>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</si>
  <si>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</si>
  <si>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</si>
  <si>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</si>
  <si>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</si>
  <si>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</si>
  <si>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</si>
  <si>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</si>
  <si>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</si>
  <si>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</si>
  <si>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</si>
  <si>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</si>
  <si>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</si>
  <si>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</si>
  <si>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</si>
  <si>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</si>
  <si>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</si>
  <si>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</si>
  <si>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</si>
  <si>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</si>
  <si>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</si>
  <si>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</si>
  <si>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</si>
  <si>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</si>
  <si>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</si>
  <si>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</si>
  <si>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</si>
  <si>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</si>
  <si>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</si>
  <si>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</si>
  <si>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</si>
  <si>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</si>
  <si>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</si>
  <si>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</si>
  <si>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</si>
  <si>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</si>
  <si>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</si>
  <si>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</si>
  <si>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</si>
  <si>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</si>
  <si>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</si>
  <si>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</si>
  <si>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</si>
  <si>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</si>
  <si>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</si>
  <si>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</si>
  <si>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</si>
  <si>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</si>
  <si>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</si>
  <si>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</si>
  <si>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</si>
  <si>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</si>
  <si>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</si>
  <si>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</si>
  <si>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</si>
  <si>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</si>
  <si>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</si>
  <si>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</si>
  <si>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</si>
  <si>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</si>
  <si>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</si>
  <si>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</si>
  <si>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</si>
  <si>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</si>
  <si>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</si>
  <si>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</si>
  <si>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</si>
  <si>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</si>
  <si>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</si>
  <si>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</si>
  <si>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</si>
  <si>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</si>
  <si>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</si>
  <si>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</si>
  <si>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</si>
  <si>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</si>
  <si>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</si>
  <si>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</si>
  <si>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</si>
  <si>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</si>
  <si>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</si>
  <si>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</si>
  <si>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</si>
  <si>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</si>
  <si>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</si>
  <si>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</si>
  <si>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</si>
  <si>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</si>
  <si>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</si>
  <si>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</si>
  <si>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</si>
  <si>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</si>
  <si>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</si>
  <si>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</si>
  <si>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</si>
  <si>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</si>
  <si>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</si>
  <si>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</si>
  <si>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</si>
  <si>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</si>
  <si>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</si>
  <si>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</si>
  <si>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</si>
  <si>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</si>
  <si>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</si>
  <si>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</si>
  <si>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</si>
  <si>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</si>
  <si>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</si>
  <si>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</si>
  <si>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</si>
  <si>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</si>
  <si>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</si>
  <si>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</si>
  <si>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</si>
  <si>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</si>
  <si>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</si>
  <si>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</si>
  <si>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</si>
  <si>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</si>
  <si>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</si>
  <si>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</si>
  <si>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</si>
  <si>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</si>
  <si>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</si>
  <si>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</si>
  <si>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</si>
  <si>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</si>
  <si>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</si>
  <si>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</si>
  <si>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</si>
  <si>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</si>
  <si>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</si>
  <si>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</si>
  <si>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</si>
  <si>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</si>
  <si>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</si>
  <si>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</si>
  <si>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</si>
  <si>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</si>
  <si>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</si>
  <si>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</si>
  <si>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</si>
  <si>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</si>
  <si>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</si>
  <si>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</si>
  <si>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</si>
  <si>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</si>
  <si>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</si>
  <si>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</si>
  <si>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</si>
  <si>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</si>
  <si>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</si>
  <si>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</si>
  <si>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</si>
  <si>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</si>
  <si>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</si>
  <si>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</si>
  <si>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</si>
  <si>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</si>
  <si>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</si>
  <si>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</si>
  <si>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</si>
  <si>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</si>
  <si>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</si>
  <si>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</si>
  <si>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</si>
  <si>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</si>
  <si>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</si>
  <si>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</si>
  <si>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</si>
  <si>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</si>
  <si>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</si>
  <si>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</si>
  <si>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</si>
  <si>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</si>
  <si>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</si>
  <si>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</si>
  <si>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</si>
  <si>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</si>
  <si>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</si>
  <si>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</si>
  <si>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</si>
  <si>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</si>
  <si>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</si>
  <si>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</si>
  <si>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</si>
  <si>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</si>
  <si>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</si>
  <si>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</si>
  <si>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</si>
  <si>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</si>
  <si>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</si>
  <si>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</si>
  <si>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</si>
  <si>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</si>
  <si>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</si>
  <si>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</si>
  <si>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</si>
  <si>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</si>
  <si>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</si>
  <si>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</si>
  <si>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</si>
  <si>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</si>
  <si>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</si>
  <si>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</si>
  <si>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</si>
  <si>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</si>
  <si>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</si>
  <si>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</si>
  <si>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</si>
  <si>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</si>
  <si>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</si>
  <si>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</si>
  <si>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</si>
  <si>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</si>
  <si>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</si>
  <si>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</si>
  <si>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</si>
  <si>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</si>
  <si>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</si>
  <si>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</si>
  <si>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</si>
  <si>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</si>
  <si>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</si>
  <si>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</si>
  <si>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</si>
  <si>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</si>
  <si>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</si>
  <si>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</si>
  <si>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</si>
  <si>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</si>
  <si>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</si>
  <si>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</si>
  <si>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</si>
  <si>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</si>
  <si>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</si>
  <si>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</si>
  <si>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</si>
  <si>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</si>
  <si>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</si>
  <si>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</si>
  <si>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</si>
  <si>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</si>
  <si>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</si>
  <si>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</si>
  <si>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</si>
  <si>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</si>
  <si>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</si>
  <si>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</si>
  <si>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</si>
  <si>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</si>
  <si>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</si>
  <si>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</si>
  <si>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</si>
  <si>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</si>
  <si>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</si>
  <si>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</si>
  <si>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</si>
  <si>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</si>
  <si>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</si>
  <si>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</si>
  <si>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</si>
  <si>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</si>
  <si>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</si>
  <si>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</si>
  <si>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</si>
  <si>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</si>
  <si>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</si>
  <si>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</si>
  <si>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</si>
  <si>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</si>
  <si>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</si>
  <si>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</si>
  <si>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</si>
  <si>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</si>
  <si>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</si>
  <si>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</si>
  <si>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</si>
  <si>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</si>
  <si>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</si>
  <si>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</si>
  <si>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</si>
  <si>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</si>
  <si>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</si>
  <si>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</si>
  <si>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</si>
  <si>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</si>
  <si>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</si>
  <si>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</si>
  <si>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</si>
  <si>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</si>
  <si>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</si>
  <si>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</si>
  <si>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</si>
  <si>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</si>
  <si>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</si>
  <si>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</si>
  <si>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</si>
  <si>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</si>
  <si>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</si>
  <si>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</si>
  <si>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</si>
  <si>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</si>
  <si>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</si>
  <si>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</si>
  <si>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</si>
  <si>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</si>
  <si>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</si>
  <si>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</si>
  <si>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</si>
  <si>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</si>
  <si>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</si>
  <si>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</si>
  <si>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</si>
  <si>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</si>
  <si>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</si>
  <si>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</si>
  <si>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</si>
  <si>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</si>
  <si>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</si>
  <si>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</si>
  <si>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</si>
  <si>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</si>
  <si>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</si>
  <si>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</si>
  <si>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</si>
  <si>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</si>
  <si>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</si>
  <si>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</si>
  <si>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</si>
  <si>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</si>
  <si>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</si>
  <si>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</si>
  <si>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</si>
  <si>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</si>
  <si>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</si>
  <si>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</si>
  <si>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</si>
  <si>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</si>
  <si>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</si>
  <si>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</si>
  <si>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</si>
  <si>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</si>
  <si>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</si>
  <si>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</si>
  <si>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</si>
  <si>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</si>
  <si>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</si>
  <si>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</si>
  <si>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</si>
  <si>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</si>
  <si>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</si>
  <si>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</si>
  <si>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</si>
  <si>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</si>
  <si>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</si>
  <si>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</si>
  <si>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</si>
  <si>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</si>
  <si>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</si>
  <si>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</si>
  <si>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</si>
  <si>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</si>
  <si>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</si>
  <si>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</si>
  <si>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</si>
  <si>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</si>
  <si>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</si>
  <si>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</si>
  <si>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</si>
  <si>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</si>
  <si>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</si>
  <si>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</si>
  <si>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</si>
  <si>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</si>
  <si>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</si>
  <si>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</si>
  <si>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</si>
  <si>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</si>
  <si>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</si>
  <si>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</si>
  <si>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</si>
  <si>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</si>
  <si>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</si>
  <si>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</si>
  <si>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</si>
  <si>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</si>
  <si>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</si>
  <si>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</si>
  <si>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</si>
  <si>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</si>
  <si>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</si>
  <si>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</si>
  <si>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</si>
  <si>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</si>
  <si>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</si>
  <si>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</si>
  <si>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</si>
  <si>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</si>
  <si>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</si>
  <si>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</si>
  <si>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</si>
  <si>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</si>
  <si>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</si>
  <si>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</si>
  <si>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</si>
  <si>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</si>
  <si>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</si>
  <si>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</si>
  <si>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</si>
  <si>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</si>
  <si>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</si>
  <si>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</si>
  <si>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</si>
  <si>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</si>
  <si>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</si>
  <si>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</si>
  <si>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</si>
  <si>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</si>
  <si>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</si>
  <si>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</si>
  <si>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</si>
  <si>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</si>
  <si>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</si>
  <si>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</si>
  <si>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</si>
  <si>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</si>
  <si>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</si>
  <si>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</si>
  <si>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</si>
  <si>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</si>
  <si>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</si>
  <si>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</si>
  <si>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</si>
  <si>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</si>
  <si>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</si>
  <si>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</si>
  <si>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</si>
  <si>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</si>
  <si>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</si>
  <si>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</si>
  <si>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</si>
  <si>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</si>
  <si>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</si>
  <si>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</si>
  <si>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</si>
  <si>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</si>
  <si>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</si>
  <si>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</si>
  <si>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</si>
  <si>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</si>
  <si>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</si>
  <si>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</si>
  <si>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</si>
  <si>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</si>
  <si>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</si>
  <si>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</si>
  <si>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</si>
  <si>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</si>
  <si>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</si>
  <si>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</si>
  <si>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</si>
  <si>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</si>
  <si>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</si>
  <si>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</si>
  <si>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</si>
  <si>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</si>
  <si>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</si>
  <si>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</si>
  <si>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</si>
  <si>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</si>
  <si>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</si>
  <si>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</si>
  <si>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</si>
  <si>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</si>
  <si>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</si>
  <si>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</si>
  <si>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</si>
  <si>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</si>
  <si>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</si>
  <si>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</si>
  <si>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</si>
  <si>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</si>
  <si>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</si>
  <si>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</si>
  <si>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</si>
  <si>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</si>
  <si>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</si>
  <si>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</si>
  <si>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</si>
  <si>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</si>
  <si>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</si>
  <si>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</si>
  <si>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</si>
  <si>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</si>
  <si>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</si>
  <si>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</si>
  <si>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</si>
  <si>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</si>
  <si>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</si>
  <si>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</si>
  <si>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</si>
  <si>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</si>
  <si>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</si>
  <si>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</si>
  <si>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</si>
  <si>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</si>
  <si>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</si>
  <si>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</si>
  <si>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</si>
  <si>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</si>
  <si>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</si>
  <si>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</si>
  <si>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</si>
  <si>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</si>
  <si>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</si>
  <si>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</si>
  <si>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</si>
  <si>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</si>
  <si>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</si>
  <si>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</si>
  <si>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</si>
  <si>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</si>
  <si>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</si>
  <si>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</si>
  <si>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</si>
  <si>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</si>
  <si>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</si>
  <si>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</si>
  <si>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</si>
  <si>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</si>
  <si>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</si>
  <si>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</si>
  <si>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</si>
  <si>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</si>
  <si>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</si>
  <si>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</si>
  <si>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</si>
  <si>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</si>
  <si>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</si>
  <si>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</si>
  <si>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</si>
  <si>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</si>
  <si>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</si>
  <si>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</si>
  <si>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</si>
  <si>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</si>
  <si>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</si>
  <si>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</si>
  <si>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</si>
  <si>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</si>
  <si>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</si>
  <si>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</si>
  <si>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</si>
  <si>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</si>
  <si>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</si>
  <si>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</si>
  <si>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</si>
  <si>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</si>
  <si>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</si>
  <si>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</si>
  <si>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</si>
  <si>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</si>
  <si>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</si>
  <si>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</si>
  <si>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</si>
  <si>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</si>
  <si>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</si>
  <si>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</si>
  <si>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</si>
  <si>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</si>
  <si>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</si>
  <si>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</si>
  <si>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</si>
  <si>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</si>
  <si>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</si>
  <si>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</si>
  <si>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</si>
  <si>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</si>
  <si>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</si>
  <si>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</si>
  <si>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</si>
  <si>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</si>
  <si>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</si>
  <si>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</si>
  <si>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</si>
  <si>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</si>
  <si>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</si>
  <si>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</si>
  <si>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</si>
  <si>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</si>
  <si>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</si>
  <si>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</si>
  <si>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</si>
  <si>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</si>
  <si>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</si>
  <si>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</si>
  <si>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</si>
  <si>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</si>
  <si>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</si>
  <si>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</si>
  <si>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</si>
  <si>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</si>
  <si>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</si>
  <si>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</si>
  <si>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</si>
  <si>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</si>
  <si>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</si>
  <si>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</si>
  <si>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</si>
  <si>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</si>
  <si>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</si>
  <si>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</si>
  <si>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</si>
  <si>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</si>
  <si>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</si>
  <si>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</si>
  <si>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</si>
  <si>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</si>
  <si>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</si>
  <si>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</si>
  <si>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</si>
  <si>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</si>
  <si>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</si>
  <si>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</si>
  <si>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</si>
  <si>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</si>
  <si>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</si>
  <si>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</si>
  <si>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</si>
  <si>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</si>
  <si>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</si>
  <si>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</si>
  <si>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</si>
  <si>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</si>
  <si>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</si>
  <si>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</si>
  <si>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</si>
  <si>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</si>
  <si>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</si>
  <si>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</si>
  <si>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</si>
  <si>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</si>
  <si>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</si>
  <si>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</si>
  <si>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</si>
  <si>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</si>
  <si>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</si>
  <si>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</si>
  <si>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</si>
  <si>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</si>
  <si>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</si>
  <si>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</si>
  <si>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</si>
  <si>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</si>
  <si>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</si>
  <si>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</si>
  <si>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</si>
  <si>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</si>
  <si>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</si>
  <si>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</si>
  <si>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</si>
  <si>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</si>
  <si>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</si>
  <si>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</si>
  <si>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</si>
  <si>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</si>
  <si>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</si>
  <si>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</si>
  <si>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</si>
  <si>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</si>
  <si>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</si>
  <si>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</si>
  <si>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</si>
  <si>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</si>
  <si>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</si>
  <si>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</si>
  <si>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</si>
  <si>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</si>
  <si>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</si>
  <si>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</si>
  <si>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</si>
  <si>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</si>
  <si>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</si>
  <si>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</si>
  <si>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</si>
  <si>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</si>
  <si>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</si>
  <si>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</si>
  <si>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</si>
  <si>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</si>
  <si>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</si>
  <si>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</si>
  <si>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</si>
  <si>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</si>
  <si>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</si>
  <si>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</si>
  <si>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</si>
  <si>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</si>
  <si>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</si>
  <si>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</si>
  <si>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</si>
  <si>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</si>
  <si>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</si>
  <si>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</si>
  <si>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</si>
  <si>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</si>
  <si>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</si>
  <si>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</si>
  <si>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</si>
  <si>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</si>
  <si>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</si>
  <si>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</si>
  <si>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</si>
  <si>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</si>
  <si>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</si>
  <si>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</si>
  <si>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</si>
  <si>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</si>
  <si>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</si>
  <si>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</si>
  <si>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</si>
  <si>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</si>
  <si>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</si>
  <si>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</si>
  <si>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</si>
  <si>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</si>
  <si>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</si>
  <si>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</si>
  <si>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</si>
  <si>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</si>
  <si>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</si>
  <si>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</si>
  <si>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</si>
  <si>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</si>
  <si>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</si>
  <si>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</si>
  <si>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</si>
  <si>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</si>
  <si>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</si>
  <si>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</si>
  <si>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</si>
  <si>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</si>
  <si>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</si>
  <si>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</si>
  <si>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</si>
  <si>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</si>
  <si>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</si>
  <si>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</si>
  <si>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</si>
  <si>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</si>
  <si>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</si>
  <si>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</si>
  <si>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</si>
  <si>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</si>
  <si>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</si>
  <si>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</si>
  <si>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</si>
  <si>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</si>
  <si>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</si>
  <si>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</si>
  <si>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</si>
  <si>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</si>
  <si>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</si>
  <si>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</si>
  <si>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</si>
  <si>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</si>
  <si>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</si>
  <si>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</si>
  <si>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</si>
  <si>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</si>
  <si>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</si>
  <si>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</si>
  <si>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</si>
  <si>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</si>
  <si>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</si>
  <si>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</si>
  <si>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</si>
  <si>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</si>
  <si>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</si>
  <si>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</si>
  <si>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</si>
  <si>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</si>
  <si>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</si>
  <si>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</si>
  <si>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</si>
  <si>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</si>
  <si>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</si>
  <si>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</si>
  <si>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</si>
  <si>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</si>
  <si>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</si>
  <si>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</si>
  <si>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</si>
  <si>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</si>
  <si>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</si>
  <si>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</si>
  <si>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</si>
  <si>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</si>
  <si>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</si>
  <si>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</si>
  <si>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</si>
  <si>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</si>
  <si>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</si>
  <si>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</si>
  <si>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</si>
  <si>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</si>
  <si>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</si>
  <si>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</si>
  <si>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</si>
  <si>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</si>
  <si>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</si>
  <si>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</si>
  <si>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</si>
  <si>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</si>
  <si>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</si>
  <si>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</si>
  <si>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</si>
  <si>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</si>
  <si>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</si>
  <si>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</si>
  <si>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</si>
  <si>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</si>
  <si>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</si>
  <si>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</si>
  <si>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</si>
  <si>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</si>
  <si>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</si>
  <si>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</si>
  <si>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</si>
  <si>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</si>
  <si>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</si>
  <si>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</si>
  <si>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</si>
  <si>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</si>
  <si>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</si>
  <si>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</si>
  <si>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</si>
  <si>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</si>
  <si>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</si>
  <si>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</si>
  <si>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</si>
  <si>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</si>
  <si>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</si>
  <si>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</si>
  <si>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</si>
  <si>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</si>
  <si>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</si>
  <si>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</si>
  <si>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</si>
  <si>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</si>
  <si>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</si>
  <si>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</si>
  <si>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</si>
  <si>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</si>
  <si>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</si>
  <si>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</si>
  <si>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</si>
  <si>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</si>
  <si>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</si>
  <si>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</si>
  <si>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</si>
  <si>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</si>
  <si>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</si>
  <si>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</si>
  <si>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</si>
  <si>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</si>
  <si>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</si>
  <si>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</si>
  <si>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</si>
  <si>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</si>
  <si>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</si>
  <si>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</si>
  <si>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</si>
  <si>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</si>
  <si>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</si>
  <si>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</si>
  <si>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</si>
  <si>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</si>
  <si>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</si>
  <si>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</si>
  <si>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</si>
  <si>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</si>
  <si>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</si>
  <si>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</si>
  <si>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</si>
  <si>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</si>
  <si>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</si>
  <si>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</si>
  <si>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</si>
  <si>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</si>
  <si>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</si>
  <si>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</si>
  <si>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</si>
  <si>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</si>
  <si>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</si>
  <si>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</si>
  <si>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</si>
  <si>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</si>
  <si>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</si>
  <si>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</si>
  <si>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</si>
  <si>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</si>
  <si>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</si>
  <si>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</si>
  <si>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</si>
  <si>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</si>
  <si>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</si>
  <si>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</si>
  <si>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</si>
  <si>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</si>
  <si>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</si>
  <si>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</si>
  <si>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</si>
  <si>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</si>
  <si>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</si>
  <si>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</si>
  <si>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</si>
  <si>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</si>
  <si>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</si>
  <si>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</si>
  <si>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</si>
  <si>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</si>
  <si>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</si>
  <si>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</si>
  <si>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</si>
  <si>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</si>
  <si>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</si>
  <si>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</si>
  <si>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</si>
  <si>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</si>
  <si>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</si>
  <si>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</si>
  <si>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</si>
  <si>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</si>
  <si>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</si>
  <si>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</si>
  <si>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</si>
  <si>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</si>
  <si>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</si>
  <si>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</si>
  <si>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</si>
  <si>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</si>
  <si>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</si>
  <si>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</si>
  <si>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</si>
  <si>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</si>
  <si>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</si>
  <si>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</si>
  <si>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</si>
  <si>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</si>
  <si>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</si>
  <si>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</si>
  <si>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</si>
  <si>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</si>
  <si>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</si>
  <si>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</si>
  <si>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</si>
  <si>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</si>
  <si>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</si>
  <si>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</si>
  <si>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</si>
  <si>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</si>
  <si>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</si>
  <si>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</si>
  <si>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</si>
  <si>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</si>
  <si>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</si>
  <si>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</si>
  <si>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</si>
  <si>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</si>
  <si>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</si>
  <si>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</si>
  <si>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</si>
  <si>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</si>
  <si>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</si>
  <si>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</si>
  <si>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</si>
  <si>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</si>
  <si>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</si>
  <si>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</si>
  <si>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</si>
  <si>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</si>
  <si>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</si>
  <si>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</si>
  <si>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</si>
  <si>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</si>
  <si>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</si>
  <si>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</si>
  <si>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</si>
  <si>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</si>
  <si>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</si>
  <si>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</si>
  <si>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</si>
  <si>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</si>
  <si>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</si>
  <si>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</si>
  <si>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</si>
  <si>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</si>
  <si>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</si>
  <si>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</si>
  <si>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</si>
  <si>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</si>
  <si>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</si>
  <si>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</si>
  <si>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</si>
  <si>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</si>
  <si>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</si>
  <si>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</si>
  <si>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</si>
  <si>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</si>
  <si>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</si>
  <si>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</si>
  <si>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</si>
  <si>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</si>
  <si>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</si>
  <si>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</si>
  <si>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</si>
  <si>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</si>
  <si>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</si>
  <si>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</si>
  <si>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</si>
  <si>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</si>
  <si>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</si>
  <si>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</si>
  <si>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</si>
  <si>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</si>
  <si>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</si>
  <si>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</si>
  <si>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</si>
  <si>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</si>
  <si>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</si>
  <si>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</si>
  <si>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</si>
  <si>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</si>
  <si>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</si>
  <si>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</si>
  <si>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</si>
  <si>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</si>
  <si>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</si>
  <si>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</si>
  <si>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</si>
  <si>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</si>
  <si>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</si>
  <si>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</si>
  <si>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</si>
  <si>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</si>
  <si>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</si>
  <si>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</si>
  <si>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</si>
  <si>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</si>
  <si>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</si>
  <si>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</si>
  <si>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</si>
  <si>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</si>
  <si>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</si>
  <si>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</si>
  <si>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</si>
  <si>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</si>
  <si>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</si>
  <si>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</si>
  <si>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</si>
  <si>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</si>
  <si>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</si>
  <si>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</si>
  <si>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</si>
  <si>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</si>
  <si>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</si>
  <si>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</si>
  <si>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</si>
  <si>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</si>
  <si>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</si>
  <si>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</si>
  <si>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</si>
  <si>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</si>
  <si>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</si>
  <si>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</si>
  <si>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</si>
  <si>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</si>
  <si>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</si>
  <si>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</si>
  <si>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</si>
  <si>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</si>
  <si>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</si>
  <si>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</si>
  <si>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</si>
  <si>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</si>
  <si>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</si>
  <si>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</si>
  <si>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</si>
  <si>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</si>
  <si>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</si>
  <si>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</si>
  <si>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</si>
  <si>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</si>
  <si>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</si>
  <si>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</si>
  <si>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</si>
  <si>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</si>
  <si>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</si>
  <si>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</si>
  <si>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</si>
  <si>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</si>
  <si>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</si>
  <si>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</si>
  <si>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</si>
  <si>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</si>
  <si>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</si>
  <si>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</si>
  <si>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</si>
  <si>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</si>
  <si>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</si>
  <si>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</si>
  <si>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</si>
  <si>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</si>
  <si>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</si>
  <si>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</si>
  <si>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</si>
  <si>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</si>
  <si>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</si>
  <si>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</si>
  <si>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</si>
  <si>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</si>
  <si>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</si>
  <si>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</si>
  <si>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</si>
  <si>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</si>
  <si>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</si>
  <si>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</si>
  <si>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</si>
  <si>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</si>
  <si>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</si>
  <si>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</si>
  <si>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</si>
  <si>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</si>
  <si>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</si>
  <si>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</si>
  <si>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</si>
  <si>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</si>
  <si>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</si>
  <si>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</si>
  <si>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</si>
  <si>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</si>
  <si>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</si>
  <si>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</si>
  <si>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</si>
  <si>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</si>
  <si>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</si>
  <si>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</si>
  <si>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</si>
  <si>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</si>
  <si>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</si>
  <si>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</si>
  <si>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</si>
  <si>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</si>
  <si>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</si>
  <si>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</si>
  <si>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</si>
  <si>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</si>
  <si>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</si>
  <si>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</si>
  <si>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</si>
  <si>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</si>
  <si>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</si>
  <si>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</si>
  <si>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</si>
  <si>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</si>
  <si>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</si>
  <si>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</si>
  <si>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</si>
  <si>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</si>
  <si>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</si>
  <si>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</si>
  <si>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</si>
  <si>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</si>
  <si>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</si>
  <si>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</si>
  <si>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</si>
  <si>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</si>
  <si>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</si>
  <si>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</si>
  <si>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</si>
  <si>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</si>
  <si>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</si>
  <si>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</si>
  <si>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</si>
  <si>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</si>
  <si>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</si>
  <si>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</si>
  <si>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</si>
  <si>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</si>
  <si>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</si>
  <si>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</si>
  <si>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</si>
  <si>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</si>
  <si>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</si>
  <si>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</si>
  <si>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</si>
  <si>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</si>
  <si>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</si>
  <si>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</si>
  <si>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</si>
  <si>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</si>
  <si>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</si>
  <si>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</si>
  <si>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</si>
  <si>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</si>
  <si>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</si>
  <si>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</si>
  <si>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</si>
  <si>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</si>
  <si>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</si>
  <si>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</si>
  <si>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</si>
  <si>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</si>
  <si>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</si>
  <si>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</si>
  <si>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</si>
  <si>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</si>
  <si>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</si>
  <si>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</si>
  <si>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</si>
  <si>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</si>
  <si>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</si>
  <si>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</si>
  <si>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</si>
  <si>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</si>
  <si>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</si>
  <si>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</si>
  <si>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</si>
  <si>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</si>
  <si>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</si>
  <si>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</si>
  <si>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</si>
  <si>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</si>
  <si>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</si>
  <si>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</si>
  <si>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</si>
  <si>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</si>
  <si>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</si>
  <si>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</si>
  <si>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</si>
  <si>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</si>
  <si>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</si>
  <si>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</si>
  <si>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</si>
  <si>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</si>
  <si>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</si>
  <si>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</si>
  <si>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</si>
  <si>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</si>
  <si>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</si>
  <si>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</si>
  <si>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</si>
  <si>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</si>
  <si>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</si>
  <si>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</si>
  <si>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</si>
  <si>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</si>
  <si>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</si>
  <si>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</si>
  <si>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</si>
  <si>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</si>
  <si>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</si>
  <si>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</si>
  <si>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</si>
  <si>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</si>
  <si>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</si>
  <si>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</si>
  <si>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</si>
  <si>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</si>
  <si>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</si>
  <si>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</si>
  <si>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</si>
  <si>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</si>
  <si>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</si>
  <si>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</si>
  <si>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</si>
  <si>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</si>
  <si>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</si>
  <si>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</si>
  <si>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</si>
  <si>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</si>
  <si>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</si>
  <si>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</si>
  <si>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</si>
  <si>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</si>
  <si>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</si>
  <si>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</si>
  <si>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</si>
  <si>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</si>
  <si>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</si>
  <si>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</si>
  <si>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</si>
  <si>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</si>
  <si>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</si>
  <si>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</si>
  <si>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</si>
  <si>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</si>
  <si>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</si>
  <si>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</si>
  <si>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</si>
  <si>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</si>
  <si>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</si>
  <si>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</si>
  <si>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</si>
  <si>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</si>
  <si>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</si>
  <si>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</si>
  <si>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</si>
  <si>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</si>
  <si>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</si>
  <si>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</si>
  <si>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</si>
  <si>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</si>
  <si>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</si>
  <si>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</si>
  <si>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</si>
  <si>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</si>
  <si>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</si>
  <si>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</si>
  <si>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</si>
  <si>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</si>
  <si>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</si>
  <si>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</si>
  <si>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</si>
  <si>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</si>
  <si>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</si>
  <si>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</si>
  <si>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</si>
  <si>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</si>
  <si>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</si>
  <si>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</si>
  <si>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</si>
  <si>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</si>
  <si>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</si>
  <si>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</si>
  <si>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</si>
  <si>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</si>
  <si>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</si>
  <si>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</si>
  <si>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</si>
  <si>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</si>
  <si>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</si>
  <si>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</si>
  <si>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</si>
  <si>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</si>
  <si>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</si>
  <si>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</si>
  <si>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</si>
  <si>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</si>
  <si>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</si>
  <si>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</si>
  <si>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</si>
  <si>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</si>
  <si>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</si>
  <si>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</si>
  <si>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</si>
  <si>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</si>
  <si>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</si>
  <si>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</si>
  <si>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</si>
  <si>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</si>
  <si>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</si>
  <si>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</si>
  <si>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</si>
  <si>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</si>
  <si>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</si>
  <si>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</si>
  <si>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</si>
  <si>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</si>
  <si>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</si>
  <si>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</si>
  <si>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</si>
  <si>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</si>
  <si>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</si>
  <si>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</si>
  <si>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</si>
  <si>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</si>
  <si>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</si>
  <si>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</si>
  <si>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</si>
  <si>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</si>
  <si>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</si>
  <si>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</si>
  <si>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</si>
  <si>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</si>
  <si>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</si>
  <si>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</si>
  <si>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</si>
  <si>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</si>
  <si>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</si>
  <si>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</si>
  <si>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</si>
  <si>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</si>
  <si>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</si>
  <si>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</si>
  <si>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</si>
  <si>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</si>
  <si>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</si>
  <si>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</si>
  <si>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</si>
  <si>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</si>
  <si>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</si>
  <si>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</si>
  <si>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</si>
  <si>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</si>
  <si>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</si>
  <si>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</si>
  <si>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</si>
  <si>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</si>
  <si>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</si>
  <si>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</si>
  <si>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</si>
  <si>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</si>
  <si>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</si>
  <si>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</si>
  <si>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</si>
  <si>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</si>
  <si>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</si>
  <si>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</si>
  <si>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</si>
  <si>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</si>
  <si>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</si>
  <si>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</si>
  <si>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</si>
  <si>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</si>
  <si>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</si>
  <si>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</si>
  <si>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</si>
  <si>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</si>
  <si>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</si>
  <si>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</si>
  <si>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</si>
  <si>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</si>
  <si>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</si>
  <si>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</si>
  <si>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</si>
  <si>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</si>
  <si>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</si>
  <si>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</si>
  <si>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</si>
  <si>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</si>
  <si>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</si>
  <si>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</si>
  <si>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</si>
  <si>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</si>
  <si>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</si>
  <si>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</si>
  <si>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</si>
  <si>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</si>
  <si>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</si>
  <si>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</si>
  <si>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</si>
  <si>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</si>
  <si>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</si>
  <si>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</si>
  <si>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</si>
  <si>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</si>
  <si>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</si>
  <si>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</si>
  <si>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</si>
  <si>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</si>
  <si>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</si>
  <si>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</si>
  <si>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</si>
  <si>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</si>
  <si>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</si>
  <si>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</si>
  <si>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</si>
  <si>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</si>
  <si>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</si>
  <si>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</si>
  <si>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</si>
  <si>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</si>
  <si>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</si>
  <si>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</si>
  <si>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</si>
  <si>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</si>
  <si>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</si>
  <si>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</si>
  <si>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</si>
  <si>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</si>
  <si>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</si>
  <si>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</si>
  <si>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</si>
  <si>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</si>
  <si>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</si>
  <si>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</si>
  <si>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</si>
  <si>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</si>
  <si>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</si>
  <si>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</si>
  <si>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</si>
  <si>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</si>
  <si>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</si>
  <si>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</si>
  <si>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</si>
  <si>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</si>
  <si>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</si>
  <si>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</si>
  <si>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</si>
  <si>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</si>
  <si>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</si>
  <si>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</si>
  <si>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</si>
  <si>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</si>
  <si>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</si>
  <si>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</si>
  <si>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</si>
  <si>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</si>
  <si>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</si>
  <si>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</si>
  <si>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</si>
  <si>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</si>
  <si>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</si>
  <si>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</si>
  <si>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</si>
  <si>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</si>
  <si>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</si>
  <si>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</si>
  <si>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</si>
  <si>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</si>
  <si>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</si>
  <si>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</si>
  <si>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</si>
  <si>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</si>
  <si>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</si>
  <si>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</si>
  <si>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</si>
  <si>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</si>
  <si>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</si>
  <si>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</si>
  <si>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</si>
  <si>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</si>
  <si>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</si>
  <si>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</si>
  <si>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</si>
  <si>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</si>
  <si>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</si>
  <si>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</si>
  <si>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</si>
  <si>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</si>
  <si>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</si>
  <si>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</si>
  <si>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</si>
  <si>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</si>
  <si>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</si>
  <si>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</si>
  <si>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</si>
  <si>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</si>
  <si>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</si>
  <si>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</si>
  <si>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</si>
  <si>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</si>
  <si>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</si>
  <si>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</si>
  <si>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</si>
  <si>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</si>
  <si>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</si>
  <si>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</si>
  <si>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</si>
  <si>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</si>
  <si>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</si>
  <si>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</si>
  <si>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</si>
  <si>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</si>
  <si>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</si>
  <si>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</si>
  <si>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</si>
  <si>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</si>
  <si>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</si>
  <si>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</si>
  <si>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</si>
  <si>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</si>
  <si>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</si>
  <si>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</si>
  <si>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</si>
  <si>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</si>
  <si>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</si>
  <si>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</si>
  <si>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</si>
  <si>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</si>
  <si>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</si>
  <si>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</si>
  <si>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</si>
  <si>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</si>
  <si>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</si>
  <si>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</si>
  <si>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</si>
  <si>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</si>
  <si>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</si>
  <si>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</si>
  <si>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</si>
  <si>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</si>
  <si>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</si>
  <si>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</si>
  <si>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</si>
  <si>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</si>
  <si>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</si>
  <si>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</si>
  <si>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</si>
  <si>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</si>
  <si>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</si>
  <si>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</si>
  <si>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</si>
  <si>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</si>
  <si>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</si>
  <si>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</si>
  <si>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</si>
  <si>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</si>
  <si>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</si>
  <si>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</si>
  <si>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</si>
  <si>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</si>
  <si>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</si>
  <si>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</si>
  <si>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</si>
  <si>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</si>
  <si>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</si>
  <si>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</si>
  <si>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</si>
  <si>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</si>
  <si>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</si>
  <si>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</si>
  <si>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</si>
  <si>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</si>
  <si>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</si>
  <si>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</si>
  <si>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</si>
  <si>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</si>
  <si>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</si>
  <si>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</si>
  <si>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</si>
  <si>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</si>
  <si>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</si>
  <si>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</si>
  <si>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</si>
  <si>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</si>
  <si>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</si>
  <si>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</si>
  <si>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</si>
  <si>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</si>
  <si>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</si>
  <si>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</si>
  <si>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</si>
  <si>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</si>
  <si>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</si>
  <si>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</si>
  <si>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</si>
  <si>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</si>
  <si>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</si>
  <si>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</si>
  <si>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</si>
  <si>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</si>
  <si>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</si>
  <si>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</si>
  <si>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</si>
  <si>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</si>
  <si>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</si>
  <si>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</si>
  <si>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</si>
  <si>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</si>
  <si>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</si>
  <si>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</si>
  <si>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</si>
  <si>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</si>
  <si>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</si>
  <si>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</si>
  <si>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</si>
  <si>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</si>
  <si>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</si>
  <si>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</si>
  <si>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</si>
  <si>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</si>
  <si>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</si>
  <si>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</si>
  <si>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</si>
  <si>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</si>
  <si>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</si>
  <si>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</si>
  <si>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</si>
  <si>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</si>
  <si>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</si>
  <si>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</si>
  <si>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</si>
  <si>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</si>
  <si>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</si>
  <si>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</si>
  <si>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</si>
  <si>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</si>
  <si>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</si>
  <si>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</si>
  <si>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</si>
  <si>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</si>
  <si>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</si>
  <si>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</si>
  <si>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</si>
  <si>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</si>
  <si>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</si>
  <si>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</si>
  <si>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</si>
  <si>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</si>
  <si>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</si>
  <si>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</si>
  <si>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</si>
  <si>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</si>
  <si>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</si>
  <si>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</si>
  <si>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</si>
  <si>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</si>
  <si>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</si>
  <si>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</si>
  <si>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</si>
  <si>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</si>
  <si>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</si>
  <si>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</si>
  <si>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</si>
  <si>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</si>
  <si>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</si>
  <si>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</si>
  <si>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</si>
  <si>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</si>
  <si>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</si>
  <si>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</si>
  <si>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</si>
  <si>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</si>
  <si>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</si>
  <si>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</si>
  <si>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</si>
  <si>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</si>
  <si>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</si>
  <si>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</si>
  <si>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</si>
  <si>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</si>
  <si>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</si>
  <si>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</si>
  <si>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</si>
  <si>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</si>
  <si>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</si>
  <si>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</si>
  <si>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</si>
  <si>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</si>
  <si>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</si>
  <si>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</si>
  <si>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</si>
  <si>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</si>
  <si>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</si>
  <si>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</si>
  <si>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</si>
  <si>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</si>
  <si>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</si>
  <si>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</si>
  <si>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</si>
  <si>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</si>
  <si>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</si>
  <si>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</si>
  <si>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</si>
  <si>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</si>
  <si>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</si>
  <si>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</si>
  <si>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</si>
  <si>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</si>
  <si>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</si>
  <si>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</si>
  <si>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</si>
  <si>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</si>
  <si>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</si>
  <si>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</si>
  <si>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</si>
  <si>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</si>
  <si>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</si>
  <si>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</si>
  <si>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</si>
  <si>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</si>
  <si>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</si>
  <si>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</si>
  <si>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</si>
  <si>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</si>
  <si>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</si>
  <si>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</si>
  <si>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</si>
  <si>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</si>
  <si>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</si>
  <si>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</si>
  <si>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</si>
  <si>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</si>
  <si>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</si>
  <si>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</si>
  <si>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</si>
  <si>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</si>
  <si>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</si>
  <si>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</si>
  <si>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</si>
  <si>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</si>
  <si>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</si>
  <si>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</si>
  <si>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</si>
  <si>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</si>
  <si>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</si>
  <si>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</si>
  <si>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</si>
  <si>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</si>
  <si>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</si>
  <si>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</si>
  <si>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</si>
  <si>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</si>
  <si>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</si>
  <si>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</si>
  <si>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</si>
  <si>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</si>
  <si>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</si>
  <si>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</si>
  <si>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</si>
  <si>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</si>
  <si>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</si>
  <si>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</si>
  <si>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</si>
  <si>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</si>
  <si>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</si>
  <si>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</si>
  <si>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</si>
  <si>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</si>
  <si>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</si>
  <si>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</si>
  <si>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</si>
  <si>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</si>
  <si>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</si>
  <si>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</si>
  <si>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</si>
  <si>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</si>
  <si>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</si>
  <si>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</si>
  <si>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</si>
  <si>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</si>
  <si>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</si>
  <si>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</si>
  <si>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</si>
  <si>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</si>
  <si>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</si>
  <si>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</si>
  <si>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</si>
  <si>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</si>
  <si>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</si>
  <si>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</si>
  <si>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</si>
  <si>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</si>
  <si>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</si>
  <si>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</si>
  <si>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</si>
  <si>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</si>
  <si>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</si>
  <si>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</si>
  <si>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</si>
  <si>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</si>
  <si>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</si>
  <si>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</si>
  <si>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</si>
  <si>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</si>
  <si>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</si>
  <si>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</si>
  <si>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</si>
  <si>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</si>
  <si>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</si>
  <si>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</si>
  <si>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</si>
  <si>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</si>
  <si>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</si>
  <si>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</si>
  <si>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</si>
  <si>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</si>
  <si>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</si>
  <si>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</si>
  <si>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</si>
  <si>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</si>
  <si>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</si>
  <si>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</si>
  <si>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</si>
  <si>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</si>
  <si>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</si>
  <si>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</si>
  <si>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</si>
  <si>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</si>
  <si>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</si>
  <si>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</si>
  <si>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</si>
  <si>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</si>
  <si>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</si>
  <si>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</si>
  <si>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</si>
  <si>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</si>
  <si>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</si>
  <si>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</si>
  <si>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</si>
  <si>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</si>
  <si>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</si>
  <si>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</si>
  <si>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</si>
  <si>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</si>
  <si>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</si>
  <si>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</si>
  <si>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</si>
  <si>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</si>
  <si>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</si>
  <si>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</si>
  <si>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</si>
  <si>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</si>
  <si>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</si>
  <si>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</si>
  <si>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</si>
  <si>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</si>
  <si>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</si>
  <si>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</si>
  <si>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</si>
  <si>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</si>
  <si>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</si>
  <si>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</si>
  <si>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</si>
  <si>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</si>
  <si>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</si>
  <si>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</si>
  <si>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</si>
  <si>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</si>
  <si>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</si>
  <si>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</si>
  <si>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</si>
  <si>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</si>
  <si>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</si>
  <si>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</si>
  <si>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</si>
  <si>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</si>
  <si>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</si>
  <si>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</si>
  <si>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</si>
  <si>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</si>
  <si>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</si>
  <si>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</si>
  <si>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</si>
  <si>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</si>
  <si>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</si>
  <si>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</si>
  <si>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</si>
  <si>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</si>
  <si>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</si>
  <si>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</si>
  <si>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</si>
  <si>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</si>
  <si>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</si>
  <si>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</si>
  <si>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DuPage County</t>
  </si>
  <si>
    <t>699 Plainfield Road</t>
  </si>
  <si>
    <t>Downers Grove</t>
  </si>
  <si>
    <t>630-910-0980</t>
  </si>
  <si>
    <t>ctedeschi@ccsd66.org</t>
  </si>
  <si>
    <t>Sikich LLP</t>
  </si>
  <si>
    <t>Anthony Cervini</t>
  </si>
  <si>
    <t>1415 W Diehl Road, Suite 400</t>
  </si>
  <si>
    <t>Naperville</t>
  </si>
  <si>
    <t xml:space="preserve">IL </t>
  </si>
  <si>
    <t>630-566-8400</t>
  </si>
  <si>
    <t>630-566-8401</t>
  </si>
  <si>
    <t>066-003284</t>
  </si>
  <si>
    <t>anthony.cervini@sikich.com</t>
  </si>
  <si>
    <t>PDF in Opinion Page with Signature and date</t>
  </si>
  <si>
    <t>Series 2010</t>
  </si>
  <si>
    <t>Series 2017</t>
  </si>
  <si>
    <t>Series 2018</t>
  </si>
  <si>
    <t xml:space="preserve">Capital Leases </t>
  </si>
  <si>
    <t>Various</t>
  </si>
  <si>
    <t>General Obligation Bonds</t>
  </si>
  <si>
    <t>Capital Leases</t>
  </si>
  <si>
    <t>Illinois Energy Consortium</t>
  </si>
  <si>
    <t xml:space="preserve">Aramark Corporation </t>
  </si>
  <si>
    <t xml:space="preserve">Illinois School District Liquid Asset Fund </t>
  </si>
  <si>
    <t>Aesop (Frontline Technologies)</t>
  </si>
  <si>
    <t xml:space="preserve">School Association for Special Education in Dupage </t>
  </si>
  <si>
    <t>Southeast DuPage Purchasing Group</t>
  </si>
  <si>
    <t>Salt Purchase with City of Darien</t>
  </si>
  <si>
    <t>10-2560-400</t>
  </si>
  <si>
    <t>Aramark Corporation</t>
  </si>
  <si>
    <t>Blue Water Consulting</t>
  </si>
  <si>
    <t>10-2520-300</t>
  </si>
  <si>
    <t>10-2620-400</t>
  </si>
  <si>
    <t>Forecast 5 Analytics</t>
  </si>
  <si>
    <t>10-2640-400</t>
  </si>
  <si>
    <t>Frontline Technologies</t>
  </si>
  <si>
    <t>10-2630-400</t>
  </si>
  <si>
    <t>PowerSchool</t>
  </si>
  <si>
    <t>10-2520-400</t>
  </si>
  <si>
    <t>Plansource</t>
  </si>
  <si>
    <t>Specialized Data Systems</t>
  </si>
  <si>
    <t>Heartland School Solutions</t>
  </si>
  <si>
    <t>10-2560-300</t>
  </si>
  <si>
    <t>Infinisource Benefit Services</t>
  </si>
  <si>
    <t xml:space="preserve">ED - Food Services - Supplies and Materials </t>
  </si>
  <si>
    <t>ED - Fiscal Services - Purchased Services</t>
  </si>
  <si>
    <t xml:space="preserve">ED - Staff Services - Supplies and Materials </t>
  </si>
  <si>
    <t xml:space="preserve">ED - Information Services - Supplies and materials </t>
  </si>
  <si>
    <t xml:space="preserve">Ed - Fiscal Services - Supplies and Materials </t>
  </si>
  <si>
    <t xml:space="preserve">ED - Food Services - Purchased Services </t>
  </si>
  <si>
    <t>10-4299: Value of food commodities</t>
  </si>
  <si>
    <t xml:space="preserve">Short-Term Long-Term Debt 24 - Schedule of Long Term Debt ($84,708): $176,158 of new capital leases issued and ($263,866) of principal payments made on capital lease. </t>
  </si>
  <si>
    <t>30-5400: Bond Issuance Costs</t>
  </si>
  <si>
    <t xml:space="preserve">50-2190: Student Supervision </t>
  </si>
  <si>
    <t xml:space="preserve">10-2190: Student Supervision </t>
  </si>
  <si>
    <t xml:space="preserve">10-1690: Management Fees </t>
  </si>
  <si>
    <t xml:space="preserve">10-1790: Pupil Activities Fees </t>
  </si>
  <si>
    <t xml:space="preserve">10-1890: Techonlogy Device Fees </t>
  </si>
  <si>
    <t xml:space="preserve">10-1993: BACC Program, BACC Summer Camp, BACC Preschool </t>
  </si>
  <si>
    <t xml:space="preserve">10-1999: Miscellaneous Revenues </t>
  </si>
  <si>
    <t>630-783-5155</t>
  </si>
  <si>
    <t xml:space="preserve">Griff Powell </t>
  </si>
  <si>
    <t>gpowell@ccsd66.org</t>
  </si>
  <si>
    <t>Center Cass SD 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</si>
</sst>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91">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38" fontId="126" fillId="16" borderId="157" xfId="17" applyNumberFormat="1" applyFont="1" applyFill="1" applyBorder="1" applyAlignment="1" applyProtection="1">
      <alignment horizontal="right" vertical="top"/>
    </xf>
    <xf numFmtId="0" fontId="125" fillId="0" borderId="149" xfId="17" applyFont="1" applyFill="1" applyBorder="1" applyAlignment="1">
      <alignment vertical="center"/>
    </xf>
    <xf numFmtId="0" fontId="125" fillId="0" borderId="76" xfId="17" applyFont="1" applyFill="1" applyBorder="1" applyAlignment="1">
      <alignment vertical="center"/>
    </xf>
    <xf numFmtId="0" fontId="125" fillId="0" borderId="150" xfId="17" applyFont="1" applyFill="1" applyBorder="1" applyAlignment="1">
      <alignment vertical="center"/>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1" fillId="0" borderId="157" xfId="17" applyFont="1" applyBorder="1" applyAlignment="1" applyProtection="1">
      <alignment horizontal="left" vertical="top" wrapText="1"/>
      <protection locked="0"/>
    </xf>
    <xf numFmtId="17" fontId="56" fillId="0" borderId="0" xfId="0" quotePrefix="1" applyNumberFormat="1" applyFont="1" applyAlignment="1">
      <alignment horizontal="left"/>
    </xf>
    <xf numFmtId="0" fontId="56" fillId="0" borderId="0" xfId="0" quotePrefix="1" applyFont="1"/>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17" xfId="12" applyNumberFormat="1" applyFont="1" applyBorder="1" applyAlignment="1" applyProtection="1">
      <alignment horizontal="left" vertical="center" indent="1"/>
      <protection locked="0"/>
    </xf>
    <xf numFmtId="0" fontId="12" fillId="0" borderId="0"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0" fontId="12" fillId="0" borderId="19" xfId="12" applyNumberFormat="1" applyFont="1" applyBorder="1" applyAlignment="1" applyProtection="1">
      <alignment horizontal="lef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2" fillId="0" borderId="0" xfId="0" applyNumberFormat="1" applyFont="1" applyBorder="1" applyAlignment="1" applyProtection="1">
      <alignment horizontal="left" vertical="center" indent="1"/>
      <protection locked="0"/>
    </xf>
    <xf numFmtId="0" fontId="12" fillId="0" borderId="18" xfId="0" applyFont="1" applyBorder="1" applyAlignment="1" applyProtection="1">
      <alignment horizontal="left" vertical="center" indent="1"/>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49" fontId="12" fillId="0" borderId="0" xfId="12" applyNumberFormat="1" applyFont="1" applyBorder="1" applyAlignment="1" applyProtection="1">
      <alignment horizontal="center" vertical="center"/>
    </xf>
    <xf numFmtId="0" fontId="13" fillId="0" borderId="19" xfId="12" applyFont="1" applyBorder="1" applyAlignment="1" applyProtection="1">
      <alignment vertical="center"/>
    </xf>
    <xf numFmtId="0" fontId="13"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2" fillId="0" borderId="19" xfId="12"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33" fillId="0" borderId="17" xfId="12" applyNumberFormat="1" applyFont="1" applyBorder="1" applyAlignment="1" applyProtection="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3" fillId="6" borderId="13" xfId="0"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4" fillId="12" borderId="13" xfId="0" applyNumberFormat="1" applyFont="1" applyFill="1" applyBorder="1" applyAlignment="1" applyProtection="1">
      <alignment horizontal="center" vertical="center"/>
    </xf>
    <xf numFmtId="0" fontId="56" fillId="12" borderId="14" xfId="0" applyFont="1" applyFill="1" applyBorder="1" applyAlignment="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64" fillId="12" borderId="13" xfId="9" applyFont="1" applyFill="1" applyBorder="1" applyAlignment="1">
      <alignment horizontal="center" vertical="center"/>
    </xf>
    <xf numFmtId="0" fontId="61" fillId="0" borderId="6" xfId="0" applyFont="1" applyBorder="1" applyAlignment="1" applyProtection="1">
      <alignment horizontal="left" vertical="center" wrapText="1"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5" xfId="3" applyNumberFormat="1" applyFont="1" applyBorder="1" applyAlignment="1" applyProtection="1">
      <alignment horizontal="left"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61" fillId="0" borderId="0" xfId="3" applyFont="1" applyAlignment="1" applyProtection="1">
      <alignment horizontal="left" vertical="center" wrapText="1"/>
    </xf>
    <xf numFmtId="3" fontId="54" fillId="0" borderId="77" xfId="3" applyNumberFormat="1" applyFont="1" applyBorder="1" applyAlignment="1" applyProtection="1">
      <alignment horizontal="right" indent="1"/>
      <protection locked="0"/>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53" fillId="0" borderId="78" xfId="3" applyFont="1" applyBorder="1" applyAlignment="1" applyProtection="1">
      <alignment horizont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53"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701387</xdr:colOff>
          <xdr:row>2</xdr:row>
          <xdr:rowOff>147206</xdr:rowOff>
        </xdr:from>
        <xdr:to>
          <xdr:col>1</xdr:col>
          <xdr:colOff>1615787</xdr:colOff>
          <xdr:row>7</xdr:row>
          <xdr:rowOff>20783</xdr:rowOff>
        </xdr:to>
        <xdr:sp macro="" textlink="">
          <xdr:nvSpPr>
            <xdr:cNvPr id="35845" name="Object 5" hidden="1">
              <a:extLst>
                <a:ext uri="{63B3BB69-23CF-44E3-9099-C40C66FF867C}">
                  <a14:compatExt spid="_x0000_s35845"/>
                </a:ext>
                <a:ext uri="{FF2B5EF4-FFF2-40B4-BE49-F238E27FC236}">
                  <a16:creationId xmlns:a16="http://schemas.microsoft.com/office/drawing/2014/main" id="{00000000-0008-0000-1400-000005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1783773</xdr:colOff>
          <xdr:row>2</xdr:row>
          <xdr:rowOff>147205</xdr:rowOff>
        </xdr:from>
        <xdr:to>
          <xdr:col>1</xdr:col>
          <xdr:colOff>2698173</xdr:colOff>
          <xdr:row>7</xdr:row>
          <xdr:rowOff>20782</xdr:rowOff>
        </xdr:to>
        <xdr:sp macro="" textlink="">
          <xdr:nvSpPr>
            <xdr:cNvPr id="35846" name="Object 6" hidden="1">
              <a:extLst>
                <a:ext uri="{63B3BB69-23CF-44E3-9099-C40C66FF867C}">
                  <a14:compatExt spid="_x0000_s35846"/>
                </a:ext>
                <a:ext uri="{FF2B5EF4-FFF2-40B4-BE49-F238E27FC236}">
                  <a16:creationId xmlns:a16="http://schemas.microsoft.com/office/drawing/2014/main" id="{00000000-0008-0000-1400-000006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50"/>
  </sheetPr>
  <dimension ref="A1:AB48"/>
  <sheetViews>
    <sheetView showGridLines="0" tabSelected="1" zoomScale="80" zoomScaleNormal="8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20" t="s">
        <v>405</v>
      </c>
      <c r="J1" s="2021"/>
      <c r="K1" s="2021"/>
      <c r="L1" s="2021"/>
      <c r="M1" s="2021"/>
      <c r="N1" s="2021"/>
      <c r="O1" s="2021"/>
      <c r="P1" s="2021"/>
      <c r="Q1" s="2021"/>
      <c r="R1" s="2021"/>
      <c r="S1" s="2021"/>
    </row>
    <row r="2" spans="1:28" ht="12" customHeight="1" x14ac:dyDescent="0.2">
      <c r="A2" s="47" t="s">
        <v>1991</v>
      </c>
      <c r="D2" s="48"/>
      <c r="I2" s="2022" t="s">
        <v>979</v>
      </c>
      <c r="J2" s="2021"/>
      <c r="K2" s="2021"/>
      <c r="L2" s="2021"/>
      <c r="M2" s="2021"/>
      <c r="N2" s="2021"/>
      <c r="O2" s="2021"/>
      <c r="P2" s="2021"/>
      <c r="Q2" s="2021"/>
      <c r="R2" s="2021"/>
      <c r="S2" s="2021"/>
    </row>
    <row r="3" spans="1:28" ht="12" customHeight="1" x14ac:dyDescent="0.2">
      <c r="A3" s="155" t="s">
        <v>1943</v>
      </c>
      <c r="B3" s="156"/>
      <c r="C3" s="156"/>
      <c r="D3" s="157"/>
      <c r="I3" s="2022" t="s">
        <v>52</v>
      </c>
      <c r="J3" s="2021"/>
      <c r="K3" s="2021"/>
      <c r="L3" s="2021"/>
      <c r="M3" s="2021"/>
      <c r="N3" s="2021"/>
      <c r="O3" s="2021"/>
      <c r="P3" s="2021"/>
      <c r="Q3" s="2021"/>
      <c r="R3" s="2021"/>
      <c r="S3" s="2021"/>
    </row>
    <row r="4" spans="1:28" ht="12" customHeight="1" x14ac:dyDescent="0.2">
      <c r="A4" s="37"/>
      <c r="I4" s="2022" t="s">
        <v>524</v>
      </c>
      <c r="J4" s="2021"/>
      <c r="K4" s="2021"/>
      <c r="L4" s="2021"/>
      <c r="M4" s="2021"/>
      <c r="N4" s="2021"/>
      <c r="O4" s="2021"/>
      <c r="P4" s="2021"/>
      <c r="Q4" s="2021"/>
      <c r="R4" s="2021"/>
      <c r="S4" s="2021"/>
    </row>
    <row r="5" spans="1:28" ht="14.1" customHeight="1" x14ac:dyDescent="0.2">
      <c r="B5" s="104" t="s">
        <v>2065</v>
      </c>
      <c r="C5" s="26" t="s">
        <v>910</v>
      </c>
      <c r="D5" s="84"/>
      <c r="E5" s="84"/>
      <c r="H5" s="38"/>
      <c r="I5" s="2029" t="s">
        <v>680</v>
      </c>
      <c r="J5" s="1974"/>
      <c r="K5" s="1974"/>
      <c r="L5" s="1974"/>
      <c r="M5" s="1974"/>
      <c r="N5" s="1974"/>
      <c r="O5" s="1974"/>
      <c r="P5" s="1974"/>
      <c r="Q5" s="1974"/>
      <c r="R5" s="1974"/>
      <c r="S5" s="1974"/>
    </row>
    <row r="6" spans="1:28" ht="14.1" customHeight="1" x14ac:dyDescent="0.2">
      <c r="B6" s="104"/>
      <c r="C6" s="26" t="s">
        <v>911</v>
      </c>
      <c r="D6" s="84"/>
      <c r="E6" s="84"/>
      <c r="I6" s="2028" t="s">
        <v>883</v>
      </c>
      <c r="J6" s="1974"/>
      <c r="K6" s="1974"/>
      <c r="L6" s="1974"/>
      <c r="M6" s="1974"/>
      <c r="N6" s="1974"/>
      <c r="O6" s="1974"/>
      <c r="P6" s="1974"/>
      <c r="Q6" s="1974"/>
      <c r="R6" s="1974"/>
      <c r="S6" s="1974"/>
    </row>
    <row r="7" spans="1:28" ht="12.2" customHeight="1" x14ac:dyDescent="0.2">
      <c r="I7" s="2023">
        <v>43646</v>
      </c>
      <c r="J7" s="2024"/>
      <c r="K7" s="2024"/>
      <c r="L7" s="2024"/>
      <c r="M7" s="2024"/>
      <c r="N7" s="2024"/>
      <c r="O7" s="2024"/>
      <c r="P7" s="2024"/>
      <c r="Q7" s="2024"/>
      <c r="R7" s="2024"/>
      <c r="S7" s="202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5" t="s">
        <v>674</v>
      </c>
      <c r="J9" s="2026"/>
      <c r="K9" s="2026"/>
      <c r="L9" s="2026"/>
      <c r="M9" s="2026"/>
      <c r="N9" s="2026"/>
      <c r="O9" s="2026"/>
      <c r="P9" s="2026"/>
      <c r="Q9" s="2026"/>
      <c r="R9" s="2026"/>
      <c r="S9" s="2027"/>
      <c r="T9" s="1970" t="s">
        <v>533</v>
      </c>
      <c r="U9" s="1971"/>
      <c r="V9" s="1971"/>
      <c r="W9" s="1971"/>
      <c r="X9" s="1971"/>
      <c r="Y9" s="1971"/>
      <c r="Z9" s="1971"/>
      <c r="AA9" s="1972"/>
    </row>
    <row r="10" spans="1:28" ht="13.5" customHeight="1" x14ac:dyDescent="0.2">
      <c r="A10" s="1979" t="s">
        <v>675</v>
      </c>
      <c r="B10" s="1980"/>
      <c r="C10" s="1980"/>
      <c r="D10" s="1980"/>
      <c r="E10" s="1980"/>
      <c r="F10" s="1980"/>
      <c r="G10" s="1980"/>
      <c r="H10" s="1981"/>
      <c r="I10" s="29"/>
      <c r="J10" s="30"/>
      <c r="K10" s="28"/>
      <c r="R10" s="30"/>
      <c r="S10" s="30"/>
      <c r="T10" s="1973"/>
      <c r="U10" s="1974"/>
      <c r="V10" s="1974"/>
      <c r="W10" s="1974"/>
      <c r="X10" s="1974"/>
      <c r="Y10" s="1974"/>
      <c r="Z10" s="1974"/>
      <c r="AA10" s="1975"/>
    </row>
    <row r="11" spans="1:28" ht="14.25" customHeight="1" x14ac:dyDescent="0.2">
      <c r="A11" s="1982" t="s">
        <v>955</v>
      </c>
      <c r="B11" s="1983"/>
      <c r="C11" s="1983"/>
      <c r="D11" s="1983"/>
      <c r="E11" s="1983"/>
      <c r="F11" s="1983"/>
      <c r="G11" s="1983"/>
      <c r="H11" s="1984"/>
      <c r="I11" s="27"/>
      <c r="J11" s="74"/>
      <c r="K11" s="27"/>
      <c r="O11" s="148" t="s">
        <v>2065</v>
      </c>
      <c r="P11" s="100" t="s">
        <v>201</v>
      </c>
      <c r="Q11" s="30"/>
      <c r="R11" s="28"/>
      <c r="S11" s="27"/>
      <c r="T11" s="1976"/>
      <c r="U11" s="1977"/>
      <c r="V11" s="1977"/>
      <c r="W11" s="1977"/>
      <c r="X11" s="1977"/>
      <c r="Y11" s="1977"/>
      <c r="Z11" s="1977"/>
      <c r="AA11" s="1978"/>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90">
        <v>19022066002</v>
      </c>
      <c r="B13" s="1991"/>
      <c r="C13" s="1991"/>
      <c r="D13" s="1991"/>
      <c r="E13" s="1991"/>
      <c r="F13" s="1991"/>
      <c r="G13" s="1991"/>
      <c r="H13" s="1992"/>
      <c r="I13" s="31"/>
      <c r="J13" s="30"/>
      <c r="K13" s="28"/>
      <c r="L13" s="30"/>
      <c r="M13" s="30"/>
      <c r="N13" s="30"/>
      <c r="O13" s="30"/>
      <c r="P13" s="30"/>
      <c r="Q13" s="30"/>
      <c r="R13" s="30"/>
      <c r="S13" s="30"/>
      <c r="T13" s="1995" t="s">
        <v>2071</v>
      </c>
      <c r="U13" s="1996"/>
      <c r="V13" s="1996"/>
      <c r="W13" s="1996"/>
      <c r="X13" s="1996"/>
      <c r="Y13" s="1997"/>
      <c r="Z13" s="1997"/>
      <c r="AA13" s="1998"/>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8" t="s">
        <v>2066</v>
      </c>
      <c r="B15" s="1993"/>
      <c r="C15" s="1993"/>
      <c r="D15" s="1993"/>
      <c r="E15" s="1993"/>
      <c r="F15" s="1993"/>
      <c r="G15" s="1993"/>
      <c r="H15" s="1994"/>
      <c r="T15" s="1956" t="s">
        <v>2072</v>
      </c>
      <c r="U15" s="1957"/>
      <c r="V15" s="1957"/>
      <c r="W15" s="1957"/>
      <c r="X15" s="1957"/>
      <c r="Y15" s="1999"/>
      <c r="Z15" s="1999"/>
      <c r="AA15" s="2000"/>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8" t="s">
        <v>2130</v>
      </c>
      <c r="B17" s="2018"/>
      <c r="C17" s="2018"/>
      <c r="D17" s="2018"/>
      <c r="E17" s="2018"/>
      <c r="F17" s="2018"/>
      <c r="G17" s="2018"/>
      <c r="H17" s="2019"/>
      <c r="T17" s="2005" t="s">
        <v>2073</v>
      </c>
      <c r="U17" s="2006"/>
      <c r="V17" s="2006"/>
      <c r="W17" s="2006"/>
      <c r="X17" s="2006"/>
      <c r="Y17" s="2006"/>
      <c r="Z17" s="2006"/>
      <c r="AA17" s="2007"/>
    </row>
    <row r="18" spans="1:27" ht="13.5" customHeight="1" x14ac:dyDescent="0.2">
      <c r="A18" s="85" t="s">
        <v>530</v>
      </c>
      <c r="B18" s="76"/>
      <c r="C18" s="72"/>
      <c r="D18" s="76"/>
      <c r="E18" s="76"/>
      <c r="F18" s="76"/>
      <c r="G18" s="76"/>
      <c r="H18" s="56"/>
      <c r="I18" s="2015" t="s">
        <v>676</v>
      </c>
      <c r="J18" s="2016"/>
      <c r="K18" s="2016"/>
      <c r="L18" s="2016"/>
      <c r="M18" s="2016"/>
      <c r="N18" s="2016"/>
      <c r="O18" s="2016"/>
      <c r="P18" s="2016"/>
      <c r="Q18" s="2016"/>
      <c r="R18" s="2016"/>
      <c r="S18" s="2017"/>
      <c r="T18" s="85" t="s">
        <v>711</v>
      </c>
      <c r="U18" s="51"/>
      <c r="V18" s="72"/>
      <c r="W18" s="50"/>
      <c r="X18" s="85" t="s">
        <v>266</v>
      </c>
      <c r="Y18" s="81"/>
      <c r="Z18" s="159" t="s">
        <v>677</v>
      </c>
      <c r="AA18" s="46"/>
    </row>
    <row r="19" spans="1:27" ht="13.5" customHeight="1" x14ac:dyDescent="0.2">
      <c r="A19" s="1988" t="s">
        <v>2067</v>
      </c>
      <c r="B19" s="1989"/>
      <c r="C19" s="1989"/>
      <c r="D19" s="1989"/>
      <c r="E19" s="1989"/>
      <c r="F19" s="1989"/>
      <c r="G19" s="1989"/>
      <c r="H19" s="1987"/>
      <c r="I19" s="30"/>
      <c r="J19" s="99"/>
      <c r="K19" s="40"/>
      <c r="L19" s="38"/>
      <c r="M19" s="112" t="s">
        <v>315</v>
      </c>
      <c r="P19" s="27"/>
      <c r="Q19" s="27"/>
      <c r="R19" s="27"/>
      <c r="S19" s="31"/>
      <c r="T19" s="1988" t="s">
        <v>2074</v>
      </c>
      <c r="U19" s="1986"/>
      <c r="V19" s="1986"/>
      <c r="W19" s="1987"/>
      <c r="X19" s="2003" t="s">
        <v>2075</v>
      </c>
      <c r="Y19" s="2004"/>
      <c r="Z19" s="2001">
        <v>60563</v>
      </c>
      <c r="AA19" s="2002"/>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5" t="s">
        <v>2068</v>
      </c>
      <c r="B21" s="1986"/>
      <c r="C21" s="1986"/>
      <c r="D21" s="1986"/>
      <c r="E21" s="1986"/>
      <c r="F21" s="1986"/>
      <c r="G21" s="1986"/>
      <c r="H21" s="1987"/>
      <c r="I21" s="2011" t="s">
        <v>678</v>
      </c>
      <c r="J21" s="1974"/>
      <c r="K21" s="1974"/>
      <c r="L21" s="1974"/>
      <c r="M21" s="1974"/>
      <c r="N21" s="1974"/>
      <c r="O21" s="1974"/>
      <c r="P21" s="1974"/>
      <c r="Q21" s="1974"/>
      <c r="R21" s="1974"/>
      <c r="S21" s="1975"/>
      <c r="T21" s="1953" t="s">
        <v>2076</v>
      </c>
      <c r="U21" s="1954"/>
      <c r="V21" s="1954"/>
      <c r="W21" s="1954"/>
      <c r="X21" s="1967" t="s">
        <v>2077</v>
      </c>
      <c r="Y21" s="1968"/>
      <c r="Z21" s="1968"/>
      <c r="AA21" s="1969"/>
    </row>
    <row r="22" spans="1:27" ht="13.5" customHeight="1" x14ac:dyDescent="0.2">
      <c r="A22" s="87" t="s">
        <v>531</v>
      </c>
      <c r="B22" s="59"/>
      <c r="C22" s="59"/>
      <c r="D22" s="59"/>
      <c r="E22" s="59"/>
      <c r="F22" s="59"/>
      <c r="G22" s="59"/>
      <c r="H22" s="60"/>
      <c r="I22" s="2012" t="s">
        <v>1429</v>
      </c>
      <c r="J22" s="2013"/>
      <c r="K22" s="2013"/>
      <c r="L22" s="2013"/>
      <c r="M22" s="2013"/>
      <c r="N22" s="2013"/>
      <c r="O22" s="2013"/>
      <c r="P22" s="2013"/>
      <c r="Q22" s="2013"/>
      <c r="R22" s="2013"/>
      <c r="S22" s="2014"/>
      <c r="T22" s="85" t="s">
        <v>1516</v>
      </c>
      <c r="U22" s="51"/>
      <c r="V22" s="72"/>
      <c r="W22" s="51"/>
      <c r="X22" s="160" t="s">
        <v>1318</v>
      </c>
      <c r="Z22" s="45"/>
      <c r="AA22" s="46"/>
    </row>
    <row r="23" spans="1:27" ht="13.5" customHeight="1" x14ac:dyDescent="0.2">
      <c r="A23" s="2008" t="s">
        <v>2070</v>
      </c>
      <c r="B23" s="2009"/>
      <c r="C23" s="2009"/>
      <c r="D23" s="2009"/>
      <c r="E23" s="2009"/>
      <c r="F23" s="2009"/>
      <c r="G23" s="2009"/>
      <c r="H23" s="2010"/>
      <c r="T23" s="1948" t="s">
        <v>2078</v>
      </c>
      <c r="U23" s="1949"/>
      <c r="V23" s="1949"/>
      <c r="W23" s="1949"/>
      <c r="X23" s="1964">
        <v>44530</v>
      </c>
      <c r="Y23" s="1965"/>
      <c r="Z23" s="1965"/>
      <c r="AA23" s="1966"/>
    </row>
    <row r="24" spans="1:27" ht="14.1" customHeight="1" x14ac:dyDescent="0.2">
      <c r="A24" s="88" t="s">
        <v>677</v>
      </c>
      <c r="B24" s="49"/>
      <c r="C24" s="49"/>
      <c r="D24" s="49"/>
      <c r="E24" s="49"/>
      <c r="F24" s="49"/>
      <c r="G24" s="49"/>
      <c r="H24" s="61"/>
      <c r="J24" s="2050">
        <f>IF(B5="x",IF(AUDITCHECK!D29="AFR form Incomplete.","",IF(AUDITCHECK!D29="Deficit reduction plan is required.","School District must complete a deficit reduction plan in the 2019-2020 Budget",)),"")</f>
        <v>0</v>
      </c>
      <c r="K24" s="2050"/>
      <c r="L24" s="2050"/>
      <c r="M24" s="2050"/>
      <c r="N24" s="2050"/>
      <c r="O24" s="2050"/>
      <c r="P24" s="2050"/>
      <c r="Q24" s="2050"/>
      <c r="R24" s="2050"/>
      <c r="S24" s="2051"/>
      <c r="T24" s="105" t="s">
        <v>531</v>
      </c>
      <c r="U24" s="106"/>
      <c r="V24" s="106"/>
      <c r="W24" s="106"/>
      <c r="X24" s="107"/>
      <c r="Y24" s="107"/>
      <c r="Z24" s="107"/>
      <c r="AA24" s="108"/>
    </row>
    <row r="25" spans="1:27" ht="14.1" customHeight="1" x14ac:dyDescent="0.2">
      <c r="A25" s="1985">
        <v>60516</v>
      </c>
      <c r="B25" s="1986"/>
      <c r="C25" s="1986"/>
      <c r="D25" s="1986"/>
      <c r="E25" s="1986"/>
      <c r="F25" s="1986"/>
      <c r="G25" s="1986"/>
      <c r="H25" s="1987"/>
      <c r="I25" s="113"/>
      <c r="J25" s="2052"/>
      <c r="K25" s="2052"/>
      <c r="L25" s="2052"/>
      <c r="M25" s="2052"/>
      <c r="N25" s="2052"/>
      <c r="O25" s="2052"/>
      <c r="P25" s="2052"/>
      <c r="Q25" s="2052"/>
      <c r="R25" s="2052"/>
      <c r="S25" s="2053"/>
      <c r="T25" s="1945" t="s">
        <v>2079</v>
      </c>
      <c r="U25" s="1946"/>
      <c r="V25" s="1946"/>
      <c r="W25" s="1946"/>
      <c r="X25" s="1946"/>
      <c r="Y25" s="1946"/>
      <c r="Z25" s="1946"/>
      <c r="AA25" s="194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3" t="s">
        <v>1511</v>
      </c>
      <c r="J27" s="2016"/>
      <c r="K27" s="2016"/>
      <c r="L27" s="2016"/>
      <c r="M27" s="2016"/>
      <c r="N27" s="2016"/>
      <c r="O27" s="2016"/>
      <c r="P27" s="2016"/>
      <c r="Q27" s="2016"/>
      <c r="R27" s="2016"/>
      <c r="S27" s="2017"/>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t="s">
        <v>2065</v>
      </c>
      <c r="C29" s="124" t="s">
        <v>820</v>
      </c>
      <c r="D29" s="114"/>
      <c r="E29" s="136"/>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2065</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2065</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9"/>
      <c r="Q35" s="1986"/>
      <c r="R35" s="1986"/>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48" t="s">
        <v>2128</v>
      </c>
      <c r="B38" s="2018"/>
      <c r="C38" s="2018"/>
      <c r="D38" s="2018"/>
      <c r="E38" s="2018"/>
      <c r="F38" s="1986"/>
      <c r="G38" s="1986"/>
      <c r="H38" s="1987"/>
      <c r="I38" s="2037"/>
      <c r="J38" s="1957"/>
      <c r="K38" s="1957"/>
      <c r="L38" s="1957"/>
      <c r="M38" s="1957"/>
      <c r="N38" s="1957"/>
      <c r="O38" s="1957"/>
      <c r="P38" s="1958"/>
      <c r="Q38" s="1958"/>
      <c r="R38" s="1958"/>
      <c r="S38" s="1959"/>
      <c r="T38" s="1956"/>
      <c r="U38" s="1957"/>
      <c r="V38" s="1957"/>
      <c r="W38" s="1957"/>
      <c r="X38" s="1958"/>
      <c r="Y38" s="1958"/>
      <c r="Z38" s="1958"/>
      <c r="AA38" s="1959"/>
    </row>
    <row r="39" spans="1:27" ht="12" customHeight="1" x14ac:dyDescent="0.2">
      <c r="A39" s="2041" t="s">
        <v>531</v>
      </c>
      <c r="B39" s="2042"/>
      <c r="C39" s="72"/>
      <c r="D39" s="69"/>
      <c r="E39" s="69"/>
      <c r="F39" s="79"/>
      <c r="G39" s="69"/>
      <c r="H39" s="56"/>
      <c r="I39" s="2041" t="s">
        <v>531</v>
      </c>
      <c r="J39" s="2042"/>
      <c r="K39" s="2042"/>
      <c r="L39" s="2042"/>
      <c r="M39" s="2042"/>
      <c r="N39" s="67"/>
      <c r="O39" s="72"/>
      <c r="P39" s="72"/>
      <c r="Q39" s="78"/>
      <c r="R39" s="72"/>
      <c r="S39" s="56"/>
      <c r="T39" s="72" t="s">
        <v>531</v>
      </c>
      <c r="U39" s="51"/>
      <c r="V39" s="72"/>
      <c r="W39" s="50"/>
      <c r="X39" s="78"/>
      <c r="Y39" s="45"/>
      <c r="Z39" s="45"/>
      <c r="AA39" s="46"/>
    </row>
    <row r="40" spans="1:27" ht="13.5" customHeight="1" x14ac:dyDescent="0.2">
      <c r="A40" s="2044" t="s">
        <v>2129</v>
      </c>
      <c r="B40" s="2045"/>
      <c r="C40" s="2046"/>
      <c r="D40" s="2046"/>
      <c r="E40" s="2046"/>
      <c r="F40" s="2047"/>
      <c r="G40" s="2047"/>
      <c r="H40" s="2048"/>
      <c r="I40" s="1960"/>
      <c r="J40" s="1962"/>
      <c r="K40" s="1962"/>
      <c r="L40" s="1962"/>
      <c r="M40" s="1962"/>
      <c r="N40" s="1962"/>
      <c r="O40" s="1962"/>
      <c r="P40" s="1962"/>
      <c r="Q40" s="1962"/>
      <c r="R40" s="1962"/>
      <c r="S40" s="1963"/>
      <c r="T40" s="1960"/>
      <c r="U40" s="1961"/>
      <c r="V40" s="1962"/>
      <c r="W40" s="1962"/>
      <c r="X40" s="1962"/>
      <c r="Y40" s="1962"/>
      <c r="Z40" s="1962"/>
      <c r="AA40" s="1963"/>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4" t="s">
        <v>2127</v>
      </c>
      <c r="B42" s="2035"/>
      <c r="C42" s="2036"/>
      <c r="D42" s="2049" t="s">
        <v>2069</v>
      </c>
      <c r="E42" s="2035"/>
      <c r="F42" s="2035"/>
      <c r="G42" s="2035"/>
      <c r="H42" s="2036"/>
      <c r="I42" s="1955"/>
      <c r="J42" s="1951"/>
      <c r="K42" s="1951"/>
      <c r="L42" s="1951"/>
      <c r="M42" s="1951"/>
      <c r="N42" s="1951"/>
      <c r="O42" s="1952"/>
      <c r="P42" s="1950"/>
      <c r="Q42" s="1951"/>
      <c r="R42" s="1951"/>
      <c r="S42" s="1952"/>
      <c r="T42" s="1955"/>
      <c r="U42" s="1951"/>
      <c r="V42" s="1951"/>
      <c r="W42" s="1952"/>
      <c r="X42" s="1950"/>
      <c r="Y42" s="1951"/>
      <c r="Z42" s="1951"/>
      <c r="AA42" s="1952"/>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8"/>
      <c r="B44" s="2039"/>
      <c r="C44" s="2039"/>
      <c r="D44" s="2039"/>
      <c r="E44" s="2039"/>
      <c r="F44" s="2039"/>
      <c r="G44" s="2039"/>
      <c r="H44" s="2040"/>
      <c r="I44" s="2030"/>
      <c r="J44" s="2032"/>
      <c r="K44" s="2032"/>
      <c r="L44" s="2032"/>
      <c r="M44" s="2032"/>
      <c r="N44" s="2032"/>
      <c r="O44" s="2032"/>
      <c r="P44" s="2032"/>
      <c r="Q44" s="2032"/>
      <c r="R44" s="2032"/>
      <c r="S44" s="2033"/>
      <c r="T44" s="2030"/>
      <c r="U44" s="2031"/>
      <c r="V44" s="2031"/>
      <c r="W44" s="2031"/>
      <c r="X44" s="2031"/>
      <c r="Y44" s="2031"/>
      <c r="Z44" s="2032"/>
      <c r="AA44" s="203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F36"/>
  <sheetViews>
    <sheetView showGridLines="0" defaultGridColor="0" colorId="8" zoomScale="90" zoomScaleNormal="90" workbookViewId="0">
      <selection activeCell="I44" sqref="I44:S44"/>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1949</v>
      </c>
      <c r="C2" s="714" t="s">
        <v>1950</v>
      </c>
      <c r="D2" s="714" t="s">
        <v>1951</v>
      </c>
      <c r="E2" s="714" t="s">
        <v>1952</v>
      </c>
      <c r="F2" s="714" t="s">
        <v>1953</v>
      </c>
    </row>
    <row r="3" spans="1:6" ht="12" customHeight="1" x14ac:dyDescent="0.2">
      <c r="A3" s="2188"/>
      <c r="B3" s="1525"/>
      <c r="C3" s="1526"/>
      <c r="D3" s="1527" t="s">
        <v>256</v>
      </c>
      <c r="E3" s="1526"/>
      <c r="F3" s="1527" t="s">
        <v>257</v>
      </c>
    </row>
    <row r="4" spans="1:6" ht="13.7" customHeight="1" x14ac:dyDescent="0.2">
      <c r="A4" s="715" t="s">
        <v>1155</v>
      </c>
      <c r="B4" s="1749">
        <f>'Revenues 9-14'!C5</f>
        <v>9690213</v>
      </c>
      <c r="C4" s="1524">
        <v>5109011</v>
      </c>
      <c r="D4" s="1752">
        <f>B4-C4</f>
        <v>4581202</v>
      </c>
      <c r="E4" s="1524">
        <v>10064800.529999999</v>
      </c>
      <c r="F4" s="1752">
        <f>E4-C4</f>
        <v>4955789.5299999993</v>
      </c>
    </row>
    <row r="5" spans="1:6" ht="13.7" customHeight="1" x14ac:dyDescent="0.2">
      <c r="A5" s="715" t="s">
        <v>870</v>
      </c>
      <c r="B5" s="1750">
        <f>'Revenues 9-14'!D5</f>
        <v>921284</v>
      </c>
      <c r="C5" s="585">
        <v>452887</v>
      </c>
      <c r="D5" s="1753">
        <f t="shared" ref="D5:D18" si="0">B5-C5</f>
        <v>468397</v>
      </c>
      <c r="E5" s="585">
        <v>892192</v>
      </c>
      <c r="F5" s="1753">
        <f>E5-C5</f>
        <v>439305</v>
      </c>
    </row>
    <row r="6" spans="1:6" ht="13.7" customHeight="1" x14ac:dyDescent="0.2">
      <c r="A6" s="715" t="s">
        <v>411</v>
      </c>
      <c r="B6" s="1750">
        <f>'Revenues 9-14'!E5</f>
        <v>815573</v>
      </c>
      <c r="C6" s="585">
        <v>477615</v>
      </c>
      <c r="D6" s="1753">
        <f t="shared" si="0"/>
        <v>337958</v>
      </c>
      <c r="E6" s="585">
        <v>940907</v>
      </c>
      <c r="F6" s="1753">
        <f t="shared" ref="F6:F18" si="1">E6-C6</f>
        <v>463292</v>
      </c>
    </row>
    <row r="7" spans="1:6" ht="13.7" customHeight="1" x14ac:dyDescent="0.2">
      <c r="A7" s="715" t="s">
        <v>155</v>
      </c>
      <c r="B7" s="1750">
        <f>'Revenues 9-14'!F5</f>
        <v>568979</v>
      </c>
      <c r="C7" s="585">
        <v>307852</v>
      </c>
      <c r="D7" s="1753">
        <f t="shared" si="0"/>
        <v>261127</v>
      </c>
      <c r="E7" s="585">
        <v>606472</v>
      </c>
      <c r="F7" s="1753">
        <f t="shared" si="1"/>
        <v>298620</v>
      </c>
    </row>
    <row r="8" spans="1:6" ht="13.7" customHeight="1" x14ac:dyDescent="0.2">
      <c r="A8" s="715" t="s">
        <v>1179</v>
      </c>
      <c r="B8" s="1750">
        <f>'Revenues 9-14'!G5</f>
        <v>484104</v>
      </c>
      <c r="C8" s="585">
        <f>95301+157916</f>
        <v>253217</v>
      </c>
      <c r="D8" s="1753">
        <f t="shared" si="0"/>
        <v>230887</v>
      </c>
      <c r="E8" s="585">
        <f>187743+310899</f>
        <v>498642</v>
      </c>
      <c r="F8" s="1753">
        <f t="shared" si="1"/>
        <v>245425</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38564</v>
      </c>
      <c r="C10" s="585">
        <v>20283</v>
      </c>
      <c r="D10" s="1753">
        <f t="shared" si="0"/>
        <v>18281</v>
      </c>
      <c r="E10" s="585">
        <v>39957</v>
      </c>
      <c r="F10" s="1753">
        <f t="shared" si="1"/>
        <v>19674</v>
      </c>
    </row>
    <row r="11" spans="1:6" x14ac:dyDescent="0.2">
      <c r="A11" s="715" t="s">
        <v>409</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0</v>
      </c>
      <c r="C16" s="585"/>
      <c r="D16" s="1753">
        <f t="shared" si="0"/>
        <v>0</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12518717</v>
      </c>
      <c r="C19" s="1751">
        <f>SUM(C4:C18)</f>
        <v>6620865</v>
      </c>
      <c r="D19" s="1751">
        <f>SUM(D4:D18)</f>
        <v>5897852</v>
      </c>
      <c r="E19" s="1751">
        <f>SUM(E4:E18)</f>
        <v>13042970.529999999</v>
      </c>
      <c r="F19" s="1751">
        <f>SUM(F4:F18)</f>
        <v>6422105.5299999993</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K59"/>
  <sheetViews>
    <sheetView showGridLines="0" defaultGridColor="0" topLeftCell="A28" colorId="8" zoomScale="70" zoomScaleNormal="70" workbookViewId="0">
      <selection activeCell="I44" sqref="I44:S4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3" t="s">
        <v>629</v>
      </c>
      <c r="B1" s="2194"/>
      <c r="C1" s="721"/>
    </row>
    <row r="2" spans="1:7" ht="33.75" x14ac:dyDescent="0.2">
      <c r="A2" s="2202" t="s">
        <v>1802</v>
      </c>
      <c r="B2" s="2203"/>
      <c r="C2" s="1884" t="s">
        <v>1954</v>
      </c>
      <c r="D2" s="723" t="s">
        <v>1955</v>
      </c>
      <c r="E2" s="723" t="s">
        <v>1956</v>
      </c>
      <c r="F2" s="1884" t="s">
        <v>1957</v>
      </c>
    </row>
    <row r="3" spans="1:7" ht="15.75" customHeight="1" x14ac:dyDescent="0.2">
      <c r="A3" s="2206" t="s">
        <v>1114</v>
      </c>
      <c r="B3" s="2207"/>
      <c r="C3" s="2195"/>
      <c r="D3" s="2196"/>
      <c r="E3" s="2196"/>
      <c r="F3" s="2197"/>
    </row>
    <row r="4" spans="1:7" ht="12.75" customHeight="1" thickBot="1" x14ac:dyDescent="0.25">
      <c r="A4" s="2204" t="s">
        <v>630</v>
      </c>
      <c r="B4" s="2205"/>
      <c r="C4" s="581"/>
      <c r="D4" s="581"/>
      <c r="E4" s="581"/>
      <c r="F4" s="1755">
        <f>SUM(C4+D4)-E4</f>
        <v>0</v>
      </c>
    </row>
    <row r="5" spans="1:7" ht="15.75" customHeight="1" thickTop="1" x14ac:dyDescent="0.2">
      <c r="A5" s="2189" t="s">
        <v>1110</v>
      </c>
      <c r="B5" s="2190"/>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1" t="s">
        <v>631</v>
      </c>
      <c r="B15" s="2192"/>
      <c r="C15" s="1755">
        <f>SUM(C6:C14)</f>
        <v>0</v>
      </c>
      <c r="D15" s="1755">
        <f>SUM(D6:D14)</f>
        <v>0</v>
      </c>
      <c r="E15" s="1755">
        <f>SUM(E6:E14)</f>
        <v>0</v>
      </c>
      <c r="F15" s="1755">
        <f>SUM(F6:F14)</f>
        <v>0</v>
      </c>
      <c r="G15" s="552"/>
    </row>
    <row r="16" spans="1:7" s="202" customFormat="1" ht="15.75" customHeight="1" thickTop="1" x14ac:dyDescent="0.2">
      <c r="A16" s="2201" t="s">
        <v>1111</v>
      </c>
      <c r="B16" s="2190"/>
      <c r="C16" s="2198"/>
      <c r="D16" s="2199"/>
      <c r="E16" s="2199"/>
      <c r="F16" s="2200"/>
    </row>
    <row r="17" spans="1:11" ht="12.75" customHeight="1" thickBot="1" x14ac:dyDescent="0.25">
      <c r="A17" s="2214" t="s">
        <v>64</v>
      </c>
      <c r="B17" s="2215"/>
      <c r="C17" s="726"/>
      <c r="D17" s="585"/>
      <c r="E17" s="726"/>
      <c r="F17" s="1755">
        <f>SUM(C17+D17)-E17</f>
        <v>0</v>
      </c>
    </row>
    <row r="18" spans="1:11" ht="12.75" customHeight="1" thickTop="1" thickBot="1" x14ac:dyDescent="0.25">
      <c r="A18" s="2214" t="s">
        <v>6</v>
      </c>
      <c r="B18" s="2215"/>
      <c r="C18" s="726"/>
      <c r="D18" s="585"/>
      <c r="E18" s="726"/>
      <c r="F18" s="1755">
        <f>SUM(C18+D18)-E18</f>
        <v>0</v>
      </c>
    </row>
    <row r="19" spans="1:11" ht="12.75" customHeight="1" thickTop="1" thickBot="1" x14ac:dyDescent="0.25">
      <c r="A19" s="2214" t="s">
        <v>388</v>
      </c>
      <c r="B19" s="2215"/>
      <c r="C19" s="726"/>
      <c r="D19" s="585"/>
      <c r="E19" s="726"/>
      <c r="F19" s="1755">
        <f>SUM(C19+D19)-E19</f>
        <v>0</v>
      </c>
    </row>
    <row r="20" spans="1:11" ht="12.75" customHeight="1" thickTop="1" thickBot="1" x14ac:dyDescent="0.25">
      <c r="A20" s="2214" t="s">
        <v>448</v>
      </c>
      <c r="B20" s="2215"/>
      <c r="C20" s="726"/>
      <c r="D20" s="585"/>
      <c r="E20" s="726"/>
      <c r="F20" s="1755">
        <f>SUM(C20+D20)-E20</f>
        <v>0</v>
      </c>
    </row>
    <row r="21" spans="1:11" ht="14.25" thickTop="1" thickBot="1" x14ac:dyDescent="0.25">
      <c r="A21" s="2191" t="s">
        <v>632</v>
      </c>
      <c r="B21" s="2192"/>
      <c r="C21" s="1755">
        <f>SUM(C17:C20)</f>
        <v>0</v>
      </c>
      <c r="D21" s="1755">
        <f>SUM(D17:D20)</f>
        <v>0</v>
      </c>
      <c r="E21" s="1755">
        <f>SUM(E17:E20)</f>
        <v>0</v>
      </c>
      <c r="F21" s="1755">
        <f>SUM(F17:F20)</f>
        <v>0</v>
      </c>
      <c r="G21" s="552"/>
    </row>
    <row r="22" spans="1:11" ht="15.75" customHeight="1" thickTop="1" x14ac:dyDescent="0.2">
      <c r="A22" s="2216" t="s">
        <v>1112</v>
      </c>
      <c r="B22" s="2190"/>
      <c r="C22" s="2198"/>
      <c r="D22" s="2199"/>
      <c r="E22" s="2199"/>
      <c r="F22" s="2200"/>
    </row>
    <row r="23" spans="1:11" ht="13.5" thickBot="1" x14ac:dyDescent="0.25">
      <c r="A23" s="2204" t="s">
        <v>633</v>
      </c>
      <c r="B23" s="2205"/>
      <c r="C23" s="581"/>
      <c r="D23" s="581"/>
      <c r="E23" s="581"/>
      <c r="F23" s="1755">
        <f>SUM(C23+D23)-E23</f>
        <v>0</v>
      </c>
      <c r="G23" s="552"/>
    </row>
    <row r="24" spans="1:11" ht="15.75" customHeight="1" thickTop="1" x14ac:dyDescent="0.2">
      <c r="A24" s="2216" t="s">
        <v>1113</v>
      </c>
      <c r="B24" s="2190"/>
      <c r="C24" s="2198"/>
      <c r="D24" s="2199"/>
      <c r="E24" s="2199"/>
      <c r="F24" s="2200"/>
    </row>
    <row r="25" spans="1:11" ht="13.5" thickBot="1" x14ac:dyDescent="0.25">
      <c r="A25" s="2204" t="s">
        <v>634</v>
      </c>
      <c r="B25" s="2205"/>
      <c r="C25" s="581"/>
      <c r="D25" s="581"/>
      <c r="E25" s="581"/>
      <c r="F25" s="1755">
        <f>SUM(C25+D25)-E25</f>
        <v>0</v>
      </c>
      <c r="G25" s="552"/>
    </row>
    <row r="26" spans="1:11" ht="15.75" customHeight="1" thickTop="1" x14ac:dyDescent="0.2">
      <c r="A26" s="2189" t="s">
        <v>657</v>
      </c>
      <c r="B26" s="2190"/>
      <c r="C26" s="727"/>
      <c r="D26" s="727"/>
      <c r="E26" s="727"/>
      <c r="F26" s="728"/>
    </row>
    <row r="27" spans="1:11" ht="13.5" thickBot="1" x14ac:dyDescent="0.25">
      <c r="A27" s="2191" t="s">
        <v>1070</v>
      </c>
      <c r="B27" s="2192"/>
      <c r="C27" s="585"/>
      <c r="D27" s="585"/>
      <c r="E27" s="585"/>
      <c r="F27" s="1755">
        <f>SUM(C27+D27)-E27</f>
        <v>0</v>
      </c>
      <c r="G27" s="552"/>
    </row>
    <row r="28" spans="1:11" ht="7.5" customHeight="1" thickTop="1" x14ac:dyDescent="0.2">
      <c r="A28" s="593"/>
    </row>
    <row r="29" spans="1:11" ht="23.25" customHeight="1" x14ac:dyDescent="0.2">
      <c r="A29" s="2217" t="s">
        <v>582</v>
      </c>
      <c r="B29" s="2194"/>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v>14158753</v>
      </c>
      <c r="K31" s="736"/>
    </row>
    <row r="32" spans="1:11" ht="12" customHeight="1" x14ac:dyDescent="0.2">
      <c r="A32" s="732" t="s">
        <v>2081</v>
      </c>
      <c r="B32" s="733">
        <v>40255</v>
      </c>
      <c r="C32" s="734">
        <v>1500000</v>
      </c>
      <c r="D32" s="735">
        <v>7</v>
      </c>
      <c r="E32" s="734">
        <v>1500000</v>
      </c>
      <c r="F32" s="734"/>
      <c r="G32" s="734"/>
      <c r="H32" s="734">
        <v>115000</v>
      </c>
      <c r="I32" s="1756">
        <f>((E32+F32)-H32)+G32</f>
        <v>1385000</v>
      </c>
      <c r="J32" s="734"/>
      <c r="K32" s="736"/>
    </row>
    <row r="33" spans="1:11" ht="12" customHeight="1" x14ac:dyDescent="0.2">
      <c r="A33" s="732" t="s">
        <v>2082</v>
      </c>
      <c r="B33" s="733">
        <v>43053</v>
      </c>
      <c r="C33" s="734">
        <v>3995000</v>
      </c>
      <c r="D33" s="735">
        <v>6</v>
      </c>
      <c r="E33" s="734">
        <v>3995000</v>
      </c>
      <c r="F33" s="734"/>
      <c r="G33" s="734"/>
      <c r="H33" s="734">
        <v>545000</v>
      </c>
      <c r="I33" s="1756">
        <f t="shared" ref="I33:I48" si="1">((E33+F33)-H33)+G33</f>
        <v>3450000</v>
      </c>
      <c r="J33" s="734"/>
      <c r="K33" s="736"/>
    </row>
    <row r="34" spans="1:11" ht="12" customHeight="1" x14ac:dyDescent="0.2">
      <c r="A34" s="732" t="s">
        <v>2083</v>
      </c>
      <c r="B34" s="733">
        <v>43333</v>
      </c>
      <c r="C34" s="734">
        <v>8910000</v>
      </c>
      <c r="D34" s="735">
        <v>6</v>
      </c>
      <c r="E34" s="734"/>
      <c r="F34" s="734">
        <v>8910000</v>
      </c>
      <c r="G34" s="734"/>
      <c r="H34" s="734"/>
      <c r="I34" s="1756">
        <f t="shared" si="1"/>
        <v>8910000</v>
      </c>
      <c r="J34" s="734"/>
      <c r="K34" s="737"/>
    </row>
    <row r="35" spans="1:11" ht="12" customHeight="1" x14ac:dyDescent="0.2">
      <c r="A35" s="732" t="s">
        <v>2084</v>
      </c>
      <c r="B35" s="733" t="s">
        <v>2085</v>
      </c>
      <c r="C35" s="738">
        <v>1511185</v>
      </c>
      <c r="D35" s="735">
        <v>8</v>
      </c>
      <c r="E35" s="738">
        <v>836070</v>
      </c>
      <c r="F35" s="738"/>
      <c r="G35" s="738">
        <f>179158-263866</f>
        <v>-84708</v>
      </c>
      <c r="H35" s="738"/>
      <c r="I35" s="1756">
        <f t="shared" si="1"/>
        <v>751362</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15916185</v>
      </c>
      <c r="D49" s="745"/>
      <c r="E49" s="1756">
        <f t="shared" ref="E49:J49" si="2">SUM(E31:E48)</f>
        <v>6331070</v>
      </c>
      <c r="F49" s="1756">
        <f t="shared" si="2"/>
        <v>8910000</v>
      </c>
      <c r="G49" s="1756">
        <f t="shared" si="2"/>
        <v>-84708</v>
      </c>
      <c r="H49" s="1756">
        <f t="shared" si="2"/>
        <v>660000</v>
      </c>
      <c r="I49" s="1756">
        <f t="shared" si="2"/>
        <v>14496362</v>
      </c>
      <c r="J49" s="1756">
        <f t="shared" si="2"/>
        <v>14158753</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8" t="s">
        <v>584</v>
      </c>
      <c r="C52" s="2209"/>
      <c r="D52" s="2209"/>
      <c r="E52" s="749" t="s">
        <v>845</v>
      </c>
      <c r="F52" s="2210" t="s">
        <v>2086</v>
      </c>
      <c r="G52" s="2211"/>
      <c r="H52" s="736"/>
      <c r="I52" s="736"/>
      <c r="J52" s="746"/>
    </row>
    <row r="53" spans="1:11" ht="11.25" customHeight="1" x14ac:dyDescent="0.2">
      <c r="A53" s="750" t="s">
        <v>913</v>
      </c>
      <c r="B53" s="751" t="s">
        <v>951</v>
      </c>
      <c r="C53" s="746"/>
      <c r="D53" s="737"/>
      <c r="E53" s="749" t="s">
        <v>497</v>
      </c>
      <c r="F53" s="2212" t="s">
        <v>2087</v>
      </c>
      <c r="G53" s="2213"/>
      <c r="H53" s="736"/>
      <c r="I53" s="736"/>
      <c r="J53" s="746"/>
    </row>
    <row r="54" spans="1:11" ht="11.25" customHeight="1" x14ac:dyDescent="0.2">
      <c r="A54" s="752" t="s">
        <v>914</v>
      </c>
      <c r="B54" s="747" t="s">
        <v>952</v>
      </c>
      <c r="C54" s="746"/>
      <c r="D54" s="737"/>
      <c r="E54" s="749" t="s">
        <v>498</v>
      </c>
      <c r="F54" s="2212"/>
      <c r="G54" s="221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B050"/>
  </sheetPr>
  <dimension ref="A1:K48"/>
  <sheetViews>
    <sheetView showGridLines="0" defaultGridColor="0" topLeftCell="A25" colorId="8" zoomScale="70" zoomScaleNormal="70" workbookViewId="0">
      <selection activeCell="I44" sqref="I44:S4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856</v>
      </c>
      <c r="B1" s="2243"/>
      <c r="C1" s="2243"/>
      <c r="D1" s="2243"/>
      <c r="E1" s="2243"/>
      <c r="F1" s="2243"/>
      <c r="G1" s="2244"/>
      <c r="H1" s="1530"/>
      <c r="I1" s="760"/>
      <c r="J1" s="433"/>
    </row>
    <row r="2" spans="1:11" ht="26.25" x14ac:dyDescent="0.2">
      <c r="A2" s="2221" t="s">
        <v>1677</v>
      </c>
      <c r="B2" s="2222"/>
      <c r="C2" s="2222"/>
      <c r="D2" s="2222"/>
      <c r="E2" s="2223"/>
      <c r="F2" s="761" t="s">
        <v>904</v>
      </c>
      <c r="G2" s="762" t="s">
        <v>1674</v>
      </c>
      <c r="H2" s="762" t="s">
        <v>410</v>
      </c>
      <c r="I2" s="762" t="s">
        <v>1158</v>
      </c>
      <c r="J2" s="762" t="s">
        <v>1812</v>
      </c>
      <c r="K2" s="762" t="s">
        <v>138</v>
      </c>
    </row>
    <row r="3" spans="1:11" x14ac:dyDescent="0.2">
      <c r="A3" s="2224" t="s">
        <v>1962</v>
      </c>
      <c r="B3" s="2225"/>
      <c r="C3" s="2225"/>
      <c r="D3" s="2225"/>
      <c r="E3" s="2226"/>
      <c r="F3" s="763"/>
      <c r="G3" s="764"/>
      <c r="H3" s="764"/>
      <c r="I3" s="764"/>
      <c r="J3" s="765"/>
      <c r="K3" s="765"/>
    </row>
    <row r="4" spans="1:11" x14ac:dyDescent="0.2">
      <c r="A4" s="2227" t="s">
        <v>369</v>
      </c>
      <c r="B4" s="2228"/>
      <c r="C4" s="2228"/>
      <c r="D4" s="2228"/>
      <c r="E4" s="2209"/>
      <c r="F4" s="766"/>
      <c r="G4" s="767"/>
      <c r="H4" s="768"/>
      <c r="I4" s="767"/>
      <c r="J4" s="769"/>
      <c r="K4" s="769"/>
    </row>
    <row r="5" spans="1:11" x14ac:dyDescent="0.2">
      <c r="A5" s="2245" t="s">
        <v>1069</v>
      </c>
      <c r="B5" s="2218"/>
      <c r="C5" s="2218"/>
      <c r="D5" s="2218"/>
      <c r="E5" s="2246"/>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45" t="s">
        <v>1813</v>
      </c>
      <c r="B10" s="2218"/>
      <c r="C10" s="2218"/>
      <c r="D10" s="2218"/>
      <c r="E10" s="2247"/>
      <c r="F10" s="783" t="s">
        <v>862</v>
      </c>
      <c r="G10" s="782"/>
      <c r="H10" s="784"/>
      <c r="I10" s="764"/>
      <c r="J10" s="765"/>
      <c r="K10" s="765"/>
    </row>
    <row r="11" spans="1:11" x14ac:dyDescent="0.2">
      <c r="A11" s="2245" t="s">
        <v>160</v>
      </c>
      <c r="B11" s="2218"/>
      <c r="C11" s="2218"/>
      <c r="D11" s="2218"/>
      <c r="E11" s="2246"/>
      <c r="F11" s="770" t="s">
        <v>852</v>
      </c>
      <c r="G11" s="771"/>
      <c r="H11" s="764"/>
      <c r="I11" s="764"/>
      <c r="J11" s="765"/>
      <c r="K11" s="773"/>
    </row>
    <row r="12" spans="1:11" ht="13.5" thickBot="1" x14ac:dyDescent="0.25">
      <c r="A12" s="2235" t="s">
        <v>905</v>
      </c>
      <c r="B12" s="2236"/>
      <c r="C12" s="2236"/>
      <c r="D12" s="2236"/>
      <c r="E12" s="2237"/>
      <c r="F12" s="1757"/>
      <c r="G12" s="1758">
        <f>SUM(G5:G11)</f>
        <v>0</v>
      </c>
      <c r="H12" s="1758">
        <f>SUM(H5:H11)</f>
        <v>0</v>
      </c>
      <c r="I12" s="1758">
        <f>SUM(I5:I11)</f>
        <v>0</v>
      </c>
      <c r="J12" s="1758">
        <f>SUM(J5:J11)</f>
        <v>0</v>
      </c>
      <c r="K12" s="1758">
        <f>SUM(K5:K11)</f>
        <v>0</v>
      </c>
    </row>
    <row r="13" spans="1:11" ht="13.5" thickTop="1" x14ac:dyDescent="0.2">
      <c r="A13" s="2229" t="s">
        <v>370</v>
      </c>
      <c r="B13" s="2230"/>
      <c r="C13" s="2230"/>
      <c r="D13" s="2230"/>
      <c r="E13" s="2231"/>
      <c r="F13" s="785"/>
      <c r="G13" s="786"/>
      <c r="H13" s="787"/>
      <c r="I13" s="788"/>
      <c r="J13" s="788"/>
      <c r="K13" s="788"/>
    </row>
    <row r="14" spans="1:11" x14ac:dyDescent="0.2">
      <c r="A14" s="2251" t="s">
        <v>456</v>
      </c>
      <c r="B14" s="2251"/>
      <c r="C14" s="2251"/>
      <c r="D14" s="2251"/>
      <c r="E14" s="2252"/>
      <c r="F14" s="789" t="s">
        <v>854</v>
      </c>
      <c r="G14" s="782"/>
      <c r="H14" s="764"/>
      <c r="I14" s="771"/>
      <c r="J14" s="773"/>
      <c r="K14" s="765"/>
    </row>
    <row r="15" spans="1:11" x14ac:dyDescent="0.2">
      <c r="A15" s="2218" t="s">
        <v>4</v>
      </c>
      <c r="B15" s="2218"/>
      <c r="C15" s="2218"/>
      <c r="D15" s="2218"/>
      <c r="E15" s="2246"/>
      <c r="F15" s="789" t="s">
        <v>855</v>
      </c>
      <c r="G15" s="771"/>
      <c r="H15" s="764"/>
      <c r="I15" s="764"/>
      <c r="J15" s="765"/>
      <c r="K15" s="765"/>
    </row>
    <row r="16" spans="1:11" x14ac:dyDescent="0.2">
      <c r="A16" s="2218" t="s">
        <v>298</v>
      </c>
      <c r="B16" s="2218"/>
      <c r="C16" s="2218"/>
      <c r="D16" s="2218"/>
      <c r="E16" s="2246"/>
      <c r="F16" s="789" t="s">
        <v>923</v>
      </c>
      <c r="G16" s="772"/>
      <c r="H16" s="767"/>
      <c r="I16" s="767"/>
      <c r="J16" s="769"/>
      <c r="K16" s="769"/>
    </row>
    <row r="17" spans="1:11" x14ac:dyDescent="0.2">
      <c r="A17" s="2240" t="s">
        <v>935</v>
      </c>
      <c r="B17" s="2240"/>
      <c r="C17" s="2240"/>
      <c r="D17" s="2240"/>
      <c r="E17" s="2241"/>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53" t="s">
        <v>1809</v>
      </c>
      <c r="B19" s="2253"/>
      <c r="C19" s="2253"/>
      <c r="D19" s="2253"/>
      <c r="E19" s="2254"/>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38" t="s">
        <v>638</v>
      </c>
      <c r="B21" s="2238"/>
      <c r="C21" s="2238"/>
      <c r="D21" s="2238"/>
      <c r="E21" s="2238"/>
      <c r="F21" s="1759"/>
      <c r="G21" s="792"/>
      <c r="H21" s="796"/>
      <c r="I21" s="796"/>
      <c r="J21" s="1760">
        <f>SUM(J18:J20)</f>
        <v>0</v>
      </c>
      <c r="K21" s="793"/>
    </row>
    <row r="22" spans="1:11" ht="13.5" thickTop="1" x14ac:dyDescent="0.2">
      <c r="A22" s="2218" t="s">
        <v>1815</v>
      </c>
      <c r="B22" s="2218"/>
      <c r="C22" s="2218"/>
      <c r="D22" s="2218"/>
      <c r="E22" s="2246"/>
      <c r="F22" s="789" t="s">
        <v>862</v>
      </c>
      <c r="G22" s="782"/>
      <c r="H22" s="764"/>
      <c r="I22" s="764"/>
      <c r="J22" s="797"/>
      <c r="K22" s="765"/>
    </row>
    <row r="23" spans="1:11" ht="13.5" thickBot="1" x14ac:dyDescent="0.25">
      <c r="A23" s="2239" t="s">
        <v>906</v>
      </c>
      <c r="B23" s="2238"/>
      <c r="C23" s="2238"/>
      <c r="D23" s="2238"/>
      <c r="E23" s="2238"/>
      <c r="F23" s="1761"/>
      <c r="G23" s="1758">
        <f>SUM(G14:G16,G21,G22)</f>
        <v>0</v>
      </c>
      <c r="H23" s="1758">
        <f>SUM(H14:H16,H21,H22)</f>
        <v>0</v>
      </c>
      <c r="I23" s="1758">
        <f>SUM(I14:I16,I21,I22)</f>
        <v>0</v>
      </c>
      <c r="J23" s="1758">
        <f>SUM(J14:J16,J21,J22)</f>
        <v>0</v>
      </c>
      <c r="K23" s="1758">
        <f>SUM(K14:K16,K21,K22)</f>
        <v>0</v>
      </c>
    </row>
    <row r="24" spans="1:11" ht="14.25" thickTop="1" thickBot="1" x14ac:dyDescent="0.25">
      <c r="A24" s="2239" t="s">
        <v>1963</v>
      </c>
      <c r="B24" s="2238"/>
      <c r="C24" s="2238"/>
      <c r="D24" s="2238"/>
      <c r="E24" s="2238"/>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8"/>
      <c r="I31" s="2249"/>
      <c r="J31" s="2249"/>
      <c r="K31" s="2249"/>
    </row>
    <row r="32" spans="1:11" x14ac:dyDescent="0.2">
      <c r="A32" s="809"/>
      <c r="B32" s="237"/>
      <c r="C32" s="237"/>
      <c r="D32" s="237"/>
      <c r="E32" s="805"/>
      <c r="F32" s="811" t="s">
        <v>540</v>
      </c>
      <c r="G32" s="764"/>
      <c r="H32" s="2250"/>
      <c r="I32" s="2249"/>
      <c r="J32" s="2249"/>
      <c r="K32" s="2249"/>
    </row>
    <row r="33" spans="1:11" ht="1.5" customHeight="1" x14ac:dyDescent="0.2">
      <c r="A33" s="812" t="s">
        <v>1169</v>
      </c>
      <c r="B33" s="364"/>
      <c r="C33" s="364"/>
      <c r="D33" s="364"/>
      <c r="E33" s="364"/>
      <c r="F33" s="364"/>
      <c r="G33" s="813"/>
      <c r="H33" s="2250"/>
      <c r="I33" s="2249"/>
      <c r="J33" s="2249"/>
      <c r="K33" s="2249"/>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8" t="s">
        <v>541</v>
      </c>
      <c r="B41" s="2219"/>
      <c r="C41" s="2219"/>
      <c r="D41" s="2219"/>
      <c r="E41" s="2219"/>
      <c r="F41" s="222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00B050"/>
  </sheetPr>
  <dimension ref="A1:N27"/>
  <sheetViews>
    <sheetView showGridLines="0" defaultGridColor="0" colorId="8" zoomScale="60" zoomScaleNormal="60" workbookViewId="0">
      <selection activeCell="I44" sqref="I44:S4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1908</v>
      </c>
      <c r="B1" s="2258"/>
      <c r="C1" s="2259"/>
      <c r="D1" s="826"/>
      <c r="E1" s="827"/>
      <c r="F1" s="827"/>
      <c r="G1" s="828"/>
      <c r="H1" s="829"/>
      <c r="I1" s="830"/>
      <c r="J1" s="2255"/>
      <c r="K1" s="2256"/>
      <c r="L1" s="225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329076</v>
      </c>
      <c r="D5" s="841"/>
      <c r="E5" s="841"/>
      <c r="F5" s="1760">
        <f>(C5+D5)-E5</f>
        <v>329076</v>
      </c>
      <c r="G5" s="837"/>
      <c r="H5" s="842"/>
      <c r="I5" s="842"/>
      <c r="J5" s="842"/>
      <c r="K5" s="793"/>
      <c r="L5" s="1769">
        <f>F5-K5</f>
        <v>329076</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16493990</v>
      </c>
      <c r="D8" s="844"/>
      <c r="E8" s="844"/>
      <c r="F8" s="1760">
        <f>(C8+D8)-E8</f>
        <v>16493990</v>
      </c>
      <c r="G8" s="843">
        <v>50</v>
      </c>
      <c r="H8" s="765"/>
      <c r="I8" s="765"/>
      <c r="J8" s="765"/>
      <c r="K8" s="1769">
        <f>(H8+I8)-J8</f>
        <v>0</v>
      </c>
      <c r="L8" s="1769">
        <f>F8-K8</f>
        <v>16493990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837175</v>
      </c>
      <c r="D10" s="846">
        <f>7182595+1227077</f>
        <v>8409672</v>
      </c>
      <c r="E10" s="846"/>
      <c r="F10" s="1764">
        <f>(C10+D10)-E10</f>
        <v>9246847</v>
      </c>
      <c r="G10" s="843">
        <v>20</v>
      </c>
      <c r="H10" s="847"/>
      <c r="I10" s="847"/>
      <c r="J10" s="847"/>
      <c r="K10" s="1769">
        <f>(H10+I10)-J10</f>
        <v>0</v>
      </c>
      <c r="L10" s="1769">
        <f>F10-K10</f>
        <v>9246847</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f>1263147+4071388</f>
        <v>5334535</v>
      </c>
      <c r="D12" s="844">
        <f>65455+179158</f>
        <v>244613</v>
      </c>
      <c r="E12" s="844"/>
      <c r="F12" s="1760">
        <f>(C12+D12)-E12</f>
        <v>5579148</v>
      </c>
      <c r="G12" s="843">
        <v>10</v>
      </c>
      <c r="H12" s="765"/>
      <c r="I12" s="765"/>
      <c r="J12" s="765"/>
      <c r="K12" s="1769">
        <f>(H12+I12)-J12</f>
        <v>0</v>
      </c>
      <c r="L12" s="1769">
        <f>F12-K12</f>
        <v>5579148</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v>1227077</v>
      </c>
      <c r="D15" s="844"/>
      <c r="E15" s="844">
        <v>1227077</v>
      </c>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24221853</v>
      </c>
      <c r="D16" s="1760">
        <f>SUM(D3,D5:D6,D8:D10,D12:D15)</f>
        <v>8654285</v>
      </c>
      <c r="E16" s="1760">
        <f>SUM(E3,E5:E6,E8:E10,E12:E15)</f>
        <v>1227077</v>
      </c>
      <c r="F16" s="1760">
        <f>SUM(F3,F5:F6,F8:F10,F12:F15)</f>
        <v>31649061</v>
      </c>
      <c r="G16" s="843"/>
      <c r="H16" s="1760">
        <f>SUM(H3,H6,H8:H10,H12:H14,)</f>
        <v>0</v>
      </c>
      <c r="I16" s="1760">
        <f>SUM(I3,I6,I8:I10,I12:I14,)</f>
        <v>0</v>
      </c>
      <c r="J16" s="1760">
        <f>SUM(J3,J6,J8:J10,J12:J14,)</f>
        <v>0</v>
      </c>
      <c r="K16" s="1760">
        <f>(H16+I16)-J16</f>
        <v>0</v>
      </c>
      <c r="L16" s="1760">
        <f>F16-K16</f>
        <v>31649061</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0</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tabColor rgb="FF00B050"/>
  </sheetPr>
  <dimension ref="A1:H202"/>
  <sheetViews>
    <sheetView showGridLines="0" defaultGridColor="0" colorId="8" zoomScale="110" zoomScaleNormal="110" workbookViewId="0">
      <pane ySplit="5" topLeftCell="A172" activePane="bottomLeft" state="frozen"/>
      <selection activeCell="I44" sqref="I44:S44"/>
      <selection pane="bottomLeft" activeCell="I44" sqref="I44:S44"/>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1973</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12062535</v>
      </c>
      <c r="G8" s="865"/>
    </row>
    <row r="9" spans="1:7" x14ac:dyDescent="0.2">
      <c r="A9" s="869" t="s">
        <v>460</v>
      </c>
      <c r="B9" s="870" t="s">
        <v>1876</v>
      </c>
      <c r="C9" s="871"/>
      <c r="D9" s="869" t="s">
        <v>501</v>
      </c>
      <c r="E9" s="868"/>
      <c r="F9" s="1909">
        <f>'Expenditures 15-22'!K151</f>
        <v>1107097</v>
      </c>
      <c r="G9" s="872"/>
    </row>
    <row r="10" spans="1:7" x14ac:dyDescent="0.2">
      <c r="A10" s="869" t="s">
        <v>499</v>
      </c>
      <c r="B10" s="870" t="s">
        <v>1877</v>
      </c>
      <c r="C10" s="871"/>
      <c r="D10" s="869" t="s">
        <v>501</v>
      </c>
      <c r="E10" s="868"/>
      <c r="F10" s="1909">
        <f>'Expenditures 15-22'!K174</f>
        <v>1136962</v>
      </c>
      <c r="G10" s="872"/>
    </row>
    <row r="11" spans="1:7" x14ac:dyDescent="0.2">
      <c r="A11" s="869" t="s">
        <v>461</v>
      </c>
      <c r="B11" s="870" t="s">
        <v>1878</v>
      </c>
      <c r="C11" s="871"/>
      <c r="D11" s="869" t="s">
        <v>501</v>
      </c>
      <c r="E11" s="868"/>
      <c r="F11" s="1909">
        <f>'Expenditures 15-22'!K210</f>
        <v>754109</v>
      </c>
      <c r="G11" s="872"/>
    </row>
    <row r="12" spans="1:7" x14ac:dyDescent="0.2">
      <c r="A12" s="869" t="s">
        <v>462</v>
      </c>
      <c r="B12" s="870" t="s">
        <v>1879</v>
      </c>
      <c r="C12" s="871"/>
      <c r="D12" s="869" t="s">
        <v>501</v>
      </c>
      <c r="E12" s="868"/>
      <c r="F12" s="1909">
        <f>'Expenditures 15-22'!K295</f>
        <v>446148</v>
      </c>
      <c r="G12" s="872"/>
    </row>
    <row r="13" spans="1:7" x14ac:dyDescent="0.2">
      <c r="A13" s="869" t="s">
        <v>106</v>
      </c>
      <c r="B13" s="870" t="s">
        <v>1880</v>
      </c>
      <c r="C13" s="871"/>
      <c r="D13" s="869" t="s">
        <v>501</v>
      </c>
      <c r="E13" s="868"/>
      <c r="F13" s="1909">
        <f>'Expenditures 15-22'!K342</f>
        <v>0</v>
      </c>
      <c r="G13" s="873"/>
    </row>
    <row r="14" spans="1:7" ht="12" customHeight="1" thickBot="1" x14ac:dyDescent="0.25">
      <c r="A14" s="1770"/>
      <c r="B14" s="1771"/>
      <c r="C14" s="1772"/>
      <c r="D14" s="1773" t="s">
        <v>501</v>
      </c>
      <c r="E14" s="1774" t="s">
        <v>958</v>
      </c>
      <c r="F14" s="1775">
        <f>SUM(F8:F13)</f>
        <v>15506851</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109399</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37072</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263511</v>
      </c>
      <c r="G52" s="865"/>
    </row>
    <row r="53" spans="1:7" x14ac:dyDescent="0.2">
      <c r="A53" s="869" t="s">
        <v>459</v>
      </c>
      <c r="B53" s="869" t="s">
        <v>1475</v>
      </c>
      <c r="C53" s="889">
        <f>'Expenditures 15-22'!B102</f>
        <v>4000</v>
      </c>
      <c r="D53" s="888" t="str">
        <f>'Expenditures 15-22'!A102</f>
        <v>Total Payments to Other Govt Units</v>
      </c>
      <c r="E53" s="868"/>
      <c r="F53" s="1913">
        <f>'Expenditures 15-22'!K102</f>
        <v>525959</v>
      </c>
      <c r="G53" s="865"/>
    </row>
    <row r="54" spans="1:7" x14ac:dyDescent="0.2">
      <c r="A54" s="869" t="s">
        <v>459</v>
      </c>
      <c r="B54" s="869" t="s">
        <v>1476</v>
      </c>
      <c r="C54" s="889" t="s">
        <v>982</v>
      </c>
      <c r="D54" s="885" t="s">
        <v>1095</v>
      </c>
      <c r="E54" s="868"/>
      <c r="F54" s="1913">
        <f>'Expenditures 15-22'!G114</f>
        <v>183533</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19274</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660000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189780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2944</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1191</v>
      </c>
      <c r="G71" s="865"/>
    </row>
    <row r="72" spans="1:8" x14ac:dyDescent="0.2">
      <c r="A72" s="869" t="s">
        <v>462</v>
      </c>
      <c r="B72" s="869" t="s">
        <v>1895</v>
      </c>
      <c r="C72" s="886">
        <f>'Expenditures 15-22'!B280</f>
        <v>3000</v>
      </c>
      <c r="D72" s="876" t="s">
        <v>449</v>
      </c>
      <c r="E72" s="868"/>
      <c r="F72" s="1913">
        <f>'Expenditures 15-22'!K280</f>
        <v>35355</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2028018</v>
      </c>
      <c r="G76" s="865"/>
    </row>
    <row r="77" spans="1:8" s="893" customFormat="1" ht="12" customHeight="1" thickTop="1" thickBot="1" x14ac:dyDescent="0.25">
      <c r="A77" s="1779"/>
      <c r="B77" s="1776"/>
      <c r="C77" s="1772"/>
      <c r="D77" s="1777" t="s">
        <v>1899</v>
      </c>
      <c r="E77" s="1774"/>
      <c r="F77" s="1780">
        <f>(F14-F76)</f>
        <v>13478833</v>
      </c>
      <c r="G77" s="869"/>
    </row>
    <row r="78" spans="1:8" s="893" customFormat="1" ht="12" customHeight="1" thickTop="1" x14ac:dyDescent="0.2">
      <c r="A78" s="1781"/>
      <c r="B78" s="1776"/>
      <c r="C78" s="1772"/>
      <c r="D78" s="1777" t="s">
        <v>2060</v>
      </c>
      <c r="E78" s="1774"/>
      <c r="F78" s="898">
        <v>1007.7</v>
      </c>
      <c r="G78" s="899"/>
      <c r="H78" s="869"/>
    </row>
    <row r="79" spans="1:8" s="893" customFormat="1" ht="12" customHeight="1" thickBot="1" x14ac:dyDescent="0.25">
      <c r="A79" s="1782"/>
      <c r="B79" s="1776"/>
      <c r="C79" s="1772"/>
      <c r="D79" s="1777" t="s">
        <v>1900</v>
      </c>
      <c r="E79" s="1774" t="s">
        <v>958</v>
      </c>
      <c r="F79" s="1783">
        <f>IF(F78&gt;0,F77/F78," Complete Line 78")</f>
        <v>13375.839039396646</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159260</v>
      </c>
      <c r="G94" s="912"/>
    </row>
    <row r="95" spans="1:7" x14ac:dyDescent="0.2">
      <c r="A95" s="908" t="s">
        <v>140</v>
      </c>
      <c r="B95" s="908" t="s">
        <v>175</v>
      </c>
      <c r="C95" s="910">
        <v>1700</v>
      </c>
      <c r="D95" s="918" t="str">
        <f>'Revenues 9-14'!A82</f>
        <v>Total District/School Activity Income</v>
      </c>
      <c r="E95" s="906"/>
      <c r="F95" s="1789">
        <f>SUM('Revenues 9-14'!C82,'Revenues 9-14'!D82)</f>
        <v>-596</v>
      </c>
      <c r="G95" s="912"/>
    </row>
    <row r="96" spans="1:7" x14ac:dyDescent="0.2">
      <c r="A96" s="908" t="s">
        <v>459</v>
      </c>
      <c r="B96" s="908" t="s">
        <v>176</v>
      </c>
      <c r="C96" s="910">
        <f>'Revenues 9-14'!B84</f>
        <v>1811</v>
      </c>
      <c r="D96" s="911" t="str">
        <f>'Revenues 9-14'!A84</f>
        <v>Rentals - Regular Textbooks</v>
      </c>
      <c r="E96" s="906"/>
      <c r="F96" s="1789">
        <f>'Revenues 9-14'!C84</f>
        <v>36088</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77202</v>
      </c>
      <c r="G100" s="912"/>
    </row>
    <row r="101" spans="1:7" x14ac:dyDescent="0.2">
      <c r="A101" s="908" t="s">
        <v>140</v>
      </c>
      <c r="B101" s="908" t="s">
        <v>181</v>
      </c>
      <c r="C101" s="910">
        <f>'Revenues 9-14'!B95</f>
        <v>1910</v>
      </c>
      <c r="D101" s="911" t="str">
        <f>'Revenues 9-14'!A95</f>
        <v>Rentals</v>
      </c>
      <c r="E101" s="906"/>
      <c r="F101" s="1789">
        <f>SUM('Revenues 9-14'!C95:D95)</f>
        <v>121938</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389962</v>
      </c>
      <c r="G104" s="912"/>
    </row>
    <row r="105" spans="1:7" x14ac:dyDescent="0.2">
      <c r="A105" s="908" t="s">
        <v>503</v>
      </c>
      <c r="B105" s="908" t="s">
        <v>2001</v>
      </c>
      <c r="C105" s="913">
        <v>3100</v>
      </c>
      <c r="D105" s="919" t="str">
        <f>'Revenues 9-14'!A132</f>
        <v>Total Special Education</v>
      </c>
      <c r="E105" s="906"/>
      <c r="F105" s="1789">
        <f>SUM('Revenues 9-14'!C132:D132,'Revenues 9-14'!F132)</f>
        <v>72280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932</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92620</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79264</v>
      </c>
      <c r="G125" s="930"/>
    </row>
    <row r="126" spans="1:7" x14ac:dyDescent="0.2">
      <c r="A126" s="927" t="s">
        <v>668</v>
      </c>
      <c r="B126" s="927" t="s">
        <v>2022</v>
      </c>
      <c r="C126" s="932">
        <v>4300</v>
      </c>
      <c r="D126" s="933" t="str">
        <f>'Revenues 9-14'!A204</f>
        <v>Total Title I</v>
      </c>
      <c r="E126" s="906"/>
      <c r="F126" s="1789">
        <f>SUM('Revenues 9-14'!C204,'Revenues 9-14'!D204,'Revenues 9-14'!F204,'Revenues 9-14'!G204)</f>
        <v>80714</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3136</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235900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36450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15944</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9909</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31477</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v>333796</v>
      </c>
      <c r="G171" s="927"/>
    </row>
    <row r="172" spans="1:7" x14ac:dyDescent="0.2">
      <c r="A172" s="1918" t="s">
        <v>664</v>
      </c>
      <c r="B172" s="1919" t="s">
        <v>1919</v>
      </c>
      <c r="C172" s="1920">
        <v>3300</v>
      </c>
      <c r="D172" s="1921" t="s">
        <v>1922</v>
      </c>
      <c r="E172" s="906"/>
      <c r="F172" s="1906">
        <v>5156</v>
      </c>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1781432</v>
      </c>
    </row>
    <row r="175" spans="1:7" ht="12" customHeight="1" x14ac:dyDescent="0.2">
      <c r="A175" s="1770"/>
      <c r="B175" s="1784"/>
      <c r="C175" s="1785"/>
      <c r="D175" s="1786" t="s">
        <v>2055</v>
      </c>
      <c r="E175" s="1787"/>
      <c r="F175" s="1789">
        <f>'PCTC-OEPP 27-28'!F77-F174</f>
        <v>11697401</v>
      </c>
    </row>
    <row r="176" spans="1:7" ht="12" customHeight="1" x14ac:dyDescent="0.2">
      <c r="A176" s="1770"/>
      <c r="B176" s="1784"/>
      <c r="C176" s="1785"/>
      <c r="D176" s="1786" t="s">
        <v>1817</v>
      </c>
      <c r="E176" s="1787"/>
      <c r="F176" s="1789">
        <f>'Cap Outlay Deprec 26'!I18</f>
        <v>0</v>
      </c>
    </row>
    <row r="177" spans="1:7" ht="12" customHeight="1" x14ac:dyDescent="0.2">
      <c r="A177" s="1770"/>
      <c r="B177" s="1784"/>
      <c r="C177" s="1785"/>
      <c r="D177" s="1786" t="s">
        <v>2056</v>
      </c>
      <c r="E177" s="1787"/>
      <c r="F177" s="1789">
        <f>F175+F176</f>
        <v>11697401</v>
      </c>
    </row>
    <row r="178" spans="1:7" ht="12" customHeight="1" x14ac:dyDescent="0.2">
      <c r="A178" s="1770"/>
      <c r="B178" s="1790"/>
      <c r="C178" s="1785"/>
      <c r="D178" s="1786" t="str">
        <f>D78</f>
        <v>9 Month ADA from District Average Daily Attendance/Prior General State Aid Inquiry 2018-2019</v>
      </c>
      <c r="E178" s="1787"/>
      <c r="F178" s="1791">
        <f>'PCTC-OEPP 27-28'!F78</f>
        <v>1007.7</v>
      </c>
      <c r="G178" s="930"/>
    </row>
    <row r="179" spans="1:7" ht="12" customHeight="1" thickBot="1" x14ac:dyDescent="0.25">
      <c r="A179" s="1770"/>
      <c r="B179" s="1790"/>
      <c r="C179" s="1785"/>
      <c r="D179" s="1786" t="s">
        <v>2057</v>
      </c>
      <c r="E179" s="1787" t="s">
        <v>1545</v>
      </c>
      <c r="F179" s="1792">
        <f>F177/F178</f>
        <v>11608.019251761436</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H142"/>
  <sheetViews>
    <sheetView showGridLines="0" topLeftCell="A13" zoomScaleNormal="100" workbookViewId="0">
      <selection activeCell="I44" sqref="I44:S44"/>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937" t="s">
        <v>2064</v>
      </c>
      <c r="B6" s="1938"/>
      <c r="C6" s="1938"/>
      <c r="D6" s="1938"/>
      <c r="E6" s="1938"/>
      <c r="F6" s="1938"/>
      <c r="G6" s="1939"/>
    </row>
    <row r="7" spans="1:7" ht="18.75" x14ac:dyDescent="0.25">
      <c r="A7" s="1534" t="s">
        <v>1819</v>
      </c>
      <c r="B7" s="1535"/>
      <c r="C7" s="1535"/>
      <c r="D7" s="1535"/>
      <c r="E7" s="1535"/>
      <c r="F7" s="1535"/>
      <c r="G7" s="1536"/>
    </row>
    <row r="8" spans="1:7" ht="30.75" customHeight="1" x14ac:dyDescent="0.25">
      <c r="A8" s="2280" t="s">
        <v>1931</v>
      </c>
      <c r="B8" s="2281"/>
      <c r="C8" s="2281"/>
      <c r="D8" s="2281"/>
      <c r="E8" s="2281"/>
      <c r="F8" s="2281"/>
      <c r="G8" s="2282"/>
    </row>
    <row r="9" spans="1:7" ht="15.75" customHeight="1" x14ac:dyDescent="0.25">
      <c r="A9" s="2283" t="s">
        <v>1906</v>
      </c>
      <c r="B9" s="2284"/>
      <c r="C9" s="2284"/>
      <c r="D9" s="2284"/>
      <c r="E9" s="2284"/>
      <c r="F9" s="2284"/>
      <c r="G9" s="2285"/>
    </row>
    <row r="10" spans="1:7" ht="35.25" customHeight="1" x14ac:dyDescent="0.25">
      <c r="A10" s="2280" t="s">
        <v>2063</v>
      </c>
      <c r="B10" s="2281"/>
      <c r="C10" s="2281"/>
      <c r="D10" s="2281"/>
      <c r="E10" s="2281"/>
      <c r="F10" s="2281"/>
      <c r="G10" s="2282"/>
    </row>
    <row r="11" spans="1:7" ht="15" customHeight="1" x14ac:dyDescent="0.25">
      <c r="A11" s="1537" t="s">
        <v>1820</v>
      </c>
      <c r="B11" s="1538"/>
      <c r="C11" s="1538"/>
      <c r="D11" s="1538"/>
      <c r="E11" s="1538"/>
      <c r="F11" s="1538"/>
      <c r="G11" s="1539"/>
    </row>
    <row r="12" spans="1:7" ht="17.25" customHeight="1" x14ac:dyDescent="0.25">
      <c r="A12" s="2280" t="s">
        <v>1933</v>
      </c>
      <c r="B12" s="2281"/>
      <c r="C12" s="2281"/>
      <c r="D12" s="2281"/>
      <c r="E12" s="2281"/>
      <c r="F12" s="2281"/>
      <c r="G12" s="2282"/>
    </row>
    <row r="13" spans="1:7" ht="15" customHeight="1" x14ac:dyDescent="0.25">
      <c r="A13" s="1537" t="s">
        <v>1825</v>
      </c>
      <c r="B13" s="1538"/>
      <c r="C13" s="1538"/>
      <c r="D13" s="1538"/>
      <c r="E13" s="1538"/>
      <c r="F13" s="1538"/>
      <c r="G13" s="1539"/>
    </row>
    <row r="14" spans="1:7" ht="32.25" customHeight="1" x14ac:dyDescent="0.25">
      <c r="A14" s="2271" t="s">
        <v>1974</v>
      </c>
      <c r="B14" s="2272"/>
      <c r="C14" s="2272"/>
      <c r="D14" s="2272"/>
      <c r="E14" s="2272"/>
      <c r="F14" s="2272"/>
      <c r="G14" s="2273"/>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2" t="s">
        <v>2111</v>
      </c>
      <c r="B18" s="1940" t="s">
        <v>2095</v>
      </c>
      <c r="C18" s="1941" t="s">
        <v>2096</v>
      </c>
      <c r="D18" s="1844">
        <v>189655</v>
      </c>
      <c r="E18" s="1540">
        <f t="shared" ref="E18:E142" si="0">IF(D18&lt;=25000,D18,IF(D18&gt;25000,25000,0))</f>
        <v>25000</v>
      </c>
      <c r="F18" s="1936">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93">
        <f>IF(F18=0,0,D18-F18)</f>
        <v>164655</v>
      </c>
      <c r="H18" s="1647"/>
    </row>
    <row r="19" spans="1:8" x14ac:dyDescent="0.25">
      <c r="A19" s="1942" t="s">
        <v>2112</v>
      </c>
      <c r="B19" s="1940" t="s">
        <v>2098</v>
      </c>
      <c r="C19" s="1941" t="s">
        <v>2097</v>
      </c>
      <c r="D19" s="1844">
        <v>1691</v>
      </c>
      <c r="E19" s="1540">
        <f t="shared" ref="E19:E141" si="2">IF(D19&lt;=25000,D19,IF(D19&gt;25000,25000,0))</f>
        <v>1691</v>
      </c>
      <c r="F19" s="1936">
        <f t="shared" si="1"/>
        <v>1691</v>
      </c>
      <c r="G19" s="1793">
        <f t="shared" ref="G19:G141" si="3">IF(F19=0,0,D19-F19)</f>
        <v>0</v>
      </c>
    </row>
    <row r="20" spans="1:8" x14ac:dyDescent="0.25">
      <c r="A20" s="1942" t="s">
        <v>2112</v>
      </c>
      <c r="B20" s="1940" t="s">
        <v>2098</v>
      </c>
      <c r="C20" s="1941" t="s">
        <v>2100</v>
      </c>
      <c r="D20" s="1844">
        <v>11000</v>
      </c>
      <c r="E20" s="1540">
        <f t="shared" si="2"/>
        <v>11000</v>
      </c>
      <c r="F20" s="1936">
        <f t="shared" si="1"/>
        <v>11000</v>
      </c>
      <c r="G20" s="1793">
        <f t="shared" si="3"/>
        <v>0</v>
      </c>
    </row>
    <row r="21" spans="1:8" x14ac:dyDescent="0.25">
      <c r="A21" s="1942" t="s">
        <v>2111</v>
      </c>
      <c r="B21" s="1940" t="s">
        <v>2099</v>
      </c>
      <c r="C21" s="1941" t="s">
        <v>2100</v>
      </c>
      <c r="D21" s="1844">
        <v>2369</v>
      </c>
      <c r="E21" s="1540">
        <f t="shared" si="2"/>
        <v>2369</v>
      </c>
      <c r="F21" s="1936">
        <f t="shared" si="1"/>
        <v>2369</v>
      </c>
      <c r="G21" s="1793">
        <f t="shared" si="3"/>
        <v>0</v>
      </c>
    </row>
    <row r="22" spans="1:8" x14ac:dyDescent="0.25">
      <c r="A22" s="1942" t="s">
        <v>2113</v>
      </c>
      <c r="B22" s="1940" t="s">
        <v>2101</v>
      </c>
      <c r="C22" s="1941" t="s">
        <v>2102</v>
      </c>
      <c r="D22" s="1844">
        <v>8271</v>
      </c>
      <c r="E22" s="1540">
        <f t="shared" si="2"/>
        <v>8271</v>
      </c>
      <c r="F22" s="1936">
        <f t="shared" si="1"/>
        <v>8271</v>
      </c>
      <c r="G22" s="1793">
        <f t="shared" si="3"/>
        <v>0</v>
      </c>
    </row>
    <row r="23" spans="1:8" x14ac:dyDescent="0.25">
      <c r="A23" s="1942" t="s">
        <v>2114</v>
      </c>
      <c r="B23" s="1940" t="s">
        <v>2103</v>
      </c>
      <c r="C23" s="1941" t="s">
        <v>2104</v>
      </c>
      <c r="D23" s="1844">
        <v>12106</v>
      </c>
      <c r="E23" s="1540">
        <f t="shared" si="2"/>
        <v>12106</v>
      </c>
      <c r="F23" s="1936">
        <f t="shared" si="1"/>
        <v>12106</v>
      </c>
      <c r="G23" s="1793">
        <f t="shared" si="3"/>
        <v>0</v>
      </c>
    </row>
    <row r="24" spans="1:8" x14ac:dyDescent="0.25">
      <c r="A24" s="1942" t="s">
        <v>2115</v>
      </c>
      <c r="B24" s="1940" t="s">
        <v>2105</v>
      </c>
      <c r="C24" s="1941" t="s">
        <v>2106</v>
      </c>
      <c r="D24" s="1844">
        <v>3592</v>
      </c>
      <c r="E24" s="1540">
        <f t="shared" si="2"/>
        <v>3592</v>
      </c>
      <c r="F24" s="1936">
        <f t="shared" si="1"/>
        <v>3592</v>
      </c>
      <c r="G24" s="1793">
        <f t="shared" si="3"/>
        <v>0</v>
      </c>
    </row>
    <row r="25" spans="1:8" x14ac:dyDescent="0.25">
      <c r="A25" s="1942" t="s">
        <v>2115</v>
      </c>
      <c r="B25" s="1940" t="s">
        <v>2105</v>
      </c>
      <c r="C25" s="1941" t="s">
        <v>2107</v>
      </c>
      <c r="D25" s="1844">
        <v>4800</v>
      </c>
      <c r="E25" s="1540">
        <f t="shared" si="2"/>
        <v>4800</v>
      </c>
      <c r="F25" s="1936">
        <f t="shared" si="1"/>
        <v>4800</v>
      </c>
      <c r="G25" s="1793">
        <f t="shared" si="3"/>
        <v>0</v>
      </c>
    </row>
    <row r="26" spans="1:8" x14ac:dyDescent="0.25">
      <c r="A26" s="1942" t="s">
        <v>2116</v>
      </c>
      <c r="B26" s="1940" t="s">
        <v>2109</v>
      </c>
      <c r="C26" s="1941" t="s">
        <v>2108</v>
      </c>
      <c r="D26" s="1844">
        <v>1772</v>
      </c>
      <c r="E26" s="1540">
        <f t="shared" si="2"/>
        <v>1772</v>
      </c>
      <c r="F26" s="1936">
        <f t="shared" si="1"/>
        <v>1772</v>
      </c>
      <c r="G26" s="1793">
        <f t="shared" si="3"/>
        <v>0</v>
      </c>
    </row>
    <row r="27" spans="1:8" x14ac:dyDescent="0.25">
      <c r="A27" s="1942" t="s">
        <v>2112</v>
      </c>
      <c r="B27" s="1940" t="s">
        <v>2098</v>
      </c>
      <c r="C27" s="1941" t="s">
        <v>2110</v>
      </c>
      <c r="D27" s="1844">
        <v>682</v>
      </c>
      <c r="E27" s="1540">
        <f t="shared" si="2"/>
        <v>682</v>
      </c>
      <c r="F27" s="1936">
        <f t="shared" si="1"/>
        <v>682</v>
      </c>
      <c r="G27" s="1793">
        <f t="shared" si="3"/>
        <v>0</v>
      </c>
    </row>
    <row r="28" spans="1:8" x14ac:dyDescent="0.25">
      <c r="A28" s="1653"/>
      <c r="B28" s="1940"/>
      <c r="C28" s="1941"/>
      <c r="D28" s="1844"/>
      <c r="E28" s="1540">
        <f t="shared" si="2"/>
        <v>0</v>
      </c>
      <c r="F28" s="1936">
        <f t="shared" si="1"/>
        <v>0</v>
      </c>
      <c r="G28" s="1793">
        <f t="shared" si="3"/>
        <v>0</v>
      </c>
    </row>
    <row r="29" spans="1:8" x14ac:dyDescent="0.25">
      <c r="A29" s="1653"/>
      <c r="B29" s="1940"/>
      <c r="C29" s="1941"/>
      <c r="D29" s="1844"/>
      <c r="E29" s="1540">
        <f t="shared" si="2"/>
        <v>0</v>
      </c>
      <c r="F29" s="1936">
        <f t="shared" si="1"/>
        <v>0</v>
      </c>
      <c r="G29" s="1793">
        <f t="shared" si="3"/>
        <v>0</v>
      </c>
    </row>
    <row r="30" spans="1:8" x14ac:dyDescent="0.25">
      <c r="A30" s="1653"/>
      <c r="B30" s="1933"/>
      <c r="C30" s="1654"/>
      <c r="D30" s="1844"/>
      <c r="E30" s="1540">
        <f t="shared" si="2"/>
        <v>0</v>
      </c>
      <c r="F30" s="1936">
        <f t="shared" si="1"/>
        <v>0</v>
      </c>
      <c r="G30" s="1793">
        <f t="shared" si="3"/>
        <v>0</v>
      </c>
    </row>
    <row r="31" spans="1:8" x14ac:dyDescent="0.25">
      <c r="A31" s="1653"/>
      <c r="B31" s="1933"/>
      <c r="C31" s="1654"/>
      <c r="D31" s="1844"/>
      <c r="E31" s="1540">
        <f t="shared" si="2"/>
        <v>0</v>
      </c>
      <c r="F31" s="1936">
        <f t="shared" si="1"/>
        <v>0</v>
      </c>
      <c r="G31" s="1793">
        <f t="shared" si="3"/>
        <v>0</v>
      </c>
    </row>
    <row r="32" spans="1:8" x14ac:dyDescent="0.25">
      <c r="A32" s="1653"/>
      <c r="B32" s="1933"/>
      <c r="C32" s="1654"/>
      <c r="D32" s="1844"/>
      <c r="E32" s="1540">
        <f t="shared" si="2"/>
        <v>0</v>
      </c>
      <c r="F32" s="1936">
        <f t="shared" si="1"/>
        <v>0</v>
      </c>
      <c r="G32" s="1793">
        <f t="shared" si="3"/>
        <v>0</v>
      </c>
    </row>
    <row r="33" spans="1:7" x14ac:dyDescent="0.25">
      <c r="A33" s="1653"/>
      <c r="B33" s="1933"/>
      <c r="C33" s="1654"/>
      <c r="D33" s="1844"/>
      <c r="E33" s="1540">
        <f t="shared" si="2"/>
        <v>0</v>
      </c>
      <c r="F33" s="1936">
        <f t="shared" si="1"/>
        <v>0</v>
      </c>
      <c r="G33" s="1793">
        <f t="shared" si="3"/>
        <v>0</v>
      </c>
    </row>
    <row r="34" spans="1:7" x14ac:dyDescent="0.25">
      <c r="A34" s="1653"/>
      <c r="B34" s="1933"/>
      <c r="C34" s="1654"/>
      <c r="D34" s="1844"/>
      <c r="E34" s="1540">
        <f t="shared" si="2"/>
        <v>0</v>
      </c>
      <c r="F34" s="1936">
        <f t="shared" si="1"/>
        <v>0</v>
      </c>
      <c r="G34" s="1793">
        <f t="shared" si="3"/>
        <v>0</v>
      </c>
    </row>
    <row r="35" spans="1:7" x14ac:dyDescent="0.25">
      <c r="A35" s="1653"/>
      <c r="B35" s="1933"/>
      <c r="C35" s="1654"/>
      <c r="D35" s="1844"/>
      <c r="E35" s="1540">
        <f t="shared" si="2"/>
        <v>0</v>
      </c>
      <c r="F35" s="1936">
        <f t="shared" si="1"/>
        <v>0</v>
      </c>
      <c r="G35" s="1793">
        <f t="shared" si="3"/>
        <v>0</v>
      </c>
    </row>
    <row r="36" spans="1:7" x14ac:dyDescent="0.25">
      <c r="A36" s="1653"/>
      <c r="B36" s="1933"/>
      <c r="C36" s="1654"/>
      <c r="D36" s="1844"/>
      <c r="E36" s="1540">
        <f t="shared" si="2"/>
        <v>0</v>
      </c>
      <c r="F36" s="1936">
        <f t="shared" si="1"/>
        <v>0</v>
      </c>
      <c r="G36" s="1793">
        <f t="shared" si="3"/>
        <v>0</v>
      </c>
    </row>
    <row r="37" spans="1:7" x14ac:dyDescent="0.25">
      <c r="A37" s="1653"/>
      <c r="B37" s="1933"/>
      <c r="C37" s="1654"/>
      <c r="D37" s="1844"/>
      <c r="E37" s="1540">
        <f t="shared" si="2"/>
        <v>0</v>
      </c>
      <c r="F37" s="1936">
        <f t="shared" si="1"/>
        <v>0</v>
      </c>
      <c r="G37" s="1793">
        <f t="shared" si="3"/>
        <v>0</v>
      </c>
    </row>
    <row r="38" spans="1:7" x14ac:dyDescent="0.25">
      <c r="A38" s="1653"/>
      <c r="B38" s="1933"/>
      <c r="C38" s="1654"/>
      <c r="D38" s="1844"/>
      <c r="E38" s="1540">
        <f t="shared" si="2"/>
        <v>0</v>
      </c>
      <c r="F38" s="1936">
        <f t="shared" si="1"/>
        <v>0</v>
      </c>
      <c r="G38" s="1793">
        <f t="shared" si="3"/>
        <v>0</v>
      </c>
    </row>
    <row r="39" spans="1:7" x14ac:dyDescent="0.25">
      <c r="A39" s="1653"/>
      <c r="B39" s="1934"/>
      <c r="C39" s="1654"/>
      <c r="D39" s="1844"/>
      <c r="E39" s="1540">
        <f t="shared" si="2"/>
        <v>0</v>
      </c>
      <c r="F39" s="1936">
        <f t="shared" si="1"/>
        <v>0</v>
      </c>
      <c r="G39" s="1793">
        <f t="shared" si="3"/>
        <v>0</v>
      </c>
    </row>
    <row r="40" spans="1:7" x14ac:dyDescent="0.25">
      <c r="A40" s="1653"/>
      <c r="B40" s="1934"/>
      <c r="C40" s="1654"/>
      <c r="D40" s="1844"/>
      <c r="E40" s="1540">
        <f t="shared" si="2"/>
        <v>0</v>
      </c>
      <c r="F40" s="1936">
        <f t="shared" si="1"/>
        <v>0</v>
      </c>
      <c r="G40" s="1793">
        <f t="shared" si="3"/>
        <v>0</v>
      </c>
    </row>
    <row r="41" spans="1:7" x14ac:dyDescent="0.25">
      <c r="A41" s="1653"/>
      <c r="B41" s="1934"/>
      <c r="C41" s="1654"/>
      <c r="D41" s="1844"/>
      <c r="E41" s="1540">
        <f t="shared" si="2"/>
        <v>0</v>
      </c>
      <c r="F41" s="1936">
        <f t="shared" si="1"/>
        <v>0</v>
      </c>
      <c r="G41" s="1793">
        <f t="shared" si="3"/>
        <v>0</v>
      </c>
    </row>
    <row r="42" spans="1:7" x14ac:dyDescent="0.25">
      <c r="A42" s="1653"/>
      <c r="B42" s="1934"/>
      <c r="C42" s="1654"/>
      <c r="D42" s="1844"/>
      <c r="E42" s="1540">
        <f t="shared" si="2"/>
        <v>0</v>
      </c>
      <c r="F42" s="1936">
        <f t="shared" si="1"/>
        <v>0</v>
      </c>
      <c r="G42" s="1793">
        <f t="shared" si="3"/>
        <v>0</v>
      </c>
    </row>
    <row r="43" spans="1:7" x14ac:dyDescent="0.25">
      <c r="A43" s="1653"/>
      <c r="B43" s="1934"/>
      <c r="C43" s="1654"/>
      <c r="D43" s="1844"/>
      <c r="E43" s="1540">
        <f t="shared" si="2"/>
        <v>0</v>
      </c>
      <c r="F43" s="1936">
        <f t="shared" si="1"/>
        <v>0</v>
      </c>
      <c r="G43" s="1793">
        <f t="shared" si="3"/>
        <v>0</v>
      </c>
    </row>
    <row r="44" spans="1:7" x14ac:dyDescent="0.25">
      <c r="A44" s="1653"/>
      <c r="B44" s="1934"/>
      <c r="C44" s="1654"/>
      <c r="D44" s="1844"/>
      <c r="E44" s="1540">
        <f t="shared" si="2"/>
        <v>0</v>
      </c>
      <c r="F44" s="1936">
        <f t="shared" si="1"/>
        <v>0</v>
      </c>
      <c r="G44" s="1793">
        <f t="shared" si="3"/>
        <v>0</v>
      </c>
    </row>
    <row r="45" spans="1:7" x14ac:dyDescent="0.25">
      <c r="A45" s="1653"/>
      <c r="B45" s="1934"/>
      <c r="C45" s="1654"/>
      <c r="D45" s="1844"/>
      <c r="E45" s="1540">
        <f t="shared" si="2"/>
        <v>0</v>
      </c>
      <c r="F45" s="1936">
        <f t="shared" si="1"/>
        <v>0</v>
      </c>
      <c r="G45" s="1793">
        <f t="shared" si="3"/>
        <v>0</v>
      </c>
    </row>
    <row r="46" spans="1:7" x14ac:dyDescent="0.25">
      <c r="A46" s="1653"/>
      <c r="B46" s="1934"/>
      <c r="C46" s="1654"/>
      <c r="D46" s="1844"/>
      <c r="E46" s="1540">
        <f t="shared" si="2"/>
        <v>0</v>
      </c>
      <c r="F46" s="1936">
        <f t="shared" si="1"/>
        <v>0</v>
      </c>
      <c r="G46" s="1793">
        <f t="shared" si="3"/>
        <v>0</v>
      </c>
    </row>
    <row r="47" spans="1:7" x14ac:dyDescent="0.25">
      <c r="A47" s="1653"/>
      <c r="B47" s="1667"/>
      <c r="C47" s="1654"/>
      <c r="D47" s="1844"/>
      <c r="E47" s="1540">
        <f t="shared" si="2"/>
        <v>0</v>
      </c>
      <c r="F47" s="1936">
        <f t="shared" si="1"/>
        <v>0</v>
      </c>
      <c r="G47" s="1793">
        <f t="shared" si="3"/>
        <v>0</v>
      </c>
    </row>
    <row r="48" spans="1:7" x14ac:dyDescent="0.25">
      <c r="A48" s="1653"/>
      <c r="B48" s="1667"/>
      <c r="C48" s="1654"/>
      <c r="D48" s="1844"/>
      <c r="E48" s="1540">
        <f t="shared" si="2"/>
        <v>0</v>
      </c>
      <c r="F48" s="1936">
        <f t="shared" si="1"/>
        <v>0</v>
      </c>
      <c r="G48" s="1793">
        <f t="shared" si="3"/>
        <v>0</v>
      </c>
    </row>
    <row r="49" spans="1:7" x14ac:dyDescent="0.25">
      <c r="A49" s="1653"/>
      <c r="B49" s="1667"/>
      <c r="C49" s="1654"/>
      <c r="D49" s="1844"/>
      <c r="E49" s="1540">
        <f t="shared" si="2"/>
        <v>0</v>
      </c>
      <c r="F49" s="1936">
        <f t="shared" si="1"/>
        <v>0</v>
      </c>
      <c r="G49" s="1793">
        <f t="shared" si="3"/>
        <v>0</v>
      </c>
    </row>
    <row r="50" spans="1:7" x14ac:dyDescent="0.25">
      <c r="A50" s="1653"/>
      <c r="B50" s="1667"/>
      <c r="C50" s="1654"/>
      <c r="D50" s="1844"/>
      <c r="E50" s="1540">
        <f t="shared" si="2"/>
        <v>0</v>
      </c>
      <c r="F50" s="1936">
        <f t="shared" si="1"/>
        <v>0</v>
      </c>
      <c r="G50" s="1793">
        <f t="shared" si="3"/>
        <v>0</v>
      </c>
    </row>
    <row r="51" spans="1:7" x14ac:dyDescent="0.25">
      <c r="A51" s="1653"/>
      <c r="B51" s="1667"/>
      <c r="C51" s="1654"/>
      <c r="D51" s="1844"/>
      <c r="E51" s="1540">
        <f t="shared" si="2"/>
        <v>0</v>
      </c>
      <c r="F51" s="1936">
        <f t="shared" si="1"/>
        <v>0</v>
      </c>
      <c r="G51" s="1793">
        <f t="shared" si="3"/>
        <v>0</v>
      </c>
    </row>
    <row r="52" spans="1:7" x14ac:dyDescent="0.25">
      <c r="A52" s="1653"/>
      <c r="B52" s="1667"/>
      <c r="C52" s="1654"/>
      <c r="D52" s="1844"/>
      <c r="E52" s="1540">
        <f t="shared" si="2"/>
        <v>0</v>
      </c>
      <c r="F52" s="1936">
        <f t="shared" si="1"/>
        <v>0</v>
      </c>
      <c r="G52" s="1793">
        <f t="shared" si="3"/>
        <v>0</v>
      </c>
    </row>
    <row r="53" spans="1:7" x14ac:dyDescent="0.25">
      <c r="A53" s="1653"/>
      <c r="B53" s="1667"/>
      <c r="C53" s="1654"/>
      <c r="D53" s="1844"/>
      <c r="E53" s="1540">
        <f t="shared" si="2"/>
        <v>0</v>
      </c>
      <c r="F53" s="1936">
        <f t="shared" si="1"/>
        <v>0</v>
      </c>
      <c r="G53" s="1793">
        <f t="shared" si="3"/>
        <v>0</v>
      </c>
    </row>
    <row r="54" spans="1:7" x14ac:dyDescent="0.25">
      <c r="A54" s="1653"/>
      <c r="B54" s="1667"/>
      <c r="C54" s="1654"/>
      <c r="D54" s="1844"/>
      <c r="E54" s="1540">
        <f t="shared" si="2"/>
        <v>0</v>
      </c>
      <c r="F54" s="1936">
        <f t="shared" si="1"/>
        <v>0</v>
      </c>
      <c r="G54" s="1793">
        <f t="shared" si="3"/>
        <v>0</v>
      </c>
    </row>
    <row r="55" spans="1:7" x14ac:dyDescent="0.25">
      <c r="A55" s="1653"/>
      <c r="B55" s="1667"/>
      <c r="C55" s="1654"/>
      <c r="D55" s="1844"/>
      <c r="E55" s="1540">
        <f t="shared" si="2"/>
        <v>0</v>
      </c>
      <c r="F55" s="1936">
        <f t="shared" si="1"/>
        <v>0</v>
      </c>
      <c r="G55" s="1793">
        <f t="shared" si="3"/>
        <v>0</v>
      </c>
    </row>
    <row r="56" spans="1:7" x14ac:dyDescent="0.25">
      <c r="A56" s="1653"/>
      <c r="B56" s="1667"/>
      <c r="C56" s="1654"/>
      <c r="D56" s="1844"/>
      <c r="E56" s="1540">
        <f t="shared" si="2"/>
        <v>0</v>
      </c>
      <c r="F56" s="1936">
        <f t="shared" si="1"/>
        <v>0</v>
      </c>
      <c r="G56" s="1793">
        <f t="shared" si="3"/>
        <v>0</v>
      </c>
    </row>
    <row r="57" spans="1:7" x14ac:dyDescent="0.25">
      <c r="A57" s="1653"/>
      <c r="B57" s="1667"/>
      <c r="C57" s="1654"/>
      <c r="D57" s="1844"/>
      <c r="E57" s="1540">
        <f t="shared" si="2"/>
        <v>0</v>
      </c>
      <c r="F57" s="1936">
        <f t="shared" si="1"/>
        <v>0</v>
      </c>
      <c r="G57" s="1793">
        <f t="shared" si="3"/>
        <v>0</v>
      </c>
    </row>
    <row r="58" spans="1:7" x14ac:dyDescent="0.25">
      <c r="A58" s="1653"/>
      <c r="B58" s="1667"/>
      <c r="C58" s="1654"/>
      <c r="D58" s="1844"/>
      <c r="E58" s="1540">
        <f t="shared" si="2"/>
        <v>0</v>
      </c>
      <c r="F58" s="1936">
        <f t="shared" si="1"/>
        <v>0</v>
      </c>
      <c r="G58" s="1793">
        <f t="shared" si="3"/>
        <v>0</v>
      </c>
    </row>
    <row r="59" spans="1:7" x14ac:dyDescent="0.25">
      <c r="A59" s="1653"/>
      <c r="B59" s="1667"/>
      <c r="C59" s="1654"/>
      <c r="D59" s="1844"/>
      <c r="E59" s="1540">
        <f t="shared" si="2"/>
        <v>0</v>
      </c>
      <c r="F59" s="1936">
        <f t="shared" si="1"/>
        <v>0</v>
      </c>
      <c r="G59" s="1793">
        <f t="shared" si="3"/>
        <v>0</v>
      </c>
    </row>
    <row r="60" spans="1:7" x14ac:dyDescent="0.25">
      <c r="A60" s="1653"/>
      <c r="B60" s="1667"/>
      <c r="C60" s="1654"/>
      <c r="D60" s="1844"/>
      <c r="E60" s="1540">
        <f t="shared" si="2"/>
        <v>0</v>
      </c>
      <c r="F60" s="1936">
        <f t="shared" si="1"/>
        <v>0</v>
      </c>
      <c r="G60" s="1793">
        <f t="shared" si="3"/>
        <v>0</v>
      </c>
    </row>
    <row r="61" spans="1:7" x14ac:dyDescent="0.25">
      <c r="A61" s="1653"/>
      <c r="B61" s="1667"/>
      <c r="C61" s="1654"/>
      <c r="D61" s="1844"/>
      <c r="E61" s="1540">
        <f t="shared" si="2"/>
        <v>0</v>
      </c>
      <c r="F61" s="1936">
        <f t="shared" si="1"/>
        <v>0</v>
      </c>
      <c r="G61" s="1793">
        <f t="shared" si="3"/>
        <v>0</v>
      </c>
    </row>
    <row r="62" spans="1:7" x14ac:dyDescent="0.25">
      <c r="A62" s="1653"/>
      <c r="B62" s="1667"/>
      <c r="C62" s="1654"/>
      <c r="D62" s="1844"/>
      <c r="E62" s="1540">
        <f t="shared" si="2"/>
        <v>0</v>
      </c>
      <c r="F62" s="1936">
        <f t="shared" si="1"/>
        <v>0</v>
      </c>
      <c r="G62" s="1793">
        <f t="shared" si="3"/>
        <v>0</v>
      </c>
    </row>
    <row r="63" spans="1:7" x14ac:dyDescent="0.25">
      <c r="A63" s="1653"/>
      <c r="B63" s="1667"/>
      <c r="C63" s="1654"/>
      <c r="D63" s="1844"/>
      <c r="E63" s="1540">
        <f t="shared" si="2"/>
        <v>0</v>
      </c>
      <c r="F63" s="1936">
        <f t="shared" si="1"/>
        <v>0</v>
      </c>
      <c r="G63" s="1793">
        <f t="shared" si="3"/>
        <v>0</v>
      </c>
    </row>
    <row r="64" spans="1:7" x14ac:dyDescent="0.25">
      <c r="A64" s="1653"/>
      <c r="B64" s="1667"/>
      <c r="C64" s="1654"/>
      <c r="D64" s="1844"/>
      <c r="E64" s="1540">
        <f t="shared" si="2"/>
        <v>0</v>
      </c>
      <c r="F64" s="1936">
        <f t="shared" si="1"/>
        <v>0</v>
      </c>
      <c r="G64" s="1793">
        <f t="shared" si="3"/>
        <v>0</v>
      </c>
    </row>
    <row r="65" spans="1:7" x14ac:dyDescent="0.25">
      <c r="A65" s="1655"/>
      <c r="B65" s="1667"/>
      <c r="C65" s="1656"/>
      <c r="D65" s="1844"/>
      <c r="E65" s="1540">
        <f t="shared" si="2"/>
        <v>0</v>
      </c>
      <c r="F65" s="1936">
        <f t="shared" si="1"/>
        <v>0</v>
      </c>
      <c r="G65" s="1793">
        <f t="shared" si="3"/>
        <v>0</v>
      </c>
    </row>
    <row r="66" spans="1:7" x14ac:dyDescent="0.25">
      <c r="A66" s="1653"/>
      <c r="B66" s="1667"/>
      <c r="C66" s="1654"/>
      <c r="D66" s="1844"/>
      <c r="E66" s="1540">
        <f t="shared" si="2"/>
        <v>0</v>
      </c>
      <c r="F66" s="1936">
        <f t="shared" si="1"/>
        <v>0</v>
      </c>
      <c r="G66" s="1793">
        <f t="shared" si="3"/>
        <v>0</v>
      </c>
    </row>
    <row r="67" spans="1:7" x14ac:dyDescent="0.25">
      <c r="A67" s="1653"/>
      <c r="B67" s="1667"/>
      <c r="C67" s="1654"/>
      <c r="D67" s="1844"/>
      <c r="E67" s="1540">
        <f t="shared" si="2"/>
        <v>0</v>
      </c>
      <c r="F67" s="1936">
        <f t="shared" si="1"/>
        <v>0</v>
      </c>
      <c r="G67" s="1793">
        <f t="shared" si="3"/>
        <v>0</v>
      </c>
    </row>
    <row r="68" spans="1:7" x14ac:dyDescent="0.25">
      <c r="A68" s="1653"/>
      <c r="B68" s="1667"/>
      <c r="C68" s="1654"/>
      <c r="D68" s="1844"/>
      <c r="E68" s="1540">
        <f t="shared" si="2"/>
        <v>0</v>
      </c>
      <c r="F68" s="1936">
        <f t="shared" si="1"/>
        <v>0</v>
      </c>
      <c r="G68" s="1793">
        <f t="shared" si="3"/>
        <v>0</v>
      </c>
    </row>
    <row r="69" spans="1:7" x14ac:dyDescent="0.25">
      <c r="A69" s="1653"/>
      <c r="B69" s="1667"/>
      <c r="C69" s="1654"/>
      <c r="D69" s="1844"/>
      <c r="E69" s="1540">
        <f t="shared" si="2"/>
        <v>0</v>
      </c>
      <c r="F69" s="1936">
        <f t="shared" si="1"/>
        <v>0</v>
      </c>
      <c r="G69" s="1793">
        <f t="shared" si="3"/>
        <v>0</v>
      </c>
    </row>
    <row r="70" spans="1:7" x14ac:dyDescent="0.25">
      <c r="A70" s="1653"/>
      <c r="B70" s="1667"/>
      <c r="C70" s="1654"/>
      <c r="D70" s="1844"/>
      <c r="E70" s="1540">
        <f t="shared" si="2"/>
        <v>0</v>
      </c>
      <c r="F70" s="1936">
        <f t="shared" si="1"/>
        <v>0</v>
      </c>
      <c r="G70" s="1793">
        <f t="shared" si="3"/>
        <v>0</v>
      </c>
    </row>
    <row r="71" spans="1:7" x14ac:dyDescent="0.25">
      <c r="A71" s="1653"/>
      <c r="B71" s="1667"/>
      <c r="C71" s="1654"/>
      <c r="D71" s="1844"/>
      <c r="E71" s="1540">
        <f t="shared" si="2"/>
        <v>0</v>
      </c>
      <c r="F71" s="1936">
        <f t="shared" si="1"/>
        <v>0</v>
      </c>
      <c r="G71" s="1793">
        <f t="shared" si="3"/>
        <v>0</v>
      </c>
    </row>
    <row r="72" spans="1:7" x14ac:dyDescent="0.25">
      <c r="A72" s="1653"/>
      <c r="B72" s="1667"/>
      <c r="C72" s="1654"/>
      <c r="D72" s="1844"/>
      <c r="E72" s="1540">
        <f t="shared" si="2"/>
        <v>0</v>
      </c>
      <c r="F72" s="1936">
        <f t="shared" si="1"/>
        <v>0</v>
      </c>
      <c r="G72" s="1793">
        <f t="shared" si="3"/>
        <v>0</v>
      </c>
    </row>
    <row r="73" spans="1:7" x14ac:dyDescent="0.25">
      <c r="A73" s="1653"/>
      <c r="B73" s="1667"/>
      <c r="C73" s="1654"/>
      <c r="D73" s="1844"/>
      <c r="E73" s="1540">
        <f t="shared" si="2"/>
        <v>0</v>
      </c>
      <c r="F73" s="1936">
        <f t="shared" si="1"/>
        <v>0</v>
      </c>
      <c r="G73" s="1793">
        <f t="shared" si="3"/>
        <v>0</v>
      </c>
    </row>
    <row r="74" spans="1:7" x14ac:dyDescent="0.25">
      <c r="A74" s="1653"/>
      <c r="B74" s="1667"/>
      <c r="C74" s="1654"/>
      <c r="D74" s="1844"/>
      <c r="E74" s="1540">
        <f t="shared" ref="E74:E85" si="4">IF(D74&lt;=25000,D74,IF(D74&gt;25000,25000,0))</f>
        <v>0</v>
      </c>
      <c r="F74" s="1936">
        <f t="shared" si="1"/>
        <v>0</v>
      </c>
      <c r="G74" s="1793">
        <f t="shared" ref="G74:G85" si="5">IF(F74=0,0,D74-F74)</f>
        <v>0</v>
      </c>
    </row>
    <row r="75" spans="1:7" x14ac:dyDescent="0.25">
      <c r="A75" s="1653"/>
      <c r="B75" s="1667"/>
      <c r="C75" s="1654"/>
      <c r="D75" s="1844"/>
      <c r="E75" s="1540">
        <f t="shared" si="4"/>
        <v>0</v>
      </c>
      <c r="F75" s="1936">
        <f t="shared" si="1"/>
        <v>0</v>
      </c>
      <c r="G75" s="1793">
        <f t="shared" si="5"/>
        <v>0</v>
      </c>
    </row>
    <row r="76" spans="1:7" x14ac:dyDescent="0.25">
      <c r="A76" s="1653"/>
      <c r="B76" s="1667"/>
      <c r="C76" s="1654"/>
      <c r="D76" s="1844"/>
      <c r="E76" s="1540">
        <f t="shared" si="4"/>
        <v>0</v>
      </c>
      <c r="F76" s="1936">
        <f t="shared" si="1"/>
        <v>0</v>
      </c>
      <c r="G76" s="1793">
        <f t="shared" si="5"/>
        <v>0</v>
      </c>
    </row>
    <row r="77" spans="1:7" x14ac:dyDescent="0.25">
      <c r="A77" s="1653"/>
      <c r="B77" s="1667"/>
      <c r="C77" s="1654"/>
      <c r="D77" s="1844"/>
      <c r="E77" s="1540">
        <f t="shared" si="4"/>
        <v>0</v>
      </c>
      <c r="F77" s="1936">
        <f t="shared" si="1"/>
        <v>0</v>
      </c>
      <c r="G77" s="1793">
        <f t="shared" si="5"/>
        <v>0</v>
      </c>
    </row>
    <row r="78" spans="1:7" x14ac:dyDescent="0.25">
      <c r="A78" s="1653"/>
      <c r="B78" s="1667"/>
      <c r="C78" s="1654"/>
      <c r="D78" s="1844"/>
      <c r="E78" s="1540">
        <f t="shared" si="4"/>
        <v>0</v>
      </c>
      <c r="F78" s="1936">
        <f t="shared" si="1"/>
        <v>0</v>
      </c>
      <c r="G78" s="1793">
        <f t="shared" si="5"/>
        <v>0</v>
      </c>
    </row>
    <row r="79" spans="1:7" x14ac:dyDescent="0.25">
      <c r="A79" s="1653"/>
      <c r="B79" s="1667"/>
      <c r="C79" s="1654"/>
      <c r="D79" s="1844"/>
      <c r="E79" s="1540">
        <f t="shared" si="4"/>
        <v>0</v>
      </c>
      <c r="F79" s="1936">
        <f t="shared" si="1"/>
        <v>0</v>
      </c>
      <c r="G79" s="1793">
        <f t="shared" si="5"/>
        <v>0</v>
      </c>
    </row>
    <row r="80" spans="1:7" x14ac:dyDescent="0.25">
      <c r="A80" s="1653"/>
      <c r="B80" s="1667"/>
      <c r="C80" s="1654"/>
      <c r="D80" s="1844"/>
      <c r="E80" s="1540">
        <f t="shared" si="4"/>
        <v>0</v>
      </c>
      <c r="F80" s="1936">
        <f t="shared" si="1"/>
        <v>0</v>
      </c>
      <c r="G80" s="1793">
        <f t="shared" si="5"/>
        <v>0</v>
      </c>
    </row>
    <row r="81" spans="1:7" x14ac:dyDescent="0.25">
      <c r="A81" s="1653"/>
      <c r="B81" s="1667"/>
      <c r="C81" s="1654"/>
      <c r="D81" s="1844"/>
      <c r="E81" s="1540">
        <f t="shared" si="4"/>
        <v>0</v>
      </c>
      <c r="F81" s="1936">
        <f t="shared" si="1"/>
        <v>0</v>
      </c>
      <c r="G81" s="1793">
        <f t="shared" si="5"/>
        <v>0</v>
      </c>
    </row>
    <row r="82" spans="1:7" x14ac:dyDescent="0.25">
      <c r="A82" s="1653"/>
      <c r="B82" s="1667"/>
      <c r="C82" s="1654"/>
      <c r="D82" s="1844"/>
      <c r="E82" s="1540">
        <f t="shared" si="4"/>
        <v>0</v>
      </c>
      <c r="F82" s="1936">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6">
        <f t="shared" si="6"/>
        <v>0</v>
      </c>
      <c r="G83" s="1793">
        <f t="shared" si="5"/>
        <v>0</v>
      </c>
    </row>
    <row r="84" spans="1:7" x14ac:dyDescent="0.25">
      <c r="A84" s="1653"/>
      <c r="B84" s="1667"/>
      <c r="C84" s="1654"/>
      <c r="D84" s="1844"/>
      <c r="E84" s="1540">
        <f t="shared" si="4"/>
        <v>0</v>
      </c>
      <c r="F84" s="1936">
        <f t="shared" si="6"/>
        <v>0</v>
      </c>
      <c r="G84" s="1793">
        <f t="shared" si="5"/>
        <v>0</v>
      </c>
    </row>
    <row r="85" spans="1:7" x14ac:dyDescent="0.25">
      <c r="A85" s="1653"/>
      <c r="B85" s="1667"/>
      <c r="C85" s="1654"/>
      <c r="D85" s="1844"/>
      <c r="E85" s="1540">
        <f t="shared" si="4"/>
        <v>0</v>
      </c>
      <c r="F85" s="1936">
        <f t="shared" si="6"/>
        <v>0</v>
      </c>
      <c r="G85" s="1793">
        <f t="shared" si="5"/>
        <v>0</v>
      </c>
    </row>
    <row r="86" spans="1:7" x14ac:dyDescent="0.25">
      <c r="A86" s="1653"/>
      <c r="B86" s="1667"/>
      <c r="C86" s="1654"/>
      <c r="D86" s="1844"/>
      <c r="E86" s="1540">
        <f t="shared" si="2"/>
        <v>0</v>
      </c>
      <c r="F86" s="1936">
        <f t="shared" si="6"/>
        <v>0</v>
      </c>
      <c r="G86" s="1793">
        <f t="shared" si="3"/>
        <v>0</v>
      </c>
    </row>
    <row r="87" spans="1:7" x14ac:dyDescent="0.25">
      <c r="A87" s="1653"/>
      <c r="B87" s="1667"/>
      <c r="C87" s="1654"/>
      <c r="D87" s="1844"/>
      <c r="E87" s="1540">
        <f t="shared" si="2"/>
        <v>0</v>
      </c>
      <c r="F87" s="1936">
        <f t="shared" si="6"/>
        <v>0</v>
      </c>
      <c r="G87" s="1793">
        <f t="shared" si="3"/>
        <v>0</v>
      </c>
    </row>
    <row r="88" spans="1:7" x14ac:dyDescent="0.25">
      <c r="A88" s="1653"/>
      <c r="B88" s="1667"/>
      <c r="C88" s="1654"/>
      <c r="D88" s="1844"/>
      <c r="E88" s="1540">
        <f t="shared" si="2"/>
        <v>0</v>
      </c>
      <c r="F88" s="1936">
        <f t="shared" si="6"/>
        <v>0</v>
      </c>
      <c r="G88" s="1793">
        <f t="shared" si="3"/>
        <v>0</v>
      </c>
    </row>
    <row r="89" spans="1:7" x14ac:dyDescent="0.25">
      <c r="A89" s="1653"/>
      <c r="B89" s="1667"/>
      <c r="C89" s="1654"/>
      <c r="D89" s="1844"/>
      <c r="E89" s="1540">
        <f t="shared" si="2"/>
        <v>0</v>
      </c>
      <c r="F89" s="1936">
        <f t="shared" si="6"/>
        <v>0</v>
      </c>
      <c r="G89" s="1793">
        <f t="shared" si="3"/>
        <v>0</v>
      </c>
    </row>
    <row r="90" spans="1:7" x14ac:dyDescent="0.25">
      <c r="A90" s="1653"/>
      <c r="B90" s="1667"/>
      <c r="C90" s="1654"/>
      <c r="D90" s="1844"/>
      <c r="E90" s="1540">
        <f t="shared" si="2"/>
        <v>0</v>
      </c>
      <c r="F90" s="1936">
        <f t="shared" si="6"/>
        <v>0</v>
      </c>
      <c r="G90" s="1793">
        <f t="shared" si="3"/>
        <v>0</v>
      </c>
    </row>
    <row r="91" spans="1:7" x14ac:dyDescent="0.25">
      <c r="A91" s="1653"/>
      <c r="B91" s="1667"/>
      <c r="C91" s="1654"/>
      <c r="D91" s="1844"/>
      <c r="E91" s="1540">
        <f t="shared" si="2"/>
        <v>0</v>
      </c>
      <c r="F91" s="1936">
        <f t="shared" si="6"/>
        <v>0</v>
      </c>
      <c r="G91" s="1793">
        <f t="shared" si="3"/>
        <v>0</v>
      </c>
    </row>
    <row r="92" spans="1:7" x14ac:dyDescent="0.25">
      <c r="A92" s="1653"/>
      <c r="B92" s="1667"/>
      <c r="C92" s="1654"/>
      <c r="D92" s="1844"/>
      <c r="E92" s="1540">
        <f t="shared" si="2"/>
        <v>0</v>
      </c>
      <c r="F92" s="1936">
        <f t="shared" si="6"/>
        <v>0</v>
      </c>
      <c r="G92" s="1793">
        <f t="shared" si="3"/>
        <v>0</v>
      </c>
    </row>
    <row r="93" spans="1:7" x14ac:dyDescent="0.25">
      <c r="A93" s="1653"/>
      <c r="B93" s="1667"/>
      <c r="C93" s="1654"/>
      <c r="D93" s="1844"/>
      <c r="E93" s="1540">
        <f t="shared" si="2"/>
        <v>0</v>
      </c>
      <c r="F93" s="1936">
        <f t="shared" si="6"/>
        <v>0</v>
      </c>
      <c r="G93" s="1793">
        <f t="shared" si="3"/>
        <v>0</v>
      </c>
    </row>
    <row r="94" spans="1:7" x14ac:dyDescent="0.25">
      <c r="A94" s="1653"/>
      <c r="B94" s="1667"/>
      <c r="C94" s="1654"/>
      <c r="D94" s="1844"/>
      <c r="E94" s="1540">
        <f t="shared" ref="E94" si="7">IF(D94&lt;=25000,D94,IF(D94&gt;25000,25000,0))</f>
        <v>0</v>
      </c>
      <c r="F94" s="1936">
        <f t="shared" si="6"/>
        <v>0</v>
      </c>
      <c r="G94" s="1793">
        <f t="shared" ref="G94" si="8">IF(F94=0,0,D94-F94)</f>
        <v>0</v>
      </c>
    </row>
    <row r="95" spans="1:7" x14ac:dyDescent="0.25">
      <c r="A95" s="1653"/>
      <c r="B95" s="1667"/>
      <c r="C95" s="1654"/>
      <c r="D95" s="1844"/>
      <c r="E95" s="1540">
        <f t="shared" si="2"/>
        <v>0</v>
      </c>
      <c r="F95" s="1936">
        <f t="shared" si="6"/>
        <v>0</v>
      </c>
      <c r="G95" s="1793">
        <f t="shared" si="3"/>
        <v>0</v>
      </c>
    </row>
    <row r="96" spans="1:7" x14ac:dyDescent="0.25">
      <c r="A96" s="1653"/>
      <c r="B96" s="1667"/>
      <c r="C96" s="1654"/>
      <c r="D96" s="1844"/>
      <c r="E96" s="1540">
        <f t="shared" ref="E96:E99" si="9">IF(D96&lt;=25000,D96,IF(D96&gt;25000,25000,0))</f>
        <v>0</v>
      </c>
      <c r="F96" s="1936">
        <f t="shared" si="6"/>
        <v>0</v>
      </c>
      <c r="G96" s="1793">
        <f t="shared" ref="G96:G99" si="10">IF(F96=0,0,D96-F96)</f>
        <v>0</v>
      </c>
    </row>
    <row r="97" spans="1:7" x14ac:dyDescent="0.25">
      <c r="A97" s="1653"/>
      <c r="B97" s="1667"/>
      <c r="C97" s="1654"/>
      <c r="D97" s="1844"/>
      <c r="E97" s="1540">
        <f t="shared" si="9"/>
        <v>0</v>
      </c>
      <c r="F97" s="1936">
        <f t="shared" si="6"/>
        <v>0</v>
      </c>
      <c r="G97" s="1793">
        <f t="shared" si="10"/>
        <v>0</v>
      </c>
    </row>
    <row r="98" spans="1:7" x14ac:dyDescent="0.25">
      <c r="A98" s="1653"/>
      <c r="B98" s="1667"/>
      <c r="C98" s="1654"/>
      <c r="D98" s="1844"/>
      <c r="E98" s="1540">
        <f t="shared" si="9"/>
        <v>0</v>
      </c>
      <c r="F98" s="1936">
        <f t="shared" si="6"/>
        <v>0</v>
      </c>
      <c r="G98" s="1793">
        <f t="shared" si="10"/>
        <v>0</v>
      </c>
    </row>
    <row r="99" spans="1:7" x14ac:dyDescent="0.25">
      <c r="A99" s="1653"/>
      <c r="B99" s="1667"/>
      <c r="C99" s="1654"/>
      <c r="D99" s="1844"/>
      <c r="E99" s="1540">
        <f t="shared" si="9"/>
        <v>0</v>
      </c>
      <c r="F99" s="1936">
        <f t="shared" si="6"/>
        <v>0</v>
      </c>
      <c r="G99" s="1793">
        <f t="shared" si="10"/>
        <v>0</v>
      </c>
    </row>
    <row r="100" spans="1:7" x14ac:dyDescent="0.25">
      <c r="A100" s="1653"/>
      <c r="B100" s="1667"/>
      <c r="C100" s="1654"/>
      <c r="D100" s="1844"/>
      <c r="E100" s="1540">
        <f t="shared" ref="E100" si="11">IF(D100&lt;=25000,D100,IF(D100&gt;25000,25000,0))</f>
        <v>0</v>
      </c>
      <c r="F100" s="1936">
        <f t="shared" si="6"/>
        <v>0</v>
      </c>
      <c r="G100" s="1793">
        <f t="shared" ref="G100" si="12">IF(F100=0,0,D100-F100)</f>
        <v>0</v>
      </c>
    </row>
    <row r="101" spans="1:7" x14ac:dyDescent="0.25">
      <c r="A101" s="1653"/>
      <c r="B101" s="1667"/>
      <c r="C101" s="1654"/>
      <c r="D101" s="1844"/>
      <c r="E101" s="1540">
        <f t="shared" ref="E101:E113" si="13">IF(D101&lt;=25000,D101,IF(D101&gt;25000,25000,0))</f>
        <v>0</v>
      </c>
      <c r="F101" s="1936">
        <f t="shared" si="6"/>
        <v>0</v>
      </c>
      <c r="G101" s="1793">
        <f t="shared" ref="G101:G113" si="14">IF(F101=0,0,D101-F101)</f>
        <v>0</v>
      </c>
    </row>
    <row r="102" spans="1:7" x14ac:dyDescent="0.25">
      <c r="A102" s="1653"/>
      <c r="B102" s="1667"/>
      <c r="C102" s="1654"/>
      <c r="D102" s="1844"/>
      <c r="E102" s="1540">
        <f t="shared" si="13"/>
        <v>0</v>
      </c>
      <c r="F102" s="1936">
        <f t="shared" si="6"/>
        <v>0</v>
      </c>
      <c r="G102" s="1793">
        <f t="shared" si="14"/>
        <v>0</v>
      </c>
    </row>
    <row r="103" spans="1:7" x14ac:dyDescent="0.25">
      <c r="A103" s="1653"/>
      <c r="B103" s="1667"/>
      <c r="C103" s="1654"/>
      <c r="D103" s="1844"/>
      <c r="E103" s="1540">
        <f t="shared" si="13"/>
        <v>0</v>
      </c>
      <c r="F103" s="1936">
        <f t="shared" si="6"/>
        <v>0</v>
      </c>
      <c r="G103" s="1793">
        <f t="shared" si="14"/>
        <v>0</v>
      </c>
    </row>
    <row r="104" spans="1:7" x14ac:dyDescent="0.25">
      <c r="A104" s="1653"/>
      <c r="B104" s="1667"/>
      <c r="C104" s="1654"/>
      <c r="D104" s="1844"/>
      <c r="E104" s="1540">
        <f t="shared" si="13"/>
        <v>0</v>
      </c>
      <c r="F104" s="1936">
        <f t="shared" si="6"/>
        <v>0</v>
      </c>
      <c r="G104" s="1793">
        <f t="shared" si="14"/>
        <v>0</v>
      </c>
    </row>
    <row r="105" spans="1:7" x14ac:dyDescent="0.25">
      <c r="A105" s="1653"/>
      <c r="B105" s="1667"/>
      <c r="C105" s="1654"/>
      <c r="D105" s="1844"/>
      <c r="E105" s="1540">
        <f t="shared" si="13"/>
        <v>0</v>
      </c>
      <c r="F105" s="1936">
        <f t="shared" si="6"/>
        <v>0</v>
      </c>
      <c r="G105" s="1793">
        <f t="shared" si="14"/>
        <v>0</v>
      </c>
    </row>
    <row r="106" spans="1:7" x14ac:dyDescent="0.25">
      <c r="A106" s="1653"/>
      <c r="B106" s="1667"/>
      <c r="C106" s="1654"/>
      <c r="D106" s="1844"/>
      <c r="E106" s="1540">
        <f t="shared" si="13"/>
        <v>0</v>
      </c>
      <c r="F106" s="1936">
        <f t="shared" si="6"/>
        <v>0</v>
      </c>
      <c r="G106" s="1793">
        <f t="shared" si="14"/>
        <v>0</v>
      </c>
    </row>
    <row r="107" spans="1:7" x14ac:dyDescent="0.25">
      <c r="A107" s="1653"/>
      <c r="B107" s="1667"/>
      <c r="C107" s="1654"/>
      <c r="D107" s="1844"/>
      <c r="E107" s="1540">
        <f t="shared" si="13"/>
        <v>0</v>
      </c>
      <c r="F107" s="1936">
        <f t="shared" si="6"/>
        <v>0</v>
      </c>
      <c r="G107" s="1793">
        <f t="shared" si="14"/>
        <v>0</v>
      </c>
    </row>
    <row r="108" spans="1:7" x14ac:dyDescent="0.25">
      <c r="A108" s="1653"/>
      <c r="B108" s="1667"/>
      <c r="C108" s="1654"/>
      <c r="D108" s="1844"/>
      <c r="E108" s="1540">
        <f t="shared" si="13"/>
        <v>0</v>
      </c>
      <c r="F108" s="1936">
        <f t="shared" si="6"/>
        <v>0</v>
      </c>
      <c r="G108" s="1793">
        <f t="shared" si="14"/>
        <v>0</v>
      </c>
    </row>
    <row r="109" spans="1:7" x14ac:dyDescent="0.25">
      <c r="A109" s="1653"/>
      <c r="B109" s="1667"/>
      <c r="C109" s="1654"/>
      <c r="D109" s="1844"/>
      <c r="E109" s="1540">
        <f t="shared" si="13"/>
        <v>0</v>
      </c>
      <c r="F109" s="1936">
        <f t="shared" si="6"/>
        <v>0</v>
      </c>
      <c r="G109" s="1793">
        <f t="shared" si="14"/>
        <v>0</v>
      </c>
    </row>
    <row r="110" spans="1:7" x14ac:dyDescent="0.25">
      <c r="A110" s="1653"/>
      <c r="B110" s="1667"/>
      <c r="C110" s="1654"/>
      <c r="D110" s="1844"/>
      <c r="E110" s="1540">
        <f t="shared" si="13"/>
        <v>0</v>
      </c>
      <c r="F110" s="1936">
        <f t="shared" si="6"/>
        <v>0</v>
      </c>
      <c r="G110" s="1793">
        <f t="shared" si="14"/>
        <v>0</v>
      </c>
    </row>
    <row r="111" spans="1:7" x14ac:dyDescent="0.25">
      <c r="A111" s="1653"/>
      <c r="B111" s="1667"/>
      <c r="C111" s="1654"/>
      <c r="D111" s="1844"/>
      <c r="E111" s="1540">
        <f t="shared" si="13"/>
        <v>0</v>
      </c>
      <c r="F111" s="1936">
        <f t="shared" si="6"/>
        <v>0</v>
      </c>
      <c r="G111" s="1793">
        <f t="shared" si="14"/>
        <v>0</v>
      </c>
    </row>
    <row r="112" spans="1:7" x14ac:dyDescent="0.25">
      <c r="A112" s="1653"/>
      <c r="B112" s="1667"/>
      <c r="C112" s="1654"/>
      <c r="D112" s="1844"/>
      <c r="E112" s="1540">
        <f t="shared" si="13"/>
        <v>0</v>
      </c>
      <c r="F112" s="1936">
        <f t="shared" si="6"/>
        <v>0</v>
      </c>
      <c r="G112" s="1793">
        <f t="shared" si="14"/>
        <v>0</v>
      </c>
    </row>
    <row r="113" spans="1:7" x14ac:dyDescent="0.25">
      <c r="A113" s="1653"/>
      <c r="B113" s="1667"/>
      <c r="C113" s="1654"/>
      <c r="D113" s="1844"/>
      <c r="E113" s="1540">
        <f t="shared" si="13"/>
        <v>0</v>
      </c>
      <c r="F113" s="1936">
        <f t="shared" si="6"/>
        <v>0</v>
      </c>
      <c r="G113" s="1793">
        <f t="shared" si="14"/>
        <v>0</v>
      </c>
    </row>
    <row r="114" spans="1:7" x14ac:dyDescent="0.25">
      <c r="A114" s="1653"/>
      <c r="B114" s="1667"/>
      <c r="C114" s="1654"/>
      <c r="D114" s="1844"/>
      <c r="E114" s="1540">
        <f t="shared" ref="E114:E126" si="15">IF(D114&lt;=25000,D114,IF(D114&gt;25000,25000,0))</f>
        <v>0</v>
      </c>
      <c r="F114" s="1936">
        <f t="shared" si="6"/>
        <v>0</v>
      </c>
      <c r="G114" s="1793">
        <f t="shared" ref="G114:G126" si="16">IF(F114=0,0,D114-F114)</f>
        <v>0</v>
      </c>
    </row>
    <row r="115" spans="1:7" x14ac:dyDescent="0.25">
      <c r="A115" s="1653"/>
      <c r="B115" s="1667"/>
      <c r="C115" s="1654"/>
      <c r="D115" s="1844"/>
      <c r="E115" s="1540">
        <f t="shared" si="15"/>
        <v>0</v>
      </c>
      <c r="F115" s="1936">
        <f t="shared" si="6"/>
        <v>0</v>
      </c>
      <c r="G115" s="1793">
        <f t="shared" si="16"/>
        <v>0</v>
      </c>
    </row>
    <row r="116" spans="1:7" x14ac:dyDescent="0.25">
      <c r="A116" s="1653"/>
      <c r="B116" s="1667"/>
      <c r="C116" s="1654"/>
      <c r="D116" s="1844"/>
      <c r="E116" s="1540">
        <f t="shared" si="15"/>
        <v>0</v>
      </c>
      <c r="F116" s="1936">
        <f t="shared" si="6"/>
        <v>0</v>
      </c>
      <c r="G116" s="1793">
        <f t="shared" si="16"/>
        <v>0</v>
      </c>
    </row>
    <row r="117" spans="1:7" x14ac:dyDescent="0.25">
      <c r="A117" s="1653"/>
      <c r="B117" s="1667"/>
      <c r="C117" s="1654"/>
      <c r="D117" s="1844"/>
      <c r="E117" s="1540">
        <f t="shared" si="15"/>
        <v>0</v>
      </c>
      <c r="F117" s="1936">
        <f t="shared" si="6"/>
        <v>0</v>
      </c>
      <c r="G117" s="1793">
        <f t="shared" si="16"/>
        <v>0</v>
      </c>
    </row>
    <row r="118" spans="1:7" x14ac:dyDescent="0.25">
      <c r="A118" s="1653"/>
      <c r="B118" s="1667"/>
      <c r="C118" s="1654"/>
      <c r="D118" s="1844"/>
      <c r="E118" s="1540">
        <f t="shared" si="15"/>
        <v>0</v>
      </c>
      <c r="F118" s="1936">
        <f t="shared" si="6"/>
        <v>0</v>
      </c>
      <c r="G118" s="1793">
        <f t="shared" si="16"/>
        <v>0</v>
      </c>
    </row>
    <row r="119" spans="1:7" x14ac:dyDescent="0.25">
      <c r="A119" s="1653"/>
      <c r="B119" s="1667"/>
      <c r="C119" s="1654"/>
      <c r="D119" s="1844"/>
      <c r="E119" s="1540">
        <f t="shared" si="15"/>
        <v>0</v>
      </c>
      <c r="F119" s="1936">
        <f t="shared" si="6"/>
        <v>0</v>
      </c>
      <c r="G119" s="1793">
        <f t="shared" si="16"/>
        <v>0</v>
      </c>
    </row>
    <row r="120" spans="1:7" x14ac:dyDescent="0.25">
      <c r="A120" s="1653"/>
      <c r="B120" s="1667"/>
      <c r="C120" s="1654"/>
      <c r="D120" s="1844"/>
      <c r="E120" s="1540">
        <f t="shared" si="15"/>
        <v>0</v>
      </c>
      <c r="F120" s="1936">
        <f t="shared" si="6"/>
        <v>0</v>
      </c>
      <c r="G120" s="1793">
        <f t="shared" si="16"/>
        <v>0</v>
      </c>
    </row>
    <row r="121" spans="1:7" x14ac:dyDescent="0.25">
      <c r="A121" s="1653"/>
      <c r="B121" s="1667"/>
      <c r="C121" s="1654"/>
      <c r="D121" s="1844"/>
      <c r="E121" s="1540">
        <f t="shared" si="15"/>
        <v>0</v>
      </c>
      <c r="F121" s="1936">
        <f t="shared" si="6"/>
        <v>0</v>
      </c>
      <c r="G121" s="1793">
        <f t="shared" si="16"/>
        <v>0</v>
      </c>
    </row>
    <row r="122" spans="1:7" x14ac:dyDescent="0.25">
      <c r="A122" s="1653"/>
      <c r="B122" s="1667"/>
      <c r="C122" s="1654"/>
      <c r="D122" s="1844"/>
      <c r="E122" s="1540">
        <f t="shared" si="15"/>
        <v>0</v>
      </c>
      <c r="F122" s="1936">
        <f t="shared" si="6"/>
        <v>0</v>
      </c>
      <c r="G122" s="1793">
        <f t="shared" si="16"/>
        <v>0</v>
      </c>
    </row>
    <row r="123" spans="1:7" x14ac:dyDescent="0.25">
      <c r="A123" s="1653"/>
      <c r="B123" s="1667"/>
      <c r="C123" s="1654"/>
      <c r="D123" s="1844"/>
      <c r="E123" s="1540">
        <f t="shared" si="15"/>
        <v>0</v>
      </c>
      <c r="F123" s="1936">
        <f t="shared" si="6"/>
        <v>0</v>
      </c>
      <c r="G123" s="1793">
        <f t="shared" si="16"/>
        <v>0</v>
      </c>
    </row>
    <row r="124" spans="1:7" x14ac:dyDescent="0.25">
      <c r="A124" s="1653"/>
      <c r="B124" s="1667"/>
      <c r="C124" s="1654"/>
      <c r="D124" s="1844"/>
      <c r="E124" s="1540">
        <f t="shared" si="15"/>
        <v>0</v>
      </c>
      <c r="F124" s="1936">
        <f t="shared" si="6"/>
        <v>0</v>
      </c>
      <c r="G124" s="1793">
        <f t="shared" si="16"/>
        <v>0</v>
      </c>
    </row>
    <row r="125" spans="1:7" x14ac:dyDescent="0.25">
      <c r="A125" s="1653"/>
      <c r="B125" s="1667"/>
      <c r="C125" s="1654"/>
      <c r="D125" s="1844"/>
      <c r="E125" s="1540">
        <f t="shared" si="15"/>
        <v>0</v>
      </c>
      <c r="F125" s="1936">
        <f t="shared" si="6"/>
        <v>0</v>
      </c>
      <c r="G125" s="1793">
        <f t="shared" si="16"/>
        <v>0</v>
      </c>
    </row>
    <row r="126" spans="1:7" x14ac:dyDescent="0.25">
      <c r="A126" s="1653"/>
      <c r="B126" s="1667"/>
      <c r="C126" s="1654"/>
      <c r="D126" s="1844"/>
      <c r="E126" s="1540">
        <f t="shared" si="15"/>
        <v>0</v>
      </c>
      <c r="F126" s="1936">
        <f t="shared" si="6"/>
        <v>0</v>
      </c>
      <c r="G126" s="1793">
        <f t="shared" si="16"/>
        <v>0</v>
      </c>
    </row>
    <row r="127" spans="1:7" x14ac:dyDescent="0.25">
      <c r="A127" s="1653"/>
      <c r="B127" s="1667"/>
      <c r="C127" s="1654"/>
      <c r="D127" s="1844"/>
      <c r="E127" s="1540">
        <f t="shared" ref="E127:E135" si="17">IF(D127&lt;=25000,D127,IF(D127&gt;25000,25000,0))</f>
        <v>0</v>
      </c>
      <c r="F127" s="1936">
        <f t="shared" si="6"/>
        <v>0</v>
      </c>
      <c r="G127" s="1793">
        <f t="shared" ref="G127:G135" si="18">IF(F127=0,0,D127-F127)</f>
        <v>0</v>
      </c>
    </row>
    <row r="128" spans="1:7" x14ac:dyDescent="0.25">
      <c r="A128" s="1653"/>
      <c r="B128" s="1667"/>
      <c r="C128" s="1654"/>
      <c r="D128" s="1844"/>
      <c r="E128" s="1540">
        <f t="shared" si="17"/>
        <v>0</v>
      </c>
      <c r="F128" s="1936">
        <f t="shared" si="6"/>
        <v>0</v>
      </c>
      <c r="G128" s="1793">
        <f t="shared" si="18"/>
        <v>0</v>
      </c>
    </row>
    <row r="129" spans="1:7" x14ac:dyDescent="0.25">
      <c r="A129" s="1653"/>
      <c r="B129" s="1667"/>
      <c r="C129" s="1654"/>
      <c r="D129" s="1844"/>
      <c r="E129" s="1540">
        <f t="shared" si="17"/>
        <v>0</v>
      </c>
      <c r="F129" s="1936">
        <f t="shared" si="6"/>
        <v>0</v>
      </c>
      <c r="G129" s="1793">
        <f t="shared" si="18"/>
        <v>0</v>
      </c>
    </row>
    <row r="130" spans="1:7" x14ac:dyDescent="0.25">
      <c r="A130" s="1653"/>
      <c r="B130" s="1667"/>
      <c r="C130" s="1654"/>
      <c r="D130" s="1844"/>
      <c r="E130" s="1540">
        <f t="shared" si="17"/>
        <v>0</v>
      </c>
      <c r="F130" s="1936">
        <f t="shared" si="6"/>
        <v>0</v>
      </c>
      <c r="G130" s="1793">
        <f t="shared" si="18"/>
        <v>0</v>
      </c>
    </row>
    <row r="131" spans="1:7" x14ac:dyDescent="0.25">
      <c r="A131" s="1653"/>
      <c r="B131" s="1667"/>
      <c r="C131" s="1654"/>
      <c r="D131" s="1844"/>
      <c r="E131" s="1540">
        <f t="shared" si="17"/>
        <v>0</v>
      </c>
      <c r="F131" s="1936">
        <f t="shared" si="6"/>
        <v>0</v>
      </c>
      <c r="G131" s="1793">
        <f t="shared" si="18"/>
        <v>0</v>
      </c>
    </row>
    <row r="132" spans="1:7" x14ac:dyDescent="0.25">
      <c r="A132" s="1653"/>
      <c r="B132" s="1837"/>
      <c r="C132" s="1654"/>
      <c r="D132" s="1844"/>
      <c r="E132" s="1540">
        <f t="shared" si="17"/>
        <v>0</v>
      </c>
      <c r="F132" s="1936">
        <f t="shared" si="6"/>
        <v>0</v>
      </c>
      <c r="G132" s="1793">
        <f t="shared" si="18"/>
        <v>0</v>
      </c>
    </row>
    <row r="133" spans="1:7" x14ac:dyDescent="0.25">
      <c r="A133" s="1653"/>
      <c r="B133" s="1837"/>
      <c r="C133" s="1654"/>
      <c r="D133" s="1844"/>
      <c r="E133" s="1540">
        <f t="shared" si="17"/>
        <v>0</v>
      </c>
      <c r="F133" s="1936">
        <f t="shared" si="6"/>
        <v>0</v>
      </c>
      <c r="G133" s="1793">
        <f t="shared" si="18"/>
        <v>0</v>
      </c>
    </row>
    <row r="134" spans="1:7" x14ac:dyDescent="0.25">
      <c r="A134" s="1653"/>
      <c r="B134" s="1667"/>
      <c r="C134" s="1654"/>
      <c r="D134" s="1844"/>
      <c r="E134" s="1540">
        <f t="shared" si="17"/>
        <v>0</v>
      </c>
      <c r="F134" s="1936">
        <f t="shared" si="6"/>
        <v>0</v>
      </c>
      <c r="G134" s="1793">
        <f t="shared" si="18"/>
        <v>0</v>
      </c>
    </row>
    <row r="135" spans="1:7" x14ac:dyDescent="0.25">
      <c r="A135" s="1653"/>
      <c r="B135" s="1667"/>
      <c r="C135" s="1654"/>
      <c r="D135" s="1844"/>
      <c r="E135" s="1540">
        <f t="shared" si="17"/>
        <v>0</v>
      </c>
      <c r="F135" s="1936">
        <f t="shared" si="6"/>
        <v>0</v>
      </c>
      <c r="G135" s="1793">
        <f t="shared" si="18"/>
        <v>0</v>
      </c>
    </row>
    <row r="136" spans="1:7" x14ac:dyDescent="0.25">
      <c r="A136" s="1653"/>
      <c r="B136" s="1667"/>
      <c r="C136" s="1654"/>
      <c r="D136" s="1844"/>
      <c r="E136" s="1540">
        <f t="shared" ref="E136:E140" si="19">IF(D136&lt;=25000,D136,IF(D136&gt;25000,25000,0))</f>
        <v>0</v>
      </c>
      <c r="F136" s="1936">
        <f t="shared" si="6"/>
        <v>0</v>
      </c>
      <c r="G136" s="1793">
        <f t="shared" ref="G136:G140" si="20">IF(F136=0,0,D136-F136)</f>
        <v>0</v>
      </c>
    </row>
    <row r="137" spans="1:7" x14ac:dyDescent="0.25">
      <c r="A137" s="1653"/>
      <c r="B137" s="1667"/>
      <c r="C137" s="1654"/>
      <c r="D137" s="1844"/>
      <c r="E137" s="1540">
        <f t="shared" si="19"/>
        <v>0</v>
      </c>
      <c r="F137" s="1936">
        <f t="shared" si="6"/>
        <v>0</v>
      </c>
      <c r="G137" s="1793">
        <f t="shared" si="20"/>
        <v>0</v>
      </c>
    </row>
    <row r="138" spans="1:7" x14ac:dyDescent="0.25">
      <c r="A138" s="1653"/>
      <c r="B138" s="1667"/>
      <c r="C138" s="1654"/>
      <c r="D138" s="1844"/>
      <c r="E138" s="1540">
        <f t="shared" si="19"/>
        <v>0</v>
      </c>
      <c r="F138" s="1936">
        <f t="shared" si="6"/>
        <v>0</v>
      </c>
      <c r="G138" s="1793">
        <f t="shared" si="20"/>
        <v>0</v>
      </c>
    </row>
    <row r="139" spans="1:7" x14ac:dyDescent="0.25">
      <c r="A139" s="1653"/>
      <c r="B139" s="1667"/>
      <c r="C139" s="1654"/>
      <c r="D139" s="1844"/>
      <c r="E139" s="1540">
        <f t="shared" si="19"/>
        <v>0</v>
      </c>
      <c r="F139" s="1936">
        <f t="shared" si="6"/>
        <v>0</v>
      </c>
      <c r="G139" s="1793">
        <f t="shared" si="20"/>
        <v>0</v>
      </c>
    </row>
    <row r="140" spans="1:7" x14ac:dyDescent="0.25">
      <c r="A140" s="1653"/>
      <c r="B140" s="1667"/>
      <c r="C140" s="1654"/>
      <c r="D140" s="1844"/>
      <c r="E140" s="1540">
        <f t="shared" si="19"/>
        <v>0</v>
      </c>
      <c r="F140" s="1936">
        <f t="shared" si="6"/>
        <v>0</v>
      </c>
      <c r="G140" s="1793">
        <f t="shared" si="20"/>
        <v>0</v>
      </c>
    </row>
    <row r="141" spans="1:7" x14ac:dyDescent="0.25">
      <c r="A141" s="1653"/>
      <c r="B141" s="1666"/>
      <c r="C141" s="1654"/>
      <c r="D141" s="1844"/>
      <c r="E141" s="1540">
        <f t="shared" si="2"/>
        <v>0</v>
      </c>
      <c r="F141" s="1936">
        <f t="shared" si="6"/>
        <v>0</v>
      </c>
      <c r="G141" s="1793">
        <f t="shared" si="3"/>
        <v>0</v>
      </c>
    </row>
    <row r="142" spans="1:7" x14ac:dyDescent="0.25">
      <c r="A142" s="1796" t="s">
        <v>156</v>
      </c>
      <c r="B142" s="1797"/>
      <c r="C142" s="1798"/>
      <c r="D142" s="1794">
        <f>SUM(D18:D141)</f>
        <v>235938</v>
      </c>
      <c r="E142" s="1541">
        <f t="shared" si="0"/>
        <v>25000</v>
      </c>
      <c r="F142" s="1932">
        <f>SUM(F18:F141)</f>
        <v>71283</v>
      </c>
      <c r="G142" s="1795">
        <f>SUM(G18:G141)</f>
        <v>164655</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sheetPr>
  <dimension ref="A1:I46"/>
  <sheetViews>
    <sheetView showGridLines="0" defaultGridColor="0" topLeftCell="A28" colorId="8" zoomScale="110" zoomScaleNormal="110" workbookViewId="0">
      <selection activeCell="I44" sqref="I44:S4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91" t="s">
        <v>1975</v>
      </c>
      <c r="B11" s="2292"/>
      <c r="C11" s="2292"/>
      <c r="D11" s="2293"/>
      <c r="E11" s="977">
        <v>10579</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8260846</v>
      </c>
      <c r="F19" s="1799"/>
      <c r="G19" s="1801">
        <f>'Expenditures 15-22'!K33-SUM('Expenditures 15-22'!G33,'Expenditures 15-22'!I33)+'Expenditures 15-22'!D229</f>
        <v>8260846</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679959</v>
      </c>
      <c r="F21" s="1802"/>
      <c r="G21" s="1805">
        <f>'Expenditures 15-22'!K42-SUM('Expenditures 15-22'!G42,'Expenditures 15-22'!I42)+'Expenditures 15-22'!K120-SUM('Expenditures 15-22'!G120,'Expenditures 15-22'!I120)+'Expenditures 15-22'!K180-SUM('Expenditures 15-22'!G180,'Expenditures 15-22'!I180)+'Expenditures 15-22'!D238</f>
        <v>679959</v>
      </c>
      <c r="H21" s="987"/>
      <c r="I21" s="162"/>
    </row>
    <row r="22" spans="1:9" s="668" customFormat="1" ht="12" customHeight="1" x14ac:dyDescent="0.2">
      <c r="A22" s="994" t="s">
        <v>564</v>
      </c>
      <c r="B22" s="995"/>
      <c r="C22" s="993">
        <v>2200</v>
      </c>
      <c r="D22" s="1802"/>
      <c r="E22" s="1804">
        <f>'Expenditures 15-22'!K47-SUM('Expenditures 15-22'!G47,'Expenditures 15-22'!I47)+'Expenditures 15-22'!D243</f>
        <v>689421</v>
      </c>
      <c r="F22" s="1802"/>
      <c r="G22" s="1805">
        <f>'Expenditures 15-22'!K47-SUM('Expenditures 15-22'!G47,'Expenditures 15-22'!I47)+'Expenditures 15-22'!D243</f>
        <v>689421</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540056</v>
      </c>
      <c r="F23" s="1802"/>
      <c r="G23" s="1804">
        <f>'Expenditures 15-22'!K53-SUM('Expenditures 15-22'!G53,'Expenditures 15-22'!I53)+'Expenditures 15-22'!D257+'Expenditures 15-22'!K330-SUM('Expenditures 15-22'!G330,'Expenditures 15-22'!I330)</f>
        <v>540056</v>
      </c>
      <c r="H23" s="987"/>
      <c r="I23" s="162"/>
    </row>
    <row r="24" spans="1:9" s="668" customFormat="1" ht="12" customHeight="1" x14ac:dyDescent="0.2">
      <c r="A24" s="994" t="s">
        <v>566</v>
      </c>
      <c r="B24" s="995"/>
      <c r="C24" s="993">
        <v>2400</v>
      </c>
      <c r="D24" s="1802"/>
      <c r="E24" s="1804">
        <f>'Expenditures 15-22'!K57-SUM('Expenditures 15-22'!G57,'Expenditures 15-22'!I57)+'Expenditures 15-22'!D261</f>
        <v>710923</v>
      </c>
      <c r="F24" s="1802"/>
      <c r="G24" s="1805">
        <f>'Expenditures 15-22'!K57-SUM('Expenditures 15-22'!G57,'Expenditures 15-22'!I57)+'Expenditures 15-22'!D261</f>
        <v>710923</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231925</v>
      </c>
      <c r="E27" s="1804">
        <f>E8</f>
        <v>0</v>
      </c>
      <c r="F27" s="1804">
        <f>'Expenditures 15-22'!K60-SUM('Expenditures 15-22'!G60,'Expenditures 15-22'!I60)+'Expenditures 15-22'!D264-E8</f>
        <v>231925</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1143010</v>
      </c>
      <c r="F28" s="1806">
        <f>'Expenditures 15-22'!K61-SUM('Expenditures 15-22'!G61,'Expenditures 15-22'!I61)+'Expenditures 15-22'!K124-SUM('Expenditures 15-22'!G124,'Expenditures 15-22'!I124)+'Expenditures 15-22'!D266-E9</f>
        <v>1143010</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617620</v>
      </c>
      <c r="F29" s="1802"/>
      <c r="G29" s="1805">
        <f>'Expenditures 15-22'!K62-SUM('Expenditures 15-22'!G62,'Expenditures 15-22'!I62)+'Expenditures 15-22'!K125-SUM('Expenditures 15-22'!G125,'Expenditures 15-22'!I125)+'Expenditures 15-22'!K182-SUM('Expenditures 15-22'!G182,'Expenditures 15-22'!I182)+'Expenditures 15-22'!D267</f>
        <v>617620</v>
      </c>
      <c r="H29" s="985"/>
    </row>
    <row r="30" spans="1:9" ht="12" customHeight="1" x14ac:dyDescent="0.2">
      <c r="A30" s="994" t="s">
        <v>100</v>
      </c>
      <c r="B30" s="997"/>
      <c r="C30" s="993">
        <v>2560</v>
      </c>
      <c r="D30" s="1802"/>
      <c r="E30" s="1804">
        <f>'Expenditures 15-22'!K63-SUM('Expenditures 15-22'!G63,'Expenditures 15-22'!I63)+'Expenditures 15-22'!D268-E10</f>
        <v>224256</v>
      </c>
      <c r="F30" s="1802"/>
      <c r="G30" s="1804">
        <f>'Expenditures 15-22'!K63-SUM('Expenditures 15-22'!G63,'Expenditures 15-22'!I63)+'Expenditures 15-22'!D268-E10</f>
        <v>224256</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2369</v>
      </c>
      <c r="F34" s="1802"/>
      <c r="G34" s="1804">
        <f>'Expenditures 15-22'!K68-SUM('Expenditures 15-22'!G68,'Expenditures 15-22'!I68)+'Expenditures 15-22'!D273</f>
        <v>2369</v>
      </c>
    </row>
    <row r="35" spans="1:7" ht="12" customHeight="1" x14ac:dyDescent="0.2">
      <c r="A35" s="994" t="s">
        <v>1061</v>
      </c>
      <c r="B35" s="997"/>
      <c r="C35" s="993">
        <v>2630</v>
      </c>
      <c r="D35" s="1802"/>
      <c r="E35" s="1804">
        <f>'Expenditures 15-22'!K69-SUM('Expenditures 15-22'!G69,'Expenditures 15-22'!I69)+'Expenditures 15-22'!D274</f>
        <v>39886</v>
      </c>
      <c r="F35" s="1802"/>
      <c r="G35" s="1804">
        <f>'Expenditures 15-22'!K69-SUM('Expenditures 15-22'!G69,'Expenditures 15-22'!I69)+'Expenditures 15-22'!D274</f>
        <v>39886</v>
      </c>
    </row>
    <row r="36" spans="1:7" ht="12" customHeight="1" x14ac:dyDescent="0.2">
      <c r="A36" s="994" t="s">
        <v>403</v>
      </c>
      <c r="B36" s="997"/>
      <c r="C36" s="993">
        <v>2640</v>
      </c>
      <c r="D36" s="1804">
        <f>'Expenditures 15-22'!K70-SUM('Expenditures 15-22'!G70,'Expenditures 15-22'!I70)+'Expenditures 15-22'!D275-E13</f>
        <v>12206</v>
      </c>
      <c r="E36" s="1804">
        <f>E13</f>
        <v>0</v>
      </c>
      <c r="F36" s="1804">
        <f>'Expenditures 15-22'!K70-SUM('Expenditures 15-22'!G70,'Expenditures 15-22'!I70)+'Expenditures 15-22'!D275-E13</f>
        <v>12206</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298866</v>
      </c>
      <c r="F39" s="1802"/>
      <c r="G39" s="1804">
        <f>'Expenditures 15-22'!K75-SUM('Expenditures 15-22'!G75,'Expenditures 15-22'!I75)+'Expenditures 15-22'!K130-SUM('Expenditures 15-22'!G130,'Expenditures 15-22'!I130)+'Expenditures 15-22'!K185-SUM('Expenditures 15-22'!G185,'Expenditures 15-22'!I185)+'Expenditures 15-22'!D280</f>
        <v>298866</v>
      </c>
    </row>
    <row r="40" spans="1:7" ht="12" customHeight="1" x14ac:dyDescent="0.2">
      <c r="A40" s="990" t="s">
        <v>1823</v>
      </c>
      <c r="B40" s="991"/>
      <c r="C40" s="993"/>
      <c r="D40" s="1802"/>
      <c r="E40" s="1806">
        <f>-'Contracts Paid in CY 29'!G142</f>
        <v>-164655</v>
      </c>
      <c r="F40" s="1802"/>
      <c r="G40" s="1806">
        <f>-'Contracts Paid in CY 29'!G142</f>
        <v>-164655</v>
      </c>
    </row>
    <row r="41" spans="1:7" ht="12" customHeight="1" x14ac:dyDescent="0.2">
      <c r="A41" s="998" t="s">
        <v>156</v>
      </c>
      <c r="B41" s="999"/>
      <c r="C41" s="1000"/>
      <c r="D41" s="1806">
        <f>SUM(D19:D39)</f>
        <v>244131</v>
      </c>
      <c r="E41" s="1806">
        <f>SUM(E19:E40)</f>
        <v>13042557</v>
      </c>
      <c r="F41" s="1806">
        <f>SUM(F19:F39)</f>
        <v>1387141</v>
      </c>
      <c r="G41" s="1806">
        <f>SUM(G19:G40)</f>
        <v>11899547</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244131</v>
      </c>
      <c r="F43" s="1807" t="s">
        <v>473</v>
      </c>
      <c r="G43" s="1808">
        <f>F41</f>
        <v>1387141</v>
      </c>
    </row>
    <row r="44" spans="1:7" ht="12" customHeight="1" x14ac:dyDescent="0.2">
      <c r="A44" s="987"/>
      <c r="B44" s="162"/>
      <c r="C44" s="1001"/>
      <c r="D44" s="1807" t="s">
        <v>474</v>
      </c>
      <c r="E44" s="1808">
        <f>E41</f>
        <v>13042557</v>
      </c>
      <c r="F44" s="1807" t="s">
        <v>474</v>
      </c>
      <c r="G44" s="1808">
        <f>G41</f>
        <v>11899547</v>
      </c>
    </row>
    <row r="45" spans="1:7" ht="12" customHeight="1" x14ac:dyDescent="0.2">
      <c r="A45" s="987"/>
      <c r="B45" s="162"/>
      <c r="C45" s="162"/>
      <c r="D45" s="1809" t="s">
        <v>1006</v>
      </c>
      <c r="E45" s="1810">
        <f>(E43/E44)</f>
        <v>1.8718032054604018E-2</v>
      </c>
      <c r="F45" s="1809" t="s">
        <v>1006</v>
      </c>
      <c r="G45" s="1810">
        <f>(G43/G44)</f>
        <v>0.11657090811944354</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tabColor rgb="FF00B050"/>
    <pageSetUpPr fitToPage="1"/>
  </sheetPr>
  <dimension ref="A1:L97"/>
  <sheetViews>
    <sheetView showGridLines="0" zoomScaleNormal="100" workbookViewId="0">
      <pane ySplit="4" topLeftCell="A7" activePane="bottomLeft" state="frozen"/>
      <selection activeCell="I44" sqref="I44:S44"/>
      <selection pane="bottomLeft" activeCell="I44" sqref="I44:S44"/>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7" t="s">
        <v>1379</v>
      </c>
      <c r="B1" s="2297"/>
      <c r="C1" s="2297"/>
      <c r="D1" s="2297"/>
      <c r="E1" s="2297"/>
      <c r="F1" s="2297"/>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8" t="s">
        <v>1546</v>
      </c>
      <c r="B5" s="2299"/>
      <c r="C5" s="2300"/>
      <c r="D5" s="2300"/>
      <c r="E5" s="2300"/>
      <c r="F5" s="2300"/>
    </row>
    <row r="6" spans="1:10" ht="12" customHeight="1" x14ac:dyDescent="0.25">
      <c r="A6" s="1850"/>
      <c r="B6" s="1851"/>
      <c r="C6" s="2301" t="str">
        <f>COVER!A17</f>
        <v>Center Cass SD 66</v>
      </c>
      <c r="D6" s="2301"/>
      <c r="E6" s="2301"/>
      <c r="F6" s="1852"/>
    </row>
    <row r="7" spans="1:10" ht="11.25" customHeight="1" thickBot="1" x14ac:dyDescent="0.3">
      <c r="A7" s="1850"/>
      <c r="B7" s="1851"/>
      <c r="C7" s="2302">
        <f>COVER!A13</f>
        <v>19022066002</v>
      </c>
      <c r="D7" s="2302"/>
      <c r="E7" s="2302"/>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t="s">
        <v>2065</v>
      </c>
      <c r="D15" s="1865" t="s">
        <v>2065</v>
      </c>
      <c r="E15" s="1868"/>
      <c r="F15" s="1867" t="s">
        <v>2088</v>
      </c>
      <c r="H15" s="1878">
        <f t="shared" si="0"/>
        <v>5</v>
      </c>
      <c r="I15" s="1878">
        <f t="shared" si="1"/>
        <v>5</v>
      </c>
      <c r="J15" s="1878">
        <f t="shared" si="2"/>
        <v>0</v>
      </c>
    </row>
    <row r="16" spans="1:10" ht="12" customHeight="1" x14ac:dyDescent="0.2">
      <c r="A16" s="1863" t="s">
        <v>1388</v>
      </c>
      <c r="B16" s="1864"/>
      <c r="C16" s="1865" t="s">
        <v>2065</v>
      </c>
      <c r="D16" s="1865" t="s">
        <v>2065</v>
      </c>
      <c r="E16" s="1868"/>
      <c r="F16" s="1867" t="s">
        <v>2089</v>
      </c>
      <c r="H16" s="1878">
        <f t="shared" si="0"/>
        <v>5</v>
      </c>
      <c r="I16" s="1878">
        <f t="shared" si="1"/>
        <v>5</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t="s">
        <v>2065</v>
      </c>
      <c r="D20" s="1865" t="s">
        <v>2065</v>
      </c>
      <c r="E20" s="1868"/>
      <c r="F20" s="1867" t="s">
        <v>2090</v>
      </c>
      <c r="H20" s="1878">
        <f t="shared" si="0"/>
        <v>5</v>
      </c>
      <c r="I20" s="1878">
        <f t="shared" si="1"/>
        <v>5</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t="s">
        <v>2065</v>
      </c>
      <c r="D25" s="1865" t="s">
        <v>2065</v>
      </c>
      <c r="E25" s="1868"/>
      <c r="F25" s="1867" t="s">
        <v>2091</v>
      </c>
      <c r="H25" s="1878">
        <f t="shared" si="0"/>
        <v>5</v>
      </c>
      <c r="I25" s="1878">
        <f t="shared" si="1"/>
        <v>5</v>
      </c>
      <c r="J25" s="1878">
        <f t="shared" si="2"/>
        <v>0</v>
      </c>
    </row>
    <row r="26" spans="1:12" ht="12" customHeight="1" x14ac:dyDescent="0.2">
      <c r="A26" s="1863" t="s">
        <v>1534</v>
      </c>
      <c r="B26" s="1864"/>
      <c r="C26" s="1865" t="s">
        <v>2065</v>
      </c>
      <c r="D26" s="1865" t="s">
        <v>2065</v>
      </c>
      <c r="E26" s="1868"/>
      <c r="F26" s="1867" t="s">
        <v>2092</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t="s">
        <v>2065</v>
      </c>
      <c r="D32" s="1865" t="s">
        <v>2065</v>
      </c>
      <c r="E32" s="1868"/>
      <c r="F32" s="1867" t="s">
        <v>2093</v>
      </c>
      <c r="H32" s="1878">
        <f t="shared" si="0"/>
        <v>5</v>
      </c>
      <c r="I32" s="1878">
        <f t="shared" si="1"/>
        <v>5</v>
      </c>
      <c r="J32" s="1878">
        <f t="shared" si="2"/>
        <v>0</v>
      </c>
    </row>
    <row r="33" spans="1:11" ht="12" customHeight="1" x14ac:dyDescent="0.2">
      <c r="A33" s="1863" t="s">
        <v>1541</v>
      </c>
      <c r="B33" s="1864"/>
      <c r="C33" s="1865" t="s">
        <v>2065</v>
      </c>
      <c r="D33" s="1865" t="s">
        <v>2065</v>
      </c>
      <c r="E33" s="1868"/>
      <c r="F33" s="1867" t="s">
        <v>2094</v>
      </c>
      <c r="H33" s="1878">
        <f t="shared" si="0"/>
        <v>5</v>
      </c>
      <c r="I33" s="1878">
        <f t="shared" si="1"/>
        <v>5</v>
      </c>
      <c r="J33" s="1878">
        <f t="shared" si="2"/>
        <v>0</v>
      </c>
    </row>
    <row r="34" spans="1:11" ht="12" customHeight="1" x14ac:dyDescent="0.25">
      <c r="A34" s="1870"/>
      <c r="B34" s="1870"/>
      <c r="C34" s="1870"/>
      <c r="D34" s="1870"/>
      <c r="E34" s="1870"/>
      <c r="F34" s="1870"/>
      <c r="H34" s="1878">
        <f>SUM(H11:H32)</f>
        <v>30</v>
      </c>
      <c r="I34" s="1878">
        <f>SUM(I11:I32)</f>
        <v>30</v>
      </c>
      <c r="J34" s="1878">
        <f>SUM(J11:J32)</f>
        <v>0</v>
      </c>
      <c r="K34" s="1878">
        <f>SUM(H34:J34)</f>
        <v>60</v>
      </c>
    </row>
    <row r="35" spans="1:11" ht="12" customHeight="1" x14ac:dyDescent="0.2">
      <c r="A35" s="1871" t="s">
        <v>1392</v>
      </c>
      <c r="B35" s="1872"/>
      <c r="C35" s="2303"/>
      <c r="D35" s="2303"/>
      <c r="E35" s="2303"/>
      <c r="F35" s="2304"/>
    </row>
    <row r="36" spans="1:11" ht="12" customHeight="1" x14ac:dyDescent="0.2">
      <c r="A36" s="2294"/>
      <c r="B36" s="2295"/>
      <c r="C36" s="2295"/>
      <c r="D36" s="2295"/>
      <c r="E36" s="2295"/>
      <c r="F36" s="2296"/>
    </row>
    <row r="37" spans="1:11" ht="12" customHeight="1" x14ac:dyDescent="0.2">
      <c r="A37" s="2294"/>
      <c r="B37" s="2295"/>
      <c r="C37" s="2295"/>
      <c r="D37" s="2295"/>
      <c r="E37" s="2295"/>
      <c r="F37" s="2296"/>
    </row>
    <row r="38" spans="1:11" ht="12" customHeight="1" x14ac:dyDescent="0.2">
      <c r="A38" s="2308"/>
      <c r="B38" s="2309"/>
      <c r="C38" s="2309"/>
      <c r="D38" s="2309"/>
      <c r="E38" s="2309"/>
      <c r="F38" s="2310"/>
    </row>
    <row r="39" spans="1:11" ht="4.5" hidden="1" customHeight="1" x14ac:dyDescent="0.2">
      <c r="A39" s="1873"/>
      <c r="B39" s="1873"/>
      <c r="C39" s="1873"/>
      <c r="D39" s="1873"/>
      <c r="E39" s="1873"/>
      <c r="F39" s="1873"/>
    </row>
    <row r="40" spans="1:11" s="1870" customFormat="1" ht="12" customHeight="1" x14ac:dyDescent="0.25">
      <c r="A40" s="1874" t="s">
        <v>1391</v>
      </c>
      <c r="B40" s="1875"/>
      <c r="C40" s="2311"/>
      <c r="D40" s="2311"/>
      <c r="E40" s="2311"/>
      <c r="F40" s="2312"/>
      <c r="H40" s="1879"/>
      <c r="I40" s="1879"/>
      <c r="J40" s="1879"/>
      <c r="K40" s="1879"/>
    </row>
    <row r="41" spans="1:11" s="1870" customFormat="1" ht="12" customHeight="1" x14ac:dyDescent="0.25">
      <c r="A41" s="2313"/>
      <c r="B41" s="2314"/>
      <c r="C41" s="2314"/>
      <c r="D41" s="2314"/>
      <c r="E41" s="2314"/>
      <c r="F41" s="2315"/>
      <c r="H41" s="1879"/>
      <c r="I41" s="1879"/>
      <c r="J41" s="1879"/>
      <c r="K41" s="1879"/>
    </row>
    <row r="42" spans="1:11" s="1870" customFormat="1" ht="12" customHeight="1" x14ac:dyDescent="0.25">
      <c r="A42" s="2313"/>
      <c r="B42" s="2314"/>
      <c r="C42" s="2314"/>
      <c r="D42" s="2314"/>
      <c r="E42" s="2314"/>
      <c r="F42" s="2315"/>
      <c r="H42" s="1879"/>
      <c r="I42" s="1879"/>
      <c r="J42" s="1879"/>
      <c r="K42" s="1879"/>
    </row>
    <row r="43" spans="1:11" s="1870" customFormat="1" ht="15" x14ac:dyDescent="0.25">
      <c r="A43" s="2305"/>
      <c r="B43" s="2306"/>
      <c r="C43" s="2306"/>
      <c r="D43" s="2306"/>
      <c r="E43" s="2306"/>
      <c r="F43" s="2307"/>
      <c r="H43" s="1879"/>
      <c r="I43" s="1879"/>
      <c r="J43" s="1879"/>
      <c r="K43" s="1879"/>
    </row>
    <row r="44" spans="1:11" s="1870" customFormat="1" ht="12" hidden="1" customHeight="1" x14ac:dyDescent="0.25">
      <c r="A44" s="2305"/>
      <c r="B44" s="2306"/>
      <c r="C44" s="2306"/>
      <c r="D44" s="2306"/>
      <c r="E44" s="2306"/>
      <c r="F44" s="230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tabColor rgb="FF00B050"/>
  </sheetPr>
  <dimension ref="A1:Q40"/>
  <sheetViews>
    <sheetView showGridLines="0" defaultGridColor="0" topLeftCell="A4" colorId="8" zoomScale="110" zoomScaleNormal="110" workbookViewId="0">
      <selection activeCell="I44" sqref="I44:S44"/>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Center Cass SD 66</v>
      </c>
      <c r="J6" s="2322"/>
      <c r="Q6" s="1664"/>
    </row>
    <row r="7" spans="1:17" x14ac:dyDescent="0.2">
      <c r="A7" s="2323" t="s">
        <v>869</v>
      </c>
      <c r="B7" s="2324"/>
      <c r="C7" s="2324"/>
      <c r="D7" s="2324"/>
      <c r="E7" s="2325"/>
      <c r="F7" s="1017"/>
      <c r="G7" s="1009"/>
      <c r="H7" s="1016" t="s">
        <v>372</v>
      </c>
      <c r="I7" s="2326">
        <f>COVER!A13</f>
        <v>19022066002</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338937</v>
      </c>
      <c r="F12" s="1039"/>
      <c r="G12" s="1811">
        <f t="shared" ref="G12:G18" si="0">SUM(E12:F12)</f>
        <v>338937</v>
      </c>
      <c r="H12" s="1040">
        <v>280875</v>
      </c>
      <c r="I12" s="1039"/>
      <c r="J12" s="1811">
        <f t="shared" ref="J12:J18" si="1">SUM(H12:I12)</f>
        <v>280875</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338937</v>
      </c>
      <c r="F19" s="1813">
        <f t="shared" si="2"/>
        <v>0</v>
      </c>
      <c r="G19" s="1813">
        <f t="shared" si="2"/>
        <v>338937</v>
      </c>
      <c r="H19" s="1813">
        <f t="shared" si="2"/>
        <v>280875</v>
      </c>
      <c r="I19" s="1813">
        <f t="shared" si="2"/>
        <v>0</v>
      </c>
      <c r="J19" s="1813">
        <f t="shared" si="2"/>
        <v>280875</v>
      </c>
    </row>
    <row r="20" spans="1:10" ht="13.5" thickTop="1" x14ac:dyDescent="0.2">
      <c r="A20" s="1035">
        <v>9</v>
      </c>
      <c r="B20" s="2333" t="s">
        <v>1979</v>
      </c>
      <c r="C20" s="2333"/>
      <c r="D20" s="2334"/>
      <c r="E20" s="1046"/>
      <c r="F20" s="1046"/>
      <c r="G20" s="1046"/>
      <c r="H20" s="1046"/>
      <c r="I20" s="1046"/>
      <c r="J20" s="1814">
        <f>IF(AND(G19&gt;0,J19&gt;0),(((J19-G19)/G19)),"Enter Budget Data")</f>
        <v>-0.17130617194345851</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1981</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B050"/>
    <pageSetUpPr fitToPage="1"/>
  </sheetPr>
  <dimension ref="A2:B65"/>
  <sheetViews>
    <sheetView showGridLines="0" zoomScale="110" zoomScaleNormal="110" workbookViewId="0">
      <selection activeCell="I44" sqref="I44:S4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2117</v>
      </c>
    </row>
    <row r="6" spans="1:2" x14ac:dyDescent="0.2">
      <c r="A6" s="1068">
        <v>2</v>
      </c>
      <c r="B6" s="329" t="s">
        <v>2118</v>
      </c>
    </row>
    <row r="7" spans="1:2" x14ac:dyDescent="0.2">
      <c r="A7" s="1068">
        <v>3</v>
      </c>
      <c r="B7" s="329" t="s">
        <v>2122</v>
      </c>
    </row>
    <row r="8" spans="1:2" x14ac:dyDescent="0.2">
      <c r="A8" s="1068">
        <v>4</v>
      </c>
      <c r="B8" s="329" t="s">
        <v>2123</v>
      </c>
    </row>
    <row r="9" spans="1:2" x14ac:dyDescent="0.2">
      <c r="A9" s="1069">
        <v>5</v>
      </c>
      <c r="B9" s="329" t="s">
        <v>2124</v>
      </c>
    </row>
    <row r="10" spans="1:2" x14ac:dyDescent="0.2">
      <c r="A10" s="1069">
        <v>6</v>
      </c>
      <c r="B10" s="1943" t="s">
        <v>2125</v>
      </c>
    </row>
    <row r="11" spans="1:2" x14ac:dyDescent="0.2">
      <c r="A11" s="1069">
        <v>7</v>
      </c>
      <c r="B11" s="1943" t="s">
        <v>2126</v>
      </c>
    </row>
    <row r="12" spans="1:2" x14ac:dyDescent="0.2">
      <c r="A12" s="1069">
        <v>8</v>
      </c>
      <c r="B12" s="1944" t="s">
        <v>2121</v>
      </c>
    </row>
    <row r="13" spans="1:2" x14ac:dyDescent="0.2">
      <c r="A13" s="1069">
        <v>9</v>
      </c>
      <c r="B13" s="1944" t="s">
        <v>2119</v>
      </c>
    </row>
    <row r="14" spans="1:2" x14ac:dyDescent="0.2">
      <c r="A14" s="1069">
        <v>10</v>
      </c>
      <c r="B14" s="1944" t="s">
        <v>2120</v>
      </c>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Center Cass SD 66</v>
      </c>
    </row>
    <row r="65" spans="2:2" x14ac:dyDescent="0.2">
      <c r="B65" s="1070">
        <f>COVER!A13</f>
        <v>19022066002</v>
      </c>
    </row>
  </sheetData>
  <phoneticPr fontId="14" type="noConversion"/>
  <pageMargins left="0.2" right="0.2" top="1.17" bottom="0.75" header="0.19" footer="0.16"/>
  <pageSetup scale="78"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84"/>
  <sheetViews>
    <sheetView showGridLines="0" zoomScale="110" zoomScaleNormal="110" workbookViewId="0">
      <selection activeCell="I44" sqref="I44:S44"/>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tabColor rgb="FF00B050"/>
  </sheetPr>
  <dimension ref="A1:D19"/>
  <sheetViews>
    <sheetView showGridLines="0" defaultGridColor="0" colorId="8" zoomScale="110" zoomScaleNormal="110" workbookViewId="0">
      <selection activeCell="I44" sqref="I44:S4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B12" sqref="B12"/>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5" r:id="rId4">
          <objectPr defaultSize="0" r:id="rId5">
            <anchor moveWithCells="1">
              <from>
                <xdr:col>1</xdr:col>
                <xdr:colOff>704850</xdr:colOff>
                <xdr:row>2</xdr:row>
                <xdr:rowOff>142875</xdr:rowOff>
              </from>
              <to>
                <xdr:col>1</xdr:col>
                <xdr:colOff>1619250</xdr:colOff>
                <xdr:row>7</xdr:row>
                <xdr:rowOff>19050</xdr:rowOff>
              </to>
            </anchor>
          </objectPr>
        </oleObject>
      </mc:Choice>
      <mc:Fallback>
        <oleObject progId="Acrobat Document" dvAspect="DVASPECT_ICON" shapeId="35845" r:id="rId4"/>
      </mc:Fallback>
    </mc:AlternateContent>
    <mc:AlternateContent xmlns:mc="http://schemas.openxmlformats.org/markup-compatibility/2006">
      <mc:Choice Requires="x14">
        <oleObject progId="Acrobat Document" dvAspect="DVASPECT_ICON" shapeId="35846" r:id="rId6">
          <objectPr defaultSize="0" r:id="rId7">
            <anchor moveWithCells="1">
              <from>
                <xdr:col>1</xdr:col>
                <xdr:colOff>1781175</xdr:colOff>
                <xdr:row>2</xdr:row>
                <xdr:rowOff>142875</xdr:rowOff>
              </from>
              <to>
                <xdr:col>1</xdr:col>
                <xdr:colOff>2695575</xdr:colOff>
                <xdr:row>7</xdr:row>
                <xdr:rowOff>19050</xdr:rowOff>
              </to>
            </anchor>
          </objectPr>
        </oleObject>
      </mc:Choice>
      <mc:Fallback>
        <oleObject progId="Acrobat Document" dvAspect="DVASPECT_ICON" shapeId="35846" r:id="rId6"/>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I44" sqref="I44:S4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1985</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1986</v>
      </c>
      <c r="B4" s="2361"/>
      <c r="C4" s="2361"/>
      <c r="D4" s="2361"/>
      <c r="E4" s="2361"/>
      <c r="F4" s="2362"/>
      <c r="G4" s="1074"/>
      <c r="H4" s="1074"/>
    </row>
    <row r="5" spans="1:8" ht="14.25" customHeight="1" x14ac:dyDescent="0.2">
      <c r="A5" s="2363" t="s">
        <v>1982</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11797847</v>
      </c>
      <c r="C8" s="1815">
        <f>'Acct Summary 7-8'!D8</f>
        <v>1067397</v>
      </c>
      <c r="D8" s="1815">
        <f>'Acct Summary 7-8'!F8</f>
        <v>662114</v>
      </c>
      <c r="E8" s="1815">
        <f>'Acct Summary 7-8'!I8</f>
        <v>79746</v>
      </c>
      <c r="F8" s="1815">
        <f>SUM(B8:E8)</f>
        <v>13607104</v>
      </c>
    </row>
    <row r="9" spans="1:8" s="1079" customFormat="1" ht="14.25" customHeight="1" thickBot="1" x14ac:dyDescent="0.25">
      <c r="A9" s="1078" t="s">
        <v>1369</v>
      </c>
      <c r="B9" s="1816">
        <f>'Acct Summary 7-8'!C17</f>
        <v>12062535</v>
      </c>
      <c r="C9" s="1816">
        <f>'Acct Summary 7-8'!D17</f>
        <v>1107097</v>
      </c>
      <c r="D9" s="1816">
        <f>'Acct Summary 7-8'!F17</f>
        <v>754109</v>
      </c>
      <c r="E9" s="1815"/>
      <c r="F9" s="1815">
        <f>SUM(B9:E9)</f>
        <v>13923741</v>
      </c>
    </row>
    <row r="10" spans="1:8" s="1079" customFormat="1" ht="14.25" thickTop="1" thickBot="1" x14ac:dyDescent="0.25">
      <c r="A10" s="1080" t="s">
        <v>1370</v>
      </c>
      <c r="B10" s="1817">
        <f>(B8-B9)</f>
        <v>-264688</v>
      </c>
      <c r="C10" s="1817">
        <f>(C8-C9)</f>
        <v>-39700</v>
      </c>
      <c r="D10" s="1817">
        <f>(D8-D9)</f>
        <v>-91995</v>
      </c>
      <c r="E10" s="1816">
        <f>(E8-E9)</f>
        <v>79746</v>
      </c>
      <c r="F10" s="1818">
        <f>SUM(F8-F9)</f>
        <v>-316637</v>
      </c>
    </row>
    <row r="11" spans="1:8" s="1079" customFormat="1" ht="14.25" thickTop="1" thickBot="1" x14ac:dyDescent="0.25">
      <c r="A11" s="1081" t="s">
        <v>1983</v>
      </c>
      <c r="B11" s="1819">
        <f>'Acct Summary 7-8'!C81</f>
        <v>4091330</v>
      </c>
      <c r="C11" s="1819">
        <f>'Acct Summary 7-8'!D81</f>
        <v>1084012</v>
      </c>
      <c r="D11" s="1819">
        <f>'Acct Summary 7-8'!F81</f>
        <v>54512</v>
      </c>
      <c r="E11" s="1819">
        <f>'Acct Summary 7-8'!I81</f>
        <v>1753728</v>
      </c>
      <c r="F11" s="1820">
        <f>SUM(B11:E11)</f>
        <v>6983582</v>
      </c>
    </row>
    <row r="12" spans="1:8" ht="16.5" customHeight="1" thickTop="1" x14ac:dyDescent="0.2">
      <c r="A12" s="1082"/>
      <c r="B12" s="1083"/>
      <c r="C12" s="2345" t="str">
        <f>IF(AND(F10&lt;0,F11&gt;=0,ABS(F10*3)&gt;ABS(F11)),A16,IF(AND(F10&lt;0,F11&gt;0,ABS(F10*3)&lt;=ABS(F11)),A17,IF(AND(F10&lt;0,F11&lt;0),A16,IF(F11=0,A19,A18))))</f>
        <v>Unbalanced -  however, a deficit reduction plan is not required at this time.</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7" colorId="8" zoomScale="70" zoomScaleNormal="70" workbookViewId="0">
      <selection activeCell="I44" sqref="I44:S44"/>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str">
        <f>IF('Aud Quest 2'!B53="X",IF('Aud Quest 2'!F53&gt;"00/00/00 ","Enter Effective Date","ok"))</f>
        <v>ok</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19022066002</v>
      </c>
    </row>
    <row r="3" spans="1:2" x14ac:dyDescent="0.2">
      <c r="A3" t="s">
        <v>956</v>
      </c>
      <c r="B3" s="138" t="str">
        <f>COVER!A15</f>
        <v>DuPage County</v>
      </c>
    </row>
    <row r="4" spans="1:2" x14ac:dyDescent="0.2">
      <c r="A4" t="s">
        <v>1007</v>
      </c>
      <c r="B4" s="138" t="str">
        <f>COVER!A17</f>
        <v>Center Cass SD 66</v>
      </c>
    </row>
    <row r="5" spans="1:2" x14ac:dyDescent="0.2">
      <c r="A5" t="s">
        <v>704</v>
      </c>
      <c r="B5" s="138" t="str">
        <f>COVER!A38</f>
        <v xml:space="preserve">Griff Powell </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066-003284</v>
      </c>
    </row>
    <row r="16" spans="1:2" x14ac:dyDescent="0.2">
      <c r="A16" t="s">
        <v>422</v>
      </c>
      <c r="B16" s="138" t="str">
        <f>COVER!T13</f>
        <v>Sikich LLP</v>
      </c>
    </row>
    <row r="17" spans="1:2" x14ac:dyDescent="0.2">
      <c r="A17" t="s">
        <v>884</v>
      </c>
      <c r="B17" s="138" t="str">
        <f>COVER!T15</f>
        <v>Anthony Cervini</v>
      </c>
    </row>
    <row r="18" spans="1:2" x14ac:dyDescent="0.2">
      <c r="A18" t="s">
        <v>1150</v>
      </c>
      <c r="B18" s="138" t="str">
        <f>COVER!T17</f>
        <v>1415 W Diehl Road, Suite 400</v>
      </c>
    </row>
    <row r="19" spans="1:2" x14ac:dyDescent="0.2">
      <c r="A19" t="s">
        <v>886</v>
      </c>
      <c r="B19" s="138" t="str">
        <f>COVER!T25</f>
        <v>anthony.cervini@sikich.com</v>
      </c>
    </row>
    <row r="20" spans="1:2" x14ac:dyDescent="0.2">
      <c r="A20" t="s">
        <v>887</v>
      </c>
      <c r="B20" s="138" t="str">
        <f>COVER!T19</f>
        <v>Naperville</v>
      </c>
    </row>
    <row r="21" spans="1:2" x14ac:dyDescent="0.2">
      <c r="A21" t="s">
        <v>479</v>
      </c>
      <c r="B21" s="138" t="str">
        <f>COVER!X19</f>
        <v xml:space="preserve">IL </v>
      </c>
    </row>
    <row r="22" spans="1:2" x14ac:dyDescent="0.2">
      <c r="A22" t="s">
        <v>888</v>
      </c>
      <c r="B22" s="138">
        <f>COVER!Z19</f>
        <v>60563</v>
      </c>
    </row>
    <row r="23" spans="1:2" x14ac:dyDescent="0.2">
      <c r="A23" t="s">
        <v>1152</v>
      </c>
      <c r="B23" s="138" t="str">
        <f>COVER!T21</f>
        <v>630-566-8400</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Yes</v>
      </c>
    </row>
    <row r="50" spans="1:4" x14ac:dyDescent="0.2">
      <c r="A50" s="1" t="s">
        <v>1480</v>
      </c>
      <c r="B50" s="150">
        <f>'Aud Quest 2'!H53</f>
        <v>33239</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4100444</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9114</v>
      </c>
      <c r="C91" s="2" t="s">
        <v>573</v>
      </c>
      <c r="D91" s="2" t="str">
        <f t="shared" si="0"/>
        <v>Error?</v>
      </c>
    </row>
    <row r="92" spans="1:4" x14ac:dyDescent="0.2">
      <c r="A92" s="5">
        <v>31</v>
      </c>
      <c r="B92" s="138">
        <f>'Assets-Liab 5-6'!C39</f>
        <v>4091330</v>
      </c>
      <c r="D92" s="2" t="str">
        <f t="shared" si="0"/>
        <v>Error?</v>
      </c>
    </row>
    <row r="93" spans="1:4" x14ac:dyDescent="0.2">
      <c r="A93" s="5">
        <v>32</v>
      </c>
      <c r="B93" s="138">
        <f>'Assets-Liab 5-6'!C41</f>
        <v>4100444</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1084012</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0</v>
      </c>
      <c r="D123" s="2" t="str">
        <f t="shared" si="0"/>
        <v>Error?</v>
      </c>
    </row>
    <row r="124" spans="1:4" x14ac:dyDescent="0.2">
      <c r="A124" s="5">
        <v>63</v>
      </c>
      <c r="B124" s="138">
        <f>'Assets-Liab 5-6'!D41</f>
        <v>1084012</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337609</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337609</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54512</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54512</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56180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56180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4732357</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4732357</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329076</v>
      </c>
      <c r="D273" s="2" t="str">
        <f t="shared" si="3"/>
        <v>Error?</v>
      </c>
    </row>
    <row r="274" spans="1:4" x14ac:dyDescent="0.2">
      <c r="A274" s="5">
        <v>213</v>
      </c>
      <c r="B274" s="138">
        <f>'Assets-Liab 5-6'!M17</f>
        <v>16493991</v>
      </c>
      <c r="D274" s="2" t="str">
        <f t="shared" si="3"/>
        <v>Error?</v>
      </c>
    </row>
    <row r="275" spans="1:4" x14ac:dyDescent="0.2">
      <c r="A275" s="5">
        <v>214</v>
      </c>
      <c r="B275" s="138">
        <f>'Assets-Liab 5-6'!M18</f>
        <v>9246847</v>
      </c>
      <c r="D275" s="2" t="str">
        <f t="shared" si="3"/>
        <v>Error?</v>
      </c>
    </row>
    <row r="276" spans="1:4" x14ac:dyDescent="0.2">
      <c r="A276" s="5">
        <v>215</v>
      </c>
      <c r="B276" s="138">
        <f>'Assets-Liab 5-6'!M19</f>
        <v>5579147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31649061</v>
      </c>
      <c r="C279" s="2" t="s">
        <v>573</v>
      </c>
      <c r="D279" s="2" t="str">
        <f t="shared" si="3"/>
        <v>Error?</v>
      </c>
    </row>
    <row r="280" spans="1:4" x14ac:dyDescent="0.2">
      <c r="A280" s="5">
        <v>219</v>
      </c>
      <c r="B280" s="138">
        <f>'Assets-Liab 5-6'!M40</f>
        <v>31649061</v>
      </c>
      <c r="D280" s="2" t="str">
        <f t="shared" si="3"/>
        <v>Error?</v>
      </c>
    </row>
    <row r="281" spans="1:4" x14ac:dyDescent="0.2">
      <c r="A281" s="5">
        <v>220</v>
      </c>
      <c r="B281" s="138">
        <f>'Assets-Liab 5-6'!M41</f>
        <v>31649061</v>
      </c>
      <c r="C281" s="2" t="s">
        <v>573</v>
      </c>
      <c r="D281" s="2" t="str">
        <f t="shared" si="3"/>
        <v>Error?</v>
      </c>
    </row>
    <row r="282" spans="1:4" x14ac:dyDescent="0.2">
      <c r="A282" s="5">
        <v>221</v>
      </c>
      <c r="B282" s="138">
        <f>'Assets-Liab 5-6'!N21</f>
        <v>337609</v>
      </c>
      <c r="D282" s="2" t="str">
        <f t="shared" si="3"/>
        <v>Error?</v>
      </c>
    </row>
    <row r="283" spans="1:4" x14ac:dyDescent="0.2">
      <c r="A283" s="5">
        <v>222</v>
      </c>
      <c r="B283" s="138">
        <f>'Assets-Liab 5-6'!N22</f>
        <v>14158753</v>
      </c>
      <c r="D283" s="2" t="str">
        <f t="shared" si="3"/>
        <v>Error?</v>
      </c>
    </row>
    <row r="284" spans="1:4" x14ac:dyDescent="0.2">
      <c r="A284" s="5">
        <v>223</v>
      </c>
      <c r="B284" s="138">
        <f>'Assets-Liab 5-6'!N23</f>
        <v>14496362</v>
      </c>
      <c r="C284" s="2" t="s">
        <v>573</v>
      </c>
      <c r="D284" s="2" t="str">
        <f t="shared" si="3"/>
        <v>Error?</v>
      </c>
    </row>
    <row r="285" spans="1:4" x14ac:dyDescent="0.2">
      <c r="A285" s="5">
        <v>224</v>
      </c>
      <c r="B285" s="138">
        <f>'Assets-Liab 5-6'!N36</f>
        <v>14496362</v>
      </c>
      <c r="D285" s="2" t="str">
        <f t="shared" si="3"/>
        <v>Error?</v>
      </c>
    </row>
    <row r="286" spans="1:4" x14ac:dyDescent="0.2">
      <c r="A286" s="10">
        <v>225</v>
      </c>
      <c r="D286" s="2" t="str">
        <f t="shared" si="3"/>
        <v>OK</v>
      </c>
    </row>
    <row r="287" spans="1:4" x14ac:dyDescent="0.2">
      <c r="A287" s="5">
        <v>226</v>
      </c>
      <c r="B287" s="138">
        <f>'Assets-Liab 5-6'!N37</f>
        <v>14496362</v>
      </c>
      <c r="C287" s="2" t="s">
        <v>573</v>
      </c>
      <c r="D287" s="2" t="str">
        <f t="shared" si="3"/>
        <v>Error?</v>
      </c>
    </row>
    <row r="288" spans="1:4" x14ac:dyDescent="0.2">
      <c r="A288" s="5">
        <v>227</v>
      </c>
      <c r="B288" s="138">
        <f>'Assets-Liab 5-6'!N41</f>
        <v>14496362</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41182</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8910000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5274370</v>
      </c>
      <c r="D705" s="2" t="str">
        <f t="shared" si="10"/>
        <v>Error?</v>
      </c>
    </row>
    <row r="706" spans="1:4" x14ac:dyDescent="0.2">
      <c r="A706" s="5">
        <v>645</v>
      </c>
      <c r="B706" s="138">
        <f>'Expenditures 15-22'!C16</f>
        <v>5537</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58291</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52985</v>
      </c>
      <c r="D718" s="2" t="str">
        <f t="shared" si="10"/>
        <v>Error?</v>
      </c>
    </row>
    <row r="719" spans="1:4" x14ac:dyDescent="0.2">
      <c r="A719" s="5">
        <v>658</v>
      </c>
      <c r="B719" s="138">
        <f>'Expenditures 15-22'!C15</f>
        <v>35455</v>
      </c>
      <c r="D719" s="2" t="str">
        <f t="shared" si="10"/>
        <v>Error?</v>
      </c>
    </row>
    <row r="720" spans="1:4" x14ac:dyDescent="0.2">
      <c r="A720" s="5">
        <v>659</v>
      </c>
      <c r="B720" s="138">
        <f>'Expenditures 15-22'!C33</f>
        <v>6776947</v>
      </c>
      <c r="C720" s="2" t="s">
        <v>573</v>
      </c>
      <c r="D720" s="2" t="str">
        <f t="shared" si="10"/>
        <v>Error?</v>
      </c>
    </row>
    <row r="721" spans="1:4" x14ac:dyDescent="0.2">
      <c r="A721" s="5">
        <v>660</v>
      </c>
      <c r="B721" s="138">
        <f>'Expenditures 15-22'!C36</f>
        <v>222339</v>
      </c>
      <c r="D721" s="2" t="str">
        <f t="shared" si="10"/>
        <v>Error?</v>
      </c>
    </row>
    <row r="722" spans="1:4" x14ac:dyDescent="0.2">
      <c r="A722" s="5">
        <v>661</v>
      </c>
      <c r="B722" s="138">
        <f>'Expenditures 15-22'!C37</f>
        <v>0</v>
      </c>
      <c r="D722" s="2" t="str">
        <f t="shared" si="10"/>
        <v>Error?</v>
      </c>
    </row>
    <row r="723" spans="1:4" x14ac:dyDescent="0.2">
      <c r="A723" s="5">
        <v>662</v>
      </c>
      <c r="B723" s="138">
        <f>'Expenditures 15-22'!C38</f>
        <v>76165</v>
      </c>
      <c r="D723" s="2" t="str">
        <f t="shared" si="10"/>
        <v>Error?</v>
      </c>
    </row>
    <row r="724" spans="1:4" x14ac:dyDescent="0.2">
      <c r="A724" s="5">
        <v>663</v>
      </c>
      <c r="B724" s="138">
        <f>'Expenditures 15-22'!C39</f>
        <v>112067</v>
      </c>
      <c r="D724" s="2" t="str">
        <f t="shared" si="10"/>
        <v>Error?</v>
      </c>
    </row>
    <row r="725" spans="1:4" x14ac:dyDescent="0.2">
      <c r="A725" s="5">
        <v>664</v>
      </c>
      <c r="B725" s="138">
        <f>'Expenditures 15-22'!C40</f>
        <v>166754</v>
      </c>
      <c r="D725" s="2" t="str">
        <f t="shared" si="10"/>
        <v>Error?</v>
      </c>
    </row>
    <row r="726" spans="1:4" x14ac:dyDescent="0.2">
      <c r="A726" s="5">
        <v>665</v>
      </c>
      <c r="B726" s="138">
        <f>'Expenditures 15-22'!C41</f>
        <v>1749</v>
      </c>
      <c r="D726" s="2" t="str">
        <f t="shared" si="10"/>
        <v>Error?</v>
      </c>
    </row>
    <row r="727" spans="1:4" x14ac:dyDescent="0.2">
      <c r="A727" s="5">
        <v>666</v>
      </c>
      <c r="B727" s="138">
        <f>'Expenditures 15-22'!C42</f>
        <v>579074</v>
      </c>
      <c r="C727" s="2" t="s">
        <v>573</v>
      </c>
      <c r="D727" s="2" t="str">
        <f t="shared" si="10"/>
        <v>Error?</v>
      </c>
    </row>
    <row r="728" spans="1:4" x14ac:dyDescent="0.2">
      <c r="A728" s="5">
        <v>667</v>
      </c>
      <c r="B728" s="138">
        <f>'Expenditures 15-22'!C44</f>
        <v>94363</v>
      </c>
      <c r="D728" s="2" t="str">
        <f t="shared" si="10"/>
        <v>Error?</v>
      </c>
    </row>
    <row r="729" spans="1:4" x14ac:dyDescent="0.2">
      <c r="A729" s="5">
        <v>668</v>
      </c>
      <c r="B729" s="138">
        <f>'Expenditures 15-22'!C45</f>
        <v>366446</v>
      </c>
      <c r="D729" s="2" t="str">
        <f t="shared" si="10"/>
        <v>Error?</v>
      </c>
    </row>
    <row r="730" spans="1:4" x14ac:dyDescent="0.2">
      <c r="A730" s="5">
        <v>669</v>
      </c>
      <c r="B730" s="138">
        <f>'Expenditures 15-22'!C46</f>
        <v>0</v>
      </c>
      <c r="D730" s="2" t="str">
        <f t="shared" si="10"/>
        <v>Error?</v>
      </c>
    </row>
    <row r="731" spans="1:4" x14ac:dyDescent="0.2">
      <c r="A731" s="5">
        <v>670</v>
      </c>
      <c r="B731" s="138">
        <f>'Expenditures 15-22'!C47</f>
        <v>460809</v>
      </c>
      <c r="C731" s="2" t="s">
        <v>573</v>
      </c>
      <c r="D731" s="2" t="str">
        <f t="shared" si="10"/>
        <v>Error?</v>
      </c>
    </row>
    <row r="732" spans="1:4" x14ac:dyDescent="0.2">
      <c r="A732" s="5">
        <v>671</v>
      </c>
      <c r="B732" s="138">
        <f>'Expenditures 15-22'!C49</f>
        <v>2400</v>
      </c>
      <c r="D732" s="2" t="str">
        <f t="shared" si="10"/>
        <v>Error?</v>
      </c>
    </row>
    <row r="733" spans="1:4" x14ac:dyDescent="0.2">
      <c r="A733" s="5">
        <v>672</v>
      </c>
      <c r="B733" s="138">
        <f>'Expenditures 15-22'!C50</f>
        <v>284602</v>
      </c>
      <c r="D733" s="2" t="str">
        <f t="shared" si="10"/>
        <v>Error?</v>
      </c>
    </row>
    <row r="734" spans="1:4" x14ac:dyDescent="0.2">
      <c r="A734" s="5">
        <v>673</v>
      </c>
      <c r="B734" s="138">
        <f>'Expenditures 15-22'!C53</f>
        <v>287002</v>
      </c>
      <c r="C734" s="2" t="s">
        <v>573</v>
      </c>
      <c r="D734" s="2" t="str">
        <f t="shared" si="10"/>
        <v>Error?</v>
      </c>
    </row>
    <row r="735" spans="1:4" x14ac:dyDescent="0.2">
      <c r="A735" s="5">
        <v>674</v>
      </c>
      <c r="B735" s="138">
        <f>'Expenditures 15-22'!C55</f>
        <v>581245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581245</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142002</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16727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158729</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20874</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20874</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2087733</v>
      </c>
      <c r="C755" s="2" t="s">
        <v>573</v>
      </c>
      <c r="D755" s="2" t="str">
        <f t="shared" si="10"/>
        <v>Error?</v>
      </c>
    </row>
    <row r="756" spans="1:4" x14ac:dyDescent="0.2">
      <c r="A756" s="5">
        <v>695</v>
      </c>
      <c r="B756" s="138">
        <f>'Expenditures 15-22'!C75</f>
        <v>208791</v>
      </c>
      <c r="D756" s="2" t="str">
        <f t="shared" si="10"/>
        <v>Error?</v>
      </c>
    </row>
    <row r="757" spans="1:4" x14ac:dyDescent="0.2">
      <c r="A757" s="5">
        <v>696</v>
      </c>
      <c r="B757" s="138">
        <f>'Expenditures 15-22'!C114</f>
        <v>9073471</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556987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10371</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603</v>
      </c>
      <c r="D776" s="2" t="str">
        <f t="shared" si="11"/>
        <v>Error?</v>
      </c>
    </row>
    <row r="777" spans="1:4" x14ac:dyDescent="0.2">
      <c r="A777" s="5">
        <v>716</v>
      </c>
      <c r="B777" s="138">
        <f>'Expenditures 15-22'!D15</f>
        <v>466</v>
      </c>
      <c r="D777" s="2" t="str">
        <f t="shared" si="11"/>
        <v>Error?</v>
      </c>
    </row>
    <row r="778" spans="1:4" x14ac:dyDescent="0.2">
      <c r="A778" s="5">
        <v>717</v>
      </c>
      <c r="B778" s="138">
        <f>'Expenditures 15-22'!D33</f>
        <v>678891</v>
      </c>
      <c r="C778" s="2" t="s">
        <v>573</v>
      </c>
      <c r="D778" s="2" t="str">
        <f t="shared" si="11"/>
        <v>Error?</v>
      </c>
    </row>
    <row r="779" spans="1:4" x14ac:dyDescent="0.2">
      <c r="A779" s="5">
        <v>718</v>
      </c>
      <c r="B779" s="138">
        <f>'Expenditures 15-22'!D36</f>
        <v>21522</v>
      </c>
      <c r="D779" s="2" t="str">
        <f t="shared" si="11"/>
        <v>Error?</v>
      </c>
    </row>
    <row r="780" spans="1:4" x14ac:dyDescent="0.2">
      <c r="A780" s="5">
        <v>719</v>
      </c>
      <c r="B780" s="138">
        <f>'Expenditures 15-22'!D37</f>
        <v>0</v>
      </c>
      <c r="D780" s="2" t="str">
        <f t="shared" si="11"/>
        <v>Error?</v>
      </c>
    </row>
    <row r="781" spans="1:4" x14ac:dyDescent="0.2">
      <c r="A781" s="5">
        <v>720</v>
      </c>
      <c r="B781" s="138">
        <f>'Expenditures 15-22'!D38</f>
        <v>8055</v>
      </c>
      <c r="D781" s="2" t="str">
        <f t="shared" si="11"/>
        <v>Error?</v>
      </c>
    </row>
    <row r="782" spans="1:4" x14ac:dyDescent="0.2">
      <c r="A782" s="5">
        <v>721</v>
      </c>
      <c r="B782" s="138">
        <f>'Expenditures 15-22'!D39</f>
        <v>2497</v>
      </c>
      <c r="D782" s="2" t="str">
        <f t="shared" si="11"/>
        <v>Error?</v>
      </c>
    </row>
    <row r="783" spans="1:4" x14ac:dyDescent="0.2">
      <c r="A783" s="5">
        <v>722</v>
      </c>
      <c r="B783" s="138">
        <f>'Expenditures 15-22'!D40</f>
        <v>16920</v>
      </c>
      <c r="D783" s="2" t="str">
        <f t="shared" si="11"/>
        <v>Error?</v>
      </c>
    </row>
    <row r="784" spans="1:4" x14ac:dyDescent="0.2">
      <c r="A784" s="5">
        <v>723</v>
      </c>
      <c r="B784" s="138">
        <f>'Expenditures 15-22'!D41</f>
        <v>1</v>
      </c>
      <c r="D784" s="2" t="str">
        <f t="shared" si="11"/>
        <v>Error?</v>
      </c>
    </row>
    <row r="785" spans="1:4" x14ac:dyDescent="0.2">
      <c r="A785" s="5">
        <v>724</v>
      </c>
      <c r="B785" s="138">
        <f>'Expenditures 15-22'!D42</f>
        <v>48995</v>
      </c>
      <c r="C785" s="2" t="s">
        <v>573</v>
      </c>
      <c r="D785" s="2" t="str">
        <f t="shared" si="11"/>
        <v>Error?</v>
      </c>
    </row>
    <row r="786" spans="1:4" x14ac:dyDescent="0.2">
      <c r="A786" s="5">
        <v>725</v>
      </c>
      <c r="B786" s="138">
        <f>'Expenditures 15-22'!D44</f>
        <v>21671</v>
      </c>
      <c r="D786" s="2" t="str">
        <f t="shared" si="11"/>
        <v>Error?</v>
      </c>
    </row>
    <row r="787" spans="1:4" x14ac:dyDescent="0.2">
      <c r="A787" s="5">
        <v>726</v>
      </c>
      <c r="B787" s="138">
        <f>'Expenditures 15-22'!D45</f>
        <v>40083</v>
      </c>
      <c r="D787" s="2" t="str">
        <f t="shared" si="11"/>
        <v>Error?</v>
      </c>
    </row>
    <row r="788" spans="1:4" x14ac:dyDescent="0.2">
      <c r="A788" s="5">
        <v>727</v>
      </c>
      <c r="B788" s="138">
        <f>'Expenditures 15-22'!D46</f>
        <v>0</v>
      </c>
      <c r="D788" s="2" t="str">
        <f t="shared" si="11"/>
        <v>Error?</v>
      </c>
    </row>
    <row r="789" spans="1:4" x14ac:dyDescent="0.2">
      <c r="A789" s="5">
        <v>728</v>
      </c>
      <c r="B789" s="138">
        <f>'Expenditures 15-22'!D47</f>
        <v>61754</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45454</v>
      </c>
      <c r="D791" s="2" t="str">
        <f t="shared" si="11"/>
        <v>Error?</v>
      </c>
    </row>
    <row r="792" spans="1:4" x14ac:dyDescent="0.2">
      <c r="A792" s="5">
        <v>731</v>
      </c>
      <c r="B792" s="138">
        <f>'Expenditures 15-22'!D53</f>
        <v>45454</v>
      </c>
      <c r="C792" s="2" t="s">
        <v>573</v>
      </c>
      <c r="D792" s="2" t="str">
        <f t="shared" si="11"/>
        <v>Error?</v>
      </c>
    </row>
    <row r="793" spans="1:4" x14ac:dyDescent="0.2">
      <c r="A793" s="5">
        <v>732</v>
      </c>
      <c r="B793" s="138">
        <f>'Expenditures 15-22'!D55</f>
        <v>86294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86294</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41654</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41654</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284151</v>
      </c>
      <c r="C813" s="2" t="s">
        <v>573</v>
      </c>
      <c r="D813" s="2" t="str">
        <f t="shared" si="11"/>
        <v>Error?</v>
      </c>
    </row>
    <row r="814" spans="1:4" x14ac:dyDescent="0.2">
      <c r="A814" s="5">
        <v>753</v>
      </c>
      <c r="B814" s="138">
        <f>'Expenditures 15-22'!D75</f>
        <v>22459</v>
      </c>
      <c r="D814" s="2" t="str">
        <f t="shared" si="11"/>
        <v>Error?</v>
      </c>
    </row>
    <row r="815" spans="1:4" x14ac:dyDescent="0.2">
      <c r="A815" s="5">
        <v>754</v>
      </c>
      <c r="B815" s="138">
        <f>'Expenditures 15-22'!D114</f>
        <v>985501</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59295</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67239</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418</v>
      </c>
      <c r="D839" s="2" t="str">
        <f t="shared" si="12"/>
        <v>Error?</v>
      </c>
    </row>
    <row r="840" spans="1:4" x14ac:dyDescent="0.2">
      <c r="A840" s="5">
        <v>779</v>
      </c>
      <c r="B840" s="138">
        <f>'Expenditures 15-22'!E39</f>
        <v>0</v>
      </c>
      <c r="D840" s="2" t="str">
        <f t="shared" si="12"/>
        <v>Error?</v>
      </c>
    </row>
    <row r="841" spans="1:4" x14ac:dyDescent="0.2">
      <c r="A841" s="5">
        <v>780</v>
      </c>
      <c r="B841" s="138">
        <f>'Expenditures 15-22'!E40</f>
        <v>30427</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30845</v>
      </c>
      <c r="C843" s="2" t="s">
        <v>573</v>
      </c>
      <c r="D843" s="2" t="str">
        <f t="shared" si="12"/>
        <v>Error?</v>
      </c>
    </row>
    <row r="844" spans="1:4" x14ac:dyDescent="0.2">
      <c r="A844" s="5">
        <v>783</v>
      </c>
      <c r="B844" s="138">
        <f>'Expenditures 15-22'!E44</f>
        <v>30558</v>
      </c>
      <c r="D844" s="2" t="str">
        <f t="shared" si="12"/>
        <v>Error?</v>
      </c>
    </row>
    <row r="845" spans="1:4" x14ac:dyDescent="0.2">
      <c r="A845" s="5">
        <v>784</v>
      </c>
      <c r="B845" s="138">
        <f>'Expenditures 15-22'!E45</f>
        <v>10694</v>
      </c>
      <c r="D845" s="2" t="str">
        <f t="shared" si="12"/>
        <v>Error?</v>
      </c>
    </row>
    <row r="846" spans="1:4" x14ac:dyDescent="0.2">
      <c r="A846" s="5">
        <v>785</v>
      </c>
      <c r="B846" s="138">
        <f>'Expenditures 15-22'!E46</f>
        <v>52780</v>
      </c>
      <c r="D846" s="2" t="str">
        <f t="shared" si="12"/>
        <v>Error?</v>
      </c>
    </row>
    <row r="847" spans="1:4" x14ac:dyDescent="0.2">
      <c r="A847" s="5">
        <v>786</v>
      </c>
      <c r="B847" s="138">
        <f>'Expenditures 15-22'!E47</f>
        <v>94032</v>
      </c>
      <c r="C847" s="2" t="s">
        <v>573</v>
      </c>
      <c r="D847" s="2" t="str">
        <f t="shared" si="12"/>
        <v>Error?</v>
      </c>
    </row>
    <row r="848" spans="1:4" x14ac:dyDescent="0.2">
      <c r="A848" s="5">
        <v>787</v>
      </c>
      <c r="B848" s="138">
        <f>'Expenditures 15-22'!E49</f>
        <v>164093</v>
      </c>
      <c r="D848" s="2" t="str">
        <f t="shared" si="12"/>
        <v>Error?</v>
      </c>
    </row>
    <row r="849" spans="1:4" x14ac:dyDescent="0.2">
      <c r="A849" s="5">
        <v>788</v>
      </c>
      <c r="B849" s="138">
        <f>'Expenditures 15-22'!E50</f>
        <v>4089</v>
      </c>
      <c r="D849" s="2" t="str">
        <f t="shared" si="12"/>
        <v>Error?</v>
      </c>
    </row>
    <row r="850" spans="1:4" x14ac:dyDescent="0.2">
      <c r="A850" s="5">
        <v>789</v>
      </c>
      <c r="B850" s="138">
        <f>'Expenditures 15-22'!E53</f>
        <v>168182</v>
      </c>
      <c r="C850" s="2" t="s">
        <v>573</v>
      </c>
      <c r="D850" s="2" t="str">
        <f t="shared" si="12"/>
        <v>Error?</v>
      </c>
    </row>
    <row r="851" spans="1:4" x14ac:dyDescent="0.2">
      <c r="A851" s="5">
        <v>790</v>
      </c>
      <c r="B851" s="138">
        <f>'Expenditures 15-22'!E55</f>
        <v>4339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4339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15999</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1772</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17771</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315169</v>
      </c>
      <c r="C871" s="2" t="s">
        <v>573</v>
      </c>
      <c r="D871" s="2" t="str">
        <f t="shared" si="12"/>
        <v>Error?</v>
      </c>
    </row>
    <row r="872" spans="1:4" x14ac:dyDescent="0.2">
      <c r="A872" s="5">
        <v>811</v>
      </c>
      <c r="B872" s="138">
        <f>'Expenditures 15-22'!E75</f>
        <v>4942</v>
      </c>
      <c r="D872" s="2" t="str">
        <f t="shared" si="12"/>
        <v>Error?</v>
      </c>
    </row>
    <row r="873" spans="1:4" x14ac:dyDescent="0.2">
      <c r="A873" s="5">
        <v>812</v>
      </c>
      <c r="B873" s="138">
        <f>'Expenditures 15-22'!E114</f>
        <v>387350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264501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200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4208</v>
      </c>
      <c r="D892" s="2" t="str">
        <f t="shared" si="12"/>
        <v>Error?</v>
      </c>
    </row>
    <row r="893" spans="1:4" x14ac:dyDescent="0.2">
      <c r="A893" s="5">
        <v>832</v>
      </c>
      <c r="B893" s="138">
        <f>'Expenditures 15-22'!F15</f>
        <v>1151</v>
      </c>
      <c r="D893" s="2" t="str">
        <f t="shared" si="12"/>
        <v>Error?</v>
      </c>
    </row>
    <row r="894" spans="1:4" x14ac:dyDescent="0.2">
      <c r="A894" s="5">
        <v>833</v>
      </c>
      <c r="B894" s="138">
        <f>'Expenditures 15-22'!F33</f>
        <v>274290</v>
      </c>
      <c r="C894" s="2" t="s">
        <v>573</v>
      </c>
      <c r="D894" s="2" t="str">
        <f t="shared" si="12"/>
        <v>Error?</v>
      </c>
    </row>
    <row r="895" spans="1:4" x14ac:dyDescent="0.2">
      <c r="A895" s="5">
        <v>834</v>
      </c>
      <c r="B895" s="138">
        <f>'Expenditures 15-22'!F36</f>
        <v>717</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6139</v>
      </c>
      <c r="D897" s="2" t="str">
        <f t="shared" si="13"/>
        <v>Error?</v>
      </c>
    </row>
    <row r="898" spans="1:4" x14ac:dyDescent="0.2">
      <c r="A898" s="5">
        <v>837</v>
      </c>
      <c r="B898" s="138">
        <f>'Expenditures 15-22'!F39</f>
        <v>1156</v>
      </c>
      <c r="D898" s="2" t="str">
        <f t="shared" si="13"/>
        <v>Error?</v>
      </c>
    </row>
    <row r="899" spans="1:4" x14ac:dyDescent="0.2">
      <c r="A899" s="5">
        <v>838</v>
      </c>
      <c r="B899" s="138">
        <f>'Expenditures 15-22'!F40</f>
        <v>438</v>
      </c>
      <c r="D899" s="2" t="str">
        <f t="shared" si="13"/>
        <v>Error?</v>
      </c>
    </row>
    <row r="900" spans="1:4" x14ac:dyDescent="0.2">
      <c r="A900" s="5">
        <v>839</v>
      </c>
      <c r="B900" s="138">
        <f>'Expenditures 15-22'!F41</f>
        <v>0</v>
      </c>
      <c r="D900" s="2" t="str">
        <f t="shared" si="13"/>
        <v>Error?</v>
      </c>
    </row>
    <row r="901" spans="1:4" x14ac:dyDescent="0.2">
      <c r="A901" s="5">
        <v>840</v>
      </c>
      <c r="B901" s="138">
        <f>'Expenditures 15-22'!F42</f>
        <v>8450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39633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39633</v>
      </c>
      <c r="C905" s="2" t="s">
        <v>573</v>
      </c>
      <c r="D905" s="2" t="str">
        <f t="shared" si="13"/>
        <v>Error?</v>
      </c>
    </row>
    <row r="906" spans="1:4" x14ac:dyDescent="0.2">
      <c r="A906" s="5">
        <v>845</v>
      </c>
      <c r="B906" s="138">
        <f>'Expenditures 15-22'!F49</f>
        <v>2993</v>
      </c>
      <c r="D906" s="2" t="str">
        <f t="shared" si="13"/>
        <v>Error?</v>
      </c>
    </row>
    <row r="907" spans="1:4" x14ac:dyDescent="0.2">
      <c r="A907" s="5">
        <v>846</v>
      </c>
      <c r="B907" s="138">
        <f>'Expenditures 15-22'!F50</f>
        <v>1567</v>
      </c>
      <c r="D907" s="2" t="str">
        <f t="shared" si="13"/>
        <v>Error?</v>
      </c>
    </row>
    <row r="908" spans="1:4" x14ac:dyDescent="0.2">
      <c r="A908" s="5">
        <v>847</v>
      </c>
      <c r="B908" s="138">
        <f>'Expenditures 15-22'!F53</f>
        <v>4560</v>
      </c>
      <c r="C908" s="2" t="s">
        <v>573</v>
      </c>
      <c r="D908" s="2" t="str">
        <f t="shared" si="13"/>
        <v>Error?</v>
      </c>
    </row>
    <row r="909" spans="1:4" x14ac:dyDescent="0.2">
      <c r="A909" s="5">
        <v>848</v>
      </c>
      <c r="B909" s="138">
        <f>'Expenditures 15-22'!F55</f>
        <v>1389</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1389</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5849</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200233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206082</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2369</v>
      </c>
      <c r="D921" s="2" t="str">
        <f t="shared" si="13"/>
        <v>Error?</v>
      </c>
    </row>
    <row r="922" spans="1:4" x14ac:dyDescent="0.2">
      <c r="A922" s="5">
        <v>861</v>
      </c>
      <c r="B922" s="138">
        <f>'Expenditures 15-22'!F69</f>
        <v>19012</v>
      </c>
      <c r="D922" s="2" t="str">
        <f t="shared" si="13"/>
        <v>Error?</v>
      </c>
    </row>
    <row r="923" spans="1:4" x14ac:dyDescent="0.2">
      <c r="A923" s="5">
        <v>862</v>
      </c>
      <c r="B923" s="138">
        <f>'Expenditures 15-22'!F70</f>
        <v>12206</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33587</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293701</v>
      </c>
      <c r="C929" s="2" t="s">
        <v>573</v>
      </c>
      <c r="D929" s="2" t="str">
        <f t="shared" si="13"/>
        <v>Error?</v>
      </c>
    </row>
    <row r="930" spans="1:4" x14ac:dyDescent="0.2">
      <c r="A930" s="5">
        <v>869</v>
      </c>
      <c r="B930" s="138">
        <f>'Expenditures 15-22'!F75</f>
        <v>27319</v>
      </c>
      <c r="D930" s="2" t="str">
        <f t="shared" si="13"/>
        <v>Error?</v>
      </c>
    </row>
    <row r="931" spans="1:4" x14ac:dyDescent="0.2">
      <c r="A931" s="5">
        <v>870</v>
      </c>
      <c r="B931" s="138">
        <f>'Expenditures 15-22'!F114</f>
        <v>595310</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66629</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67516</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115629</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115629</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388</v>
      </c>
      <c r="D967" s="2" t="str">
        <f t="shared" si="14"/>
        <v>Error?</v>
      </c>
    </row>
    <row r="968" spans="1:4" x14ac:dyDescent="0.2">
      <c r="A968" s="5">
        <v>907</v>
      </c>
      <c r="B968" s="138">
        <f>'Expenditures 15-22'!G56</f>
        <v>0</v>
      </c>
      <c r="D968" s="2" t="str">
        <f t="shared" si="14"/>
        <v>Error?</v>
      </c>
    </row>
    <row r="969" spans="1:4" x14ac:dyDescent="0.2">
      <c r="A969" s="5">
        <v>908</v>
      </c>
      <c r="B969" s="138">
        <f>'Expenditures 15-22'!G57</f>
        <v>388</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116017</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183533</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278098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9878</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287976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922</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922</v>
      </c>
      <c r="C1021" s="2" t="s">
        <v>573</v>
      </c>
      <c r="D1021" s="2" t="str">
        <f t="shared" si="14"/>
        <v>Error?</v>
      </c>
    </row>
    <row r="1022" spans="1:4" x14ac:dyDescent="0.2">
      <c r="A1022" s="5">
        <v>961</v>
      </c>
      <c r="B1022" s="138">
        <f>'Expenditures 15-22'!H49</f>
        <v>17300</v>
      </c>
      <c r="D1022" s="2" t="str">
        <f t="shared" si="14"/>
        <v>Error?</v>
      </c>
    </row>
    <row r="1023" spans="1:4" x14ac:dyDescent="0.2">
      <c r="A1023" s="5">
        <v>962</v>
      </c>
      <c r="B1023" s="138">
        <f>'Expenditures 15-22'!H50</f>
        <v>3225</v>
      </c>
      <c r="D1023" s="2" t="str">
        <f t="shared" ref="D1023:D1086" si="15">IF(ISBLANK(B1023),"OK",IF(A1023-B1023=0,"OK","Error?"))</f>
        <v>Error?</v>
      </c>
    </row>
    <row r="1024" spans="1:4" x14ac:dyDescent="0.2">
      <c r="A1024" s="5">
        <v>963</v>
      </c>
      <c r="B1024" s="138">
        <f>'Expenditures 15-22'!H53</f>
        <v>20525</v>
      </c>
      <c r="C1024" s="2" t="s">
        <v>573</v>
      </c>
      <c r="D1024" s="2" t="str">
        <f t="shared" si="15"/>
        <v>Error?</v>
      </c>
    </row>
    <row r="1025" spans="1:4" x14ac:dyDescent="0.2">
      <c r="A1025" s="5">
        <v>964</v>
      </c>
      <c r="B1025" s="138">
        <f>'Expenditures 15-22'!H55</f>
        <v>1374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1374</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614</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614</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23435</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525959</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837370</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6499880</v>
      </c>
      <c r="C1093" s="2" t="s">
        <v>573</v>
      </c>
      <c r="D1093" s="2" t="str">
        <f t="shared" si="16"/>
        <v>Error?</v>
      </c>
    </row>
    <row r="1094" spans="1:4" x14ac:dyDescent="0.2">
      <c r="A1094" s="5">
        <v>1033</v>
      </c>
      <c r="B1094" s="138">
        <f>'Expenditures 15-22'!K16</f>
        <v>5537</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68862</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67674</v>
      </c>
      <c r="C1106" s="2" t="s">
        <v>573</v>
      </c>
      <c r="D1106" s="2" t="str">
        <f t="shared" si="16"/>
        <v>Error?</v>
      </c>
    </row>
    <row r="1107" spans="1:4" x14ac:dyDescent="0.2">
      <c r="A1107" s="5">
        <v>1046</v>
      </c>
      <c r="B1107" s="138">
        <f>'Expenditures 15-22'!K15</f>
        <v>37072</v>
      </c>
      <c r="C1107" s="2" t="s">
        <v>573</v>
      </c>
      <c r="D1107" s="2" t="str">
        <f t="shared" si="16"/>
        <v>Error?</v>
      </c>
    </row>
    <row r="1108" spans="1:4" x14ac:dyDescent="0.2">
      <c r="A1108" s="5">
        <v>1047</v>
      </c>
      <c r="B1108" s="138">
        <f>'Expenditures 15-22'!K33</f>
        <v>8152859</v>
      </c>
      <c r="C1108" s="2" t="s">
        <v>573</v>
      </c>
      <c r="D1108" s="2" t="str">
        <f t="shared" si="16"/>
        <v>Error?</v>
      </c>
    </row>
    <row r="1109" spans="1:4" x14ac:dyDescent="0.2">
      <c r="A1109" s="5">
        <v>1048</v>
      </c>
      <c r="B1109" s="138">
        <f>'Expenditures 15-22'!K36</f>
        <v>244578</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90777</v>
      </c>
      <c r="C1111" s="2" t="s">
        <v>573</v>
      </c>
      <c r="D1111" s="2" t="str">
        <f t="shared" si="16"/>
        <v>Error?</v>
      </c>
    </row>
    <row r="1112" spans="1:4" x14ac:dyDescent="0.2">
      <c r="A1112" s="5">
        <v>1051</v>
      </c>
      <c r="B1112" s="138">
        <f>'Expenditures 15-22'!K39</f>
        <v>115720</v>
      </c>
      <c r="C1112" s="2" t="s">
        <v>573</v>
      </c>
      <c r="D1112" s="2" t="str">
        <f t="shared" si="16"/>
        <v>Error?</v>
      </c>
    </row>
    <row r="1113" spans="1:4" x14ac:dyDescent="0.2">
      <c r="A1113" s="5">
        <v>1052</v>
      </c>
      <c r="B1113" s="138">
        <f>'Expenditures 15-22'!K40</f>
        <v>214539</v>
      </c>
      <c r="C1113" s="2" t="s">
        <v>573</v>
      </c>
      <c r="D1113" s="2" t="str">
        <f t="shared" si="16"/>
        <v>Error?</v>
      </c>
    </row>
    <row r="1114" spans="1:4" x14ac:dyDescent="0.2">
      <c r="A1114" s="5">
        <v>1053</v>
      </c>
      <c r="B1114" s="138">
        <f>'Expenditures 15-22'!K41</f>
        <v>1750</v>
      </c>
      <c r="C1114" s="2" t="s">
        <v>573</v>
      </c>
      <c r="D1114" s="2" t="str">
        <f t="shared" si="16"/>
        <v>Error?</v>
      </c>
    </row>
    <row r="1115" spans="1:4" x14ac:dyDescent="0.2">
      <c r="A1115" s="5">
        <v>1054</v>
      </c>
      <c r="B1115" s="138">
        <f>'Expenditures 15-22'!K42</f>
        <v>667364</v>
      </c>
      <c r="C1115" s="2" t="s">
        <v>573</v>
      </c>
      <c r="D1115" s="2" t="str">
        <f t="shared" si="16"/>
        <v>Error?</v>
      </c>
    </row>
    <row r="1116" spans="1:4" x14ac:dyDescent="0.2">
      <c r="A1116" s="5">
        <v>1055</v>
      </c>
      <c r="B1116" s="138">
        <f>'Expenditures 15-22'!K44</f>
        <v>146592</v>
      </c>
      <c r="C1116" s="2" t="s">
        <v>573</v>
      </c>
      <c r="D1116" s="2" t="str">
        <f t="shared" si="16"/>
        <v>Error?</v>
      </c>
    </row>
    <row r="1117" spans="1:4" x14ac:dyDescent="0.2">
      <c r="A1117" s="5">
        <v>1056</v>
      </c>
      <c r="B1117" s="138">
        <f>'Expenditures 15-22'!K45</f>
        <v>573407</v>
      </c>
      <c r="C1117" s="2" t="s">
        <v>573</v>
      </c>
      <c r="D1117" s="2" t="str">
        <f t="shared" si="16"/>
        <v>Error?</v>
      </c>
    </row>
    <row r="1118" spans="1:4" x14ac:dyDescent="0.2">
      <c r="A1118" s="5">
        <v>1057</v>
      </c>
      <c r="B1118" s="138">
        <f>'Expenditures 15-22'!K46</f>
        <v>52780</v>
      </c>
      <c r="C1118" s="2" t="s">
        <v>573</v>
      </c>
      <c r="D1118" s="2" t="str">
        <f t="shared" si="16"/>
        <v>Error?</v>
      </c>
    </row>
    <row r="1119" spans="1:4" x14ac:dyDescent="0.2">
      <c r="A1119" s="5">
        <v>1058</v>
      </c>
      <c r="B1119" s="138">
        <f>'Expenditures 15-22'!K47</f>
        <v>772779</v>
      </c>
      <c r="C1119" s="2" t="s">
        <v>573</v>
      </c>
      <c r="D1119" s="2" t="str">
        <f t="shared" si="16"/>
        <v>Error?</v>
      </c>
    </row>
    <row r="1120" spans="1:4" x14ac:dyDescent="0.2">
      <c r="A1120" s="5">
        <v>1059</v>
      </c>
      <c r="B1120" s="138">
        <f>'Expenditures 15-22'!K49</f>
        <v>186786</v>
      </c>
      <c r="C1120" s="2" t="s">
        <v>573</v>
      </c>
      <c r="D1120" s="2" t="str">
        <f t="shared" si="16"/>
        <v>Error?</v>
      </c>
    </row>
    <row r="1121" spans="1:4" x14ac:dyDescent="0.2">
      <c r="A1121" s="5">
        <v>1060</v>
      </c>
      <c r="B1121" s="138">
        <f>'Expenditures 15-22'!K50</f>
        <v>338937</v>
      </c>
      <c r="C1121" s="2" t="s">
        <v>573</v>
      </c>
      <c r="D1121" s="2" t="str">
        <f t="shared" si="16"/>
        <v>Error?</v>
      </c>
    </row>
    <row r="1122" spans="1:4" x14ac:dyDescent="0.2">
      <c r="A1122" s="5">
        <v>1061</v>
      </c>
      <c r="B1122" s="138">
        <f>'Expenditures 15-22'!K53</f>
        <v>525723</v>
      </c>
      <c r="C1122" s="2" t="s">
        <v>573</v>
      </c>
      <c r="D1122" s="2" t="str">
        <f t="shared" si="16"/>
        <v>Error?</v>
      </c>
    </row>
    <row r="1123" spans="1:4" x14ac:dyDescent="0.2">
      <c r="A1123" s="5">
        <v>1062</v>
      </c>
      <c r="B1123" s="138">
        <f>'Expenditures 15-22'!K55</f>
        <v>675029</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675029</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206118</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218732</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424850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2369</v>
      </c>
      <c r="C1135" s="2" t="s">
        <v>573</v>
      </c>
      <c r="D1135" s="2" t="str">
        <f t="shared" si="16"/>
        <v>Error?</v>
      </c>
    </row>
    <row r="1136" spans="1:4" x14ac:dyDescent="0.2">
      <c r="A1136" s="5">
        <v>1075</v>
      </c>
      <c r="B1136" s="138">
        <f>'Expenditures 15-22'!K69</f>
        <v>39886</v>
      </c>
      <c r="C1136" s="2" t="s">
        <v>573</v>
      </c>
      <c r="D1136" s="2" t="str">
        <f t="shared" si="16"/>
        <v>Error?</v>
      </c>
    </row>
    <row r="1137" spans="1:4" x14ac:dyDescent="0.2">
      <c r="A1137" s="5">
        <v>1076</v>
      </c>
      <c r="B1137" s="138">
        <f>'Expenditures 15-22'!K70</f>
        <v>12206</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54461</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3120206</v>
      </c>
      <c r="C1143" s="2" t="s">
        <v>573</v>
      </c>
      <c r="D1143" s="2" t="str">
        <f t="shared" si="16"/>
        <v>Error?</v>
      </c>
    </row>
    <row r="1144" spans="1:4" x14ac:dyDescent="0.2">
      <c r="A1144" s="5">
        <v>1083</v>
      </c>
      <c r="B1144" s="138">
        <f>'Expenditures 15-22'!K75</f>
        <v>263511</v>
      </c>
      <c r="C1144" s="2" t="s">
        <v>573</v>
      </c>
      <c r="D1144" s="2" t="str">
        <f t="shared" si="16"/>
        <v>Error?</v>
      </c>
    </row>
    <row r="1145" spans="1:4" x14ac:dyDescent="0.2">
      <c r="A1145" s="5">
        <v>1084</v>
      </c>
      <c r="B1145" s="138">
        <f>'Expenditures 15-22'!K102</f>
        <v>525959</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12062535</v>
      </c>
      <c r="C1152" s="2" t="s">
        <v>573</v>
      </c>
      <c r="D1152" s="2" t="str">
        <f t="shared" si="17"/>
        <v>Error?</v>
      </c>
    </row>
    <row r="1153" spans="1:4" x14ac:dyDescent="0.2">
      <c r="A1153" s="5">
        <v>1092</v>
      </c>
      <c r="B1153" s="138">
        <f>'Expenditures 15-22'!K115</f>
        <v>-264688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317833</v>
      </c>
      <c r="D1221" s="2" t="str">
        <f t="shared" si="18"/>
        <v>Error?</v>
      </c>
    </row>
    <row r="1222" spans="1:4" x14ac:dyDescent="0.2">
      <c r="A1222" s="10">
        <v>1161</v>
      </c>
      <c r="D1222" s="2" t="str">
        <f t="shared" si="18"/>
        <v>OK</v>
      </c>
    </row>
    <row r="1223" spans="1:4" x14ac:dyDescent="0.2">
      <c r="A1223" s="5">
        <v>1162</v>
      </c>
      <c r="B1223" s="138">
        <f>'Expenditures 15-22'!C127</f>
        <v>317833</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317833</v>
      </c>
      <c r="C1225" s="2" t="s">
        <v>573</v>
      </c>
      <c r="D1225" s="2" t="str">
        <f t="shared" si="18"/>
        <v>Error?</v>
      </c>
    </row>
    <row r="1226" spans="1:4" x14ac:dyDescent="0.2">
      <c r="A1226" s="5">
        <v>1165</v>
      </c>
      <c r="B1226" s="138">
        <f>'Expenditures 15-22'!C151</f>
        <v>317833</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55149</v>
      </c>
      <c r="D1229" s="2" t="str">
        <f t="shared" si="18"/>
        <v>Error?</v>
      </c>
    </row>
    <row r="1230" spans="1:4" x14ac:dyDescent="0.2">
      <c r="A1230" s="10">
        <v>1169</v>
      </c>
      <c r="D1230" s="2" t="str">
        <f t="shared" si="18"/>
        <v>OK</v>
      </c>
    </row>
    <row r="1231" spans="1:4" x14ac:dyDescent="0.2">
      <c r="A1231" s="5">
        <v>1170</v>
      </c>
      <c r="B1231" s="138">
        <f>'Expenditures 15-22'!D127</f>
        <v>55149</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55149</v>
      </c>
      <c r="C1233" s="2" t="s">
        <v>573</v>
      </c>
      <c r="D1233" s="2" t="str">
        <f t="shared" si="18"/>
        <v>Error?</v>
      </c>
    </row>
    <row r="1234" spans="1:4" x14ac:dyDescent="0.2">
      <c r="A1234" s="5">
        <v>1173</v>
      </c>
      <c r="B1234" s="138">
        <f>'Expenditures 15-22'!D151</f>
        <v>55149</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290425</v>
      </c>
      <c r="D1237" s="2" t="str">
        <f t="shared" si="18"/>
        <v>Error?</v>
      </c>
    </row>
    <row r="1238" spans="1:4" x14ac:dyDescent="0.2">
      <c r="A1238" s="10">
        <v>1177</v>
      </c>
      <c r="D1238" s="2" t="str">
        <f t="shared" si="18"/>
        <v>OK</v>
      </c>
    </row>
    <row r="1239" spans="1:4" x14ac:dyDescent="0.2">
      <c r="A1239" s="5">
        <v>1178</v>
      </c>
      <c r="B1239" s="138">
        <f>'Expenditures 15-22'!E127</f>
        <v>290425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290425</v>
      </c>
      <c r="C1241" s="2" t="s">
        <v>573</v>
      </c>
      <c r="D1241" s="2" t="str">
        <f t="shared" si="18"/>
        <v>Error?</v>
      </c>
    </row>
    <row r="1242" spans="1:4" x14ac:dyDescent="0.2">
      <c r="A1242" s="5">
        <v>1181</v>
      </c>
      <c r="B1242" s="138">
        <f>'Expenditures 15-22'!E151</f>
        <v>290425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424334</v>
      </c>
      <c r="D1245" s="2" t="str">
        <f t="shared" si="18"/>
        <v>Error?</v>
      </c>
    </row>
    <row r="1246" spans="1:4" x14ac:dyDescent="0.2">
      <c r="A1246" s="10">
        <v>1185</v>
      </c>
      <c r="D1246" s="2" t="str">
        <f t="shared" si="18"/>
        <v>OK</v>
      </c>
    </row>
    <row r="1247" spans="1:4" x14ac:dyDescent="0.2">
      <c r="A1247" s="5">
        <v>1186</v>
      </c>
      <c r="B1247" s="138">
        <f>'Expenditures 15-22'!F127</f>
        <v>424334</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424334</v>
      </c>
      <c r="C1249" s="2" t="s">
        <v>573</v>
      </c>
      <c r="D1249" s="2" t="str">
        <f t="shared" si="18"/>
        <v>Error?</v>
      </c>
    </row>
    <row r="1250" spans="1:4" x14ac:dyDescent="0.2">
      <c r="A1250" s="5">
        <v>1189</v>
      </c>
      <c r="B1250" s="138">
        <f>'Expenditures 15-22'!F151</f>
        <v>424334</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19274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19274</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19274</v>
      </c>
      <c r="C1258" s="2" t="s">
        <v>573</v>
      </c>
      <c r="D1258" s="2" t="str">
        <f t="shared" si="18"/>
        <v>Error?</v>
      </c>
    </row>
    <row r="1259" spans="1:4" x14ac:dyDescent="0.2">
      <c r="A1259" s="5">
        <v>1198</v>
      </c>
      <c r="B1259" s="138">
        <f>'Expenditures 15-22'!G151</f>
        <v>19274</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82</v>
      </c>
      <c r="D1262" s="2" t="str">
        <f t="shared" si="18"/>
        <v>Error?</v>
      </c>
    </row>
    <row r="1263" spans="1:4" x14ac:dyDescent="0.2">
      <c r="A1263" s="10">
        <v>1202</v>
      </c>
      <c r="D1263" s="2" t="str">
        <f t="shared" si="18"/>
        <v>OK</v>
      </c>
    </row>
    <row r="1264" spans="1:4" x14ac:dyDescent="0.2">
      <c r="A1264" s="5">
        <v>1203</v>
      </c>
      <c r="B1264" s="138">
        <f>'Expenditures 15-22'!H127</f>
        <v>82</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82</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82</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1107097</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1107097</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1107097</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1107097</v>
      </c>
      <c r="C1288" s="2" t="s">
        <v>573</v>
      </c>
      <c r="D1288" s="2" t="str">
        <f t="shared" si="19"/>
        <v>Error?</v>
      </c>
    </row>
    <row r="1289" spans="1:4" x14ac:dyDescent="0.2">
      <c r="A1289" s="5">
        <v>1228</v>
      </c>
      <c r="B1289" s="138">
        <f>'Expenditures 15-22'!K152</f>
        <v>-39700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413246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660000</v>
      </c>
      <c r="D1315" s="2" t="str">
        <f t="shared" si="19"/>
        <v>Error?</v>
      </c>
    </row>
    <row r="1316" spans="1:4" x14ac:dyDescent="0.2">
      <c r="A1316" s="5">
        <v>1255</v>
      </c>
      <c r="B1316" s="138">
        <f>'Expenditures 15-22'!H171</f>
        <v>63716</v>
      </c>
      <c r="D1316" s="2" t="str">
        <f t="shared" si="19"/>
        <v>Error?</v>
      </c>
    </row>
    <row r="1317" spans="1:4" x14ac:dyDescent="0.2">
      <c r="A1317" s="5">
        <v>1256</v>
      </c>
      <c r="B1317" s="138">
        <f>'Expenditures 15-22'!H172</f>
        <v>1136962</v>
      </c>
      <c r="C1317" s="2" t="s">
        <v>573</v>
      </c>
      <c r="D1317" s="2" t="str">
        <f t="shared" si="19"/>
        <v>Error?</v>
      </c>
    </row>
    <row r="1318" spans="1:4" x14ac:dyDescent="0.2">
      <c r="A1318" s="5">
        <v>1257</v>
      </c>
      <c r="B1318" s="138">
        <f>'Expenditures 15-22'!H174</f>
        <v>1136962</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413246</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660000</v>
      </c>
      <c r="C1329" s="2" t="s">
        <v>573</v>
      </c>
      <c r="D1329" s="2" t="str">
        <f t="shared" si="19"/>
        <v>Error?</v>
      </c>
    </row>
    <row r="1330" spans="1:4" x14ac:dyDescent="0.2">
      <c r="A1330" s="5">
        <v>1269</v>
      </c>
      <c r="B1330" s="138">
        <f>'Expenditures 15-22'!K171</f>
        <v>63716</v>
      </c>
      <c r="C1330" s="2" t="s">
        <v>573</v>
      </c>
      <c r="D1330" s="2" t="str">
        <f t="shared" si="19"/>
        <v>Error?</v>
      </c>
    </row>
    <row r="1331" spans="1:4" x14ac:dyDescent="0.2">
      <c r="A1331" s="5">
        <v>1270</v>
      </c>
      <c r="B1331" s="138">
        <f>'Expenditures 15-22'!K172</f>
        <v>1136962</v>
      </c>
      <c r="C1331" s="2" t="s">
        <v>573</v>
      </c>
      <c r="D1331" s="2" t="str">
        <f t="shared" si="19"/>
        <v>Error?</v>
      </c>
    </row>
    <row r="1332" spans="1:4" x14ac:dyDescent="0.2">
      <c r="A1332" s="5">
        <v>1271</v>
      </c>
      <c r="B1332" s="138">
        <f>'Expenditures 15-22'!K174</f>
        <v>1136962</v>
      </c>
      <c r="C1332" s="2" t="s">
        <v>573</v>
      </c>
      <c r="D1332" s="2" t="str">
        <f t="shared" si="19"/>
        <v>Error?</v>
      </c>
    </row>
    <row r="1333" spans="1:4" x14ac:dyDescent="0.2">
      <c r="A1333" s="5">
        <v>1272</v>
      </c>
      <c r="B1333" s="138">
        <f>'Expenditures 15-22'!K175</f>
        <v>-314157</v>
      </c>
      <c r="C1333" s="2" t="s">
        <v>573</v>
      </c>
      <c r="D1333" s="2" t="str">
        <f t="shared" si="19"/>
        <v>Error?</v>
      </c>
    </row>
    <row r="1334" spans="1:4" x14ac:dyDescent="0.2">
      <c r="A1334" s="10">
        <v>1273</v>
      </c>
      <c r="D1334" s="2" t="str">
        <f t="shared" si="19"/>
        <v>OK</v>
      </c>
    </row>
    <row r="1335" spans="1:4" x14ac:dyDescent="0.2">
      <c r="A1335" s="5">
        <v>1274</v>
      </c>
      <c r="B1335" s="138">
        <f>'Expenditures 15-22'!C182</f>
        <v>300476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300476</v>
      </c>
      <c r="C1339" s="2" t="s">
        <v>573</v>
      </c>
      <c r="D1339" s="2" t="str">
        <f t="shared" si="19"/>
        <v>Error?</v>
      </c>
    </row>
    <row r="1340" spans="1:4" x14ac:dyDescent="0.2">
      <c r="A1340" s="5">
        <v>1279</v>
      </c>
      <c r="B1340" s="138">
        <f>'Expenditures 15-22'!C210</f>
        <v>300476</v>
      </c>
      <c r="C1340" s="2" t="s">
        <v>573</v>
      </c>
      <c r="D1340" s="2" t="str">
        <f t="shared" si="19"/>
        <v>Error?</v>
      </c>
    </row>
    <row r="1341" spans="1:4" x14ac:dyDescent="0.2">
      <c r="A1341" s="5">
        <v>1280</v>
      </c>
      <c r="B1341" s="138">
        <f>'Expenditures 15-22'!D182</f>
        <v>20002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20002</v>
      </c>
      <c r="C1345" s="2" t="s">
        <v>573</v>
      </c>
      <c r="D1345" s="2" t="str">
        <f t="shared" si="20"/>
        <v>Error?</v>
      </c>
    </row>
    <row r="1346" spans="1:4" x14ac:dyDescent="0.2">
      <c r="A1346" s="5">
        <v>1285</v>
      </c>
      <c r="B1346" s="138">
        <f>'Expenditures 15-22'!D210</f>
        <v>20002</v>
      </c>
      <c r="C1346" s="2" t="s">
        <v>573</v>
      </c>
      <c r="D1346" s="2" t="str">
        <f t="shared" si="20"/>
        <v>Error?</v>
      </c>
    </row>
    <row r="1347" spans="1:4" x14ac:dyDescent="0.2">
      <c r="A1347" s="5">
        <v>1286</v>
      </c>
      <c r="B1347" s="138">
        <f>'Expenditures 15-22'!E182</f>
        <v>174122</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174122</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174122</v>
      </c>
      <c r="C1353" s="2" t="s">
        <v>573</v>
      </c>
      <c r="D1353" s="2" t="str">
        <f t="shared" si="20"/>
        <v>Error?</v>
      </c>
    </row>
    <row r="1354" spans="1:4" x14ac:dyDescent="0.2">
      <c r="A1354" s="5">
        <v>1293</v>
      </c>
      <c r="B1354" s="138">
        <f>'Expenditures 15-22'!F182</f>
        <v>63828</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63828</v>
      </c>
      <c r="C1358" s="2" t="s">
        <v>573</v>
      </c>
      <c r="D1358" s="2" t="str">
        <f t="shared" si="20"/>
        <v>Error?</v>
      </c>
    </row>
    <row r="1359" spans="1:4" x14ac:dyDescent="0.2">
      <c r="A1359" s="5">
        <v>1298</v>
      </c>
      <c r="B1359" s="138">
        <f>'Expenditures 15-22'!F210</f>
        <v>63828</v>
      </c>
      <c r="C1359" s="2" t="s">
        <v>573</v>
      </c>
      <c r="D1359" s="2" t="str">
        <f t="shared" si="20"/>
        <v>Error?</v>
      </c>
    </row>
    <row r="1360" spans="1:4" x14ac:dyDescent="0.2">
      <c r="A1360" s="5">
        <v>1299</v>
      </c>
      <c r="B1360" s="138">
        <f>'Expenditures 15-22'!G182</f>
        <v>189780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189780</v>
      </c>
      <c r="C1364" s="2" t="s">
        <v>573</v>
      </c>
      <c r="D1364" s="2" t="str">
        <f t="shared" si="20"/>
        <v>Error?</v>
      </c>
    </row>
    <row r="1365" spans="1:4" x14ac:dyDescent="0.2">
      <c r="A1365" s="5">
        <v>1304</v>
      </c>
      <c r="B1365" s="138">
        <f>'Expenditures 15-22'!G210</f>
        <v>189780</v>
      </c>
      <c r="C1365" s="2" t="s">
        <v>573</v>
      </c>
      <c r="D1365" s="2" t="str">
        <f t="shared" si="20"/>
        <v>Error?</v>
      </c>
    </row>
    <row r="1366" spans="1:4" x14ac:dyDescent="0.2">
      <c r="A1366" s="5">
        <v>1305</v>
      </c>
      <c r="B1366" s="138">
        <f>'Expenditures 15-22'!H182</f>
        <v>5901</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5901</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5901</v>
      </c>
      <c r="C1376" s="2" t="s">
        <v>573</v>
      </c>
      <c r="D1376" s="2" t="str">
        <f t="shared" si="20"/>
        <v>Error?</v>
      </c>
    </row>
    <row r="1377" spans="1:4" x14ac:dyDescent="0.2">
      <c r="A1377" s="5">
        <v>1316</v>
      </c>
      <c r="B1377" s="138">
        <f>'Expenditures 15-22'!K182</f>
        <v>754109</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754109</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754109</v>
      </c>
      <c r="C1388" s="2" t="s">
        <v>573</v>
      </c>
      <c r="D1388" s="2" t="str">
        <f t="shared" si="20"/>
        <v>Error?</v>
      </c>
    </row>
    <row r="1389" spans="1:4" x14ac:dyDescent="0.2">
      <c r="A1389" s="5">
        <v>1328</v>
      </c>
      <c r="B1389" s="138">
        <f>'Expenditures 15-22'!K211</f>
        <v>-91995</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23</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845</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2815</v>
      </c>
      <c r="D1408" s="2" t="str">
        <f t="shared" si="21"/>
        <v>Error?</v>
      </c>
    </row>
    <row r="1409" spans="1:4" x14ac:dyDescent="0.2">
      <c r="A1409" s="5">
        <v>1348</v>
      </c>
      <c r="B1409" s="138">
        <f>'Expenditures 15-22'!D224</f>
        <v>1191</v>
      </c>
      <c r="D1409" s="2" t="str">
        <f t="shared" si="21"/>
        <v>Error?</v>
      </c>
    </row>
    <row r="1410" spans="1:4" x14ac:dyDescent="0.2">
      <c r="A1410" s="5">
        <v>1349</v>
      </c>
      <c r="B1410" s="138">
        <f>'Expenditures 15-22'!D229</f>
        <v>175503</v>
      </c>
      <c r="C1410" s="2" t="s">
        <v>573</v>
      </c>
      <c r="D1410" s="2" t="str">
        <f t="shared" si="21"/>
        <v>Error?</v>
      </c>
    </row>
    <row r="1411" spans="1:4" x14ac:dyDescent="0.2">
      <c r="A1411" s="5">
        <v>1350</v>
      </c>
      <c r="B1411" s="138">
        <f>'Expenditures 15-22'!D232</f>
        <v>3224</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5108</v>
      </c>
      <c r="D1413" s="2" t="str">
        <f t="shared" si="21"/>
        <v>Error?</v>
      </c>
    </row>
    <row r="1414" spans="1:4" x14ac:dyDescent="0.2">
      <c r="A1414" s="5">
        <v>1353</v>
      </c>
      <c r="B1414" s="138">
        <f>'Expenditures 15-22'!D235</f>
        <v>1625</v>
      </c>
      <c r="D1414" s="2" t="str">
        <f t="shared" si="21"/>
        <v>Error?</v>
      </c>
    </row>
    <row r="1415" spans="1:4" x14ac:dyDescent="0.2">
      <c r="A1415" s="5">
        <v>1354</v>
      </c>
      <c r="B1415" s="138">
        <f>'Expenditures 15-22'!D236</f>
        <v>2418</v>
      </c>
      <c r="D1415" s="2" t="str">
        <f t="shared" si="21"/>
        <v>Error?</v>
      </c>
    </row>
    <row r="1416" spans="1:4" x14ac:dyDescent="0.2">
      <c r="A1416" s="5">
        <v>1355</v>
      </c>
      <c r="B1416" s="138">
        <f>'Expenditures 15-22'!D237</f>
        <v>220</v>
      </c>
      <c r="D1416" s="2" t="str">
        <f t="shared" si="21"/>
        <v>Error?</v>
      </c>
    </row>
    <row r="1417" spans="1:4" x14ac:dyDescent="0.2">
      <c r="A1417" s="5">
        <v>1356</v>
      </c>
      <c r="B1417" s="138">
        <f>'Expenditures 15-22'!D238</f>
        <v>12595</v>
      </c>
      <c r="C1417" s="2" t="s">
        <v>573</v>
      </c>
      <c r="D1417" s="2" t="str">
        <f t="shared" si="21"/>
        <v>Error?</v>
      </c>
    </row>
    <row r="1418" spans="1:4" x14ac:dyDescent="0.2">
      <c r="A1418" s="5">
        <v>1357</v>
      </c>
      <c r="B1418" s="138">
        <f>'Expenditures 15-22'!D240</f>
        <v>1368</v>
      </c>
      <c r="D1418" s="2" t="str">
        <f t="shared" si="21"/>
        <v>Error?</v>
      </c>
    </row>
    <row r="1419" spans="1:4" x14ac:dyDescent="0.2">
      <c r="A1419" s="5">
        <v>1358</v>
      </c>
      <c r="B1419" s="138">
        <f>'Expenditures 15-22'!D241</f>
        <v>30903</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32271</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14333</v>
      </c>
      <c r="D1423" s="2" t="str">
        <f t="shared" si="21"/>
        <v>Error?</v>
      </c>
    </row>
    <row r="1424" spans="1:4" x14ac:dyDescent="0.2">
      <c r="A1424" s="5">
        <v>1363</v>
      </c>
      <c r="B1424" s="138">
        <f>'Expenditures 15-22'!D257</f>
        <v>14333</v>
      </c>
      <c r="C1424" s="2" t="s">
        <v>573</v>
      </c>
      <c r="D1424" s="2" t="str">
        <f t="shared" si="21"/>
        <v>Error?</v>
      </c>
    </row>
    <row r="1425" spans="1:4" x14ac:dyDescent="0.2">
      <c r="A1425" s="5">
        <v>1364</v>
      </c>
      <c r="B1425" s="138">
        <f>'Expenditures 15-22'!D259</f>
        <v>36282</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36282</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25807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55187</v>
      </c>
      <c r="D1431" s="2" t="str">
        <f t="shared" si="21"/>
        <v>Error?</v>
      </c>
    </row>
    <row r="1432" spans="1:4" x14ac:dyDescent="0.2">
      <c r="A1432" s="5">
        <v>1371</v>
      </c>
      <c r="B1432" s="138">
        <f>'Expenditures 15-22'!D267</f>
        <v>53291</v>
      </c>
      <c r="D1432" s="2" t="str">
        <f t="shared" si="21"/>
        <v>Error?</v>
      </c>
    </row>
    <row r="1433" spans="1:4" x14ac:dyDescent="0.2">
      <c r="A1433" s="5">
        <v>1372</v>
      </c>
      <c r="B1433" s="138">
        <f>'Expenditures 15-22'!D268</f>
        <v>5524</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139809</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235290</v>
      </c>
      <c r="C1446" s="2" t="s">
        <v>573</v>
      </c>
      <c r="D1446" s="2" t="str">
        <f t="shared" si="21"/>
        <v>Error?</v>
      </c>
    </row>
    <row r="1447" spans="1:4" x14ac:dyDescent="0.2">
      <c r="A1447" s="5">
        <v>1386</v>
      </c>
      <c r="B1447" s="138">
        <f>'Expenditures 15-22'!D280</f>
        <v>35355</v>
      </c>
      <c r="D1447" s="2" t="str">
        <f t="shared" si="21"/>
        <v>Error?</v>
      </c>
    </row>
    <row r="1448" spans="1:4" x14ac:dyDescent="0.2">
      <c r="A1448" s="5">
        <v>1387</v>
      </c>
      <c r="B1448" s="138">
        <f>'Expenditures 15-22'!D295</f>
        <v>446148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23</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845</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2815</v>
      </c>
      <c r="C1472" s="2" t="s">
        <v>573</v>
      </c>
      <c r="D1472" s="2" t="str">
        <f t="shared" si="22"/>
        <v>Error?</v>
      </c>
    </row>
    <row r="1473" spans="1:4" x14ac:dyDescent="0.2">
      <c r="A1473" s="5">
        <v>1412</v>
      </c>
      <c r="B1473" s="138">
        <f>'Expenditures 15-22'!K224</f>
        <v>1191</v>
      </c>
      <c r="C1473" s="2" t="s">
        <v>573</v>
      </c>
      <c r="D1473" s="2" t="str">
        <f t="shared" si="22"/>
        <v>Error?</v>
      </c>
    </row>
    <row r="1474" spans="1:4" x14ac:dyDescent="0.2">
      <c r="A1474" s="5">
        <v>1413</v>
      </c>
      <c r="B1474" s="138">
        <f>'Expenditures 15-22'!K229</f>
        <v>175503</v>
      </c>
      <c r="C1474" s="2" t="s">
        <v>573</v>
      </c>
      <c r="D1474" s="2" t="str">
        <f t="shared" si="22"/>
        <v>Error?</v>
      </c>
    </row>
    <row r="1475" spans="1:4" x14ac:dyDescent="0.2">
      <c r="A1475" s="5">
        <v>1414</v>
      </c>
      <c r="B1475" s="138">
        <f>'Expenditures 15-22'!K232</f>
        <v>3224</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5108</v>
      </c>
      <c r="C1477" s="2" t="s">
        <v>573</v>
      </c>
      <c r="D1477" s="2" t="str">
        <f t="shared" si="22"/>
        <v>Error?</v>
      </c>
    </row>
    <row r="1478" spans="1:4" x14ac:dyDescent="0.2">
      <c r="A1478" s="5">
        <v>1417</v>
      </c>
      <c r="B1478" s="138">
        <f>'Expenditures 15-22'!K235</f>
        <v>1625</v>
      </c>
      <c r="C1478" s="2" t="s">
        <v>573</v>
      </c>
      <c r="D1478" s="2" t="str">
        <f t="shared" si="22"/>
        <v>Error?</v>
      </c>
    </row>
    <row r="1479" spans="1:4" x14ac:dyDescent="0.2">
      <c r="A1479" s="5">
        <v>1418</v>
      </c>
      <c r="B1479" s="138">
        <f>'Expenditures 15-22'!K236</f>
        <v>2418</v>
      </c>
      <c r="C1479" s="2" t="s">
        <v>573</v>
      </c>
      <c r="D1479" s="2" t="str">
        <f t="shared" si="22"/>
        <v>Error?</v>
      </c>
    </row>
    <row r="1480" spans="1:4" x14ac:dyDescent="0.2">
      <c r="A1480" s="5">
        <v>1419</v>
      </c>
      <c r="B1480" s="138">
        <f>'Expenditures 15-22'!K237</f>
        <v>220</v>
      </c>
      <c r="C1480" s="2" t="s">
        <v>573</v>
      </c>
      <c r="D1480" s="2" t="str">
        <f t="shared" si="22"/>
        <v>Error?</v>
      </c>
    </row>
    <row r="1481" spans="1:4" x14ac:dyDescent="0.2">
      <c r="A1481" s="5">
        <v>1420</v>
      </c>
      <c r="B1481" s="138">
        <f>'Expenditures 15-22'!K238</f>
        <v>12595</v>
      </c>
      <c r="C1481" s="2" t="s">
        <v>573</v>
      </c>
      <c r="D1481" s="2" t="str">
        <f t="shared" si="22"/>
        <v>Error?</v>
      </c>
    </row>
    <row r="1482" spans="1:4" x14ac:dyDescent="0.2">
      <c r="A1482" s="5">
        <v>1421</v>
      </c>
      <c r="B1482" s="138">
        <f>'Expenditures 15-22'!K240</f>
        <v>1368</v>
      </c>
      <c r="C1482" s="2" t="s">
        <v>573</v>
      </c>
      <c r="D1482" s="2" t="str">
        <f t="shared" si="22"/>
        <v>Error?</v>
      </c>
    </row>
    <row r="1483" spans="1:4" x14ac:dyDescent="0.2">
      <c r="A1483" s="5">
        <v>1422</v>
      </c>
      <c r="B1483" s="138">
        <f>'Expenditures 15-22'!K241</f>
        <v>30903</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32271</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14333</v>
      </c>
      <c r="C1487" s="2" t="s">
        <v>573</v>
      </c>
      <c r="D1487" s="2" t="str">
        <f t="shared" si="22"/>
        <v>Error?</v>
      </c>
    </row>
    <row r="1488" spans="1:4" x14ac:dyDescent="0.2">
      <c r="A1488" s="5">
        <v>1427</v>
      </c>
      <c r="B1488" s="138">
        <f>'Expenditures 15-22'!K257</f>
        <v>14333</v>
      </c>
      <c r="C1488" s="2" t="s">
        <v>573</v>
      </c>
      <c r="D1488" s="2" t="str">
        <f t="shared" si="22"/>
        <v>Error?</v>
      </c>
    </row>
    <row r="1489" spans="1:4" x14ac:dyDescent="0.2">
      <c r="A1489" s="5">
        <v>1428</v>
      </c>
      <c r="B1489" s="138">
        <f>'Expenditures 15-22'!K259</f>
        <v>36282</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36282</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25807</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55187</v>
      </c>
      <c r="C1495" s="2" t="s">
        <v>573</v>
      </c>
      <c r="D1495" s="2" t="str">
        <f t="shared" si="22"/>
        <v>Error?</v>
      </c>
    </row>
    <row r="1496" spans="1:4" x14ac:dyDescent="0.2">
      <c r="A1496" s="5">
        <v>1435</v>
      </c>
      <c r="B1496" s="138">
        <f>'Expenditures 15-22'!K267</f>
        <v>53291</v>
      </c>
      <c r="C1496" s="2" t="s">
        <v>573</v>
      </c>
      <c r="D1496" s="2" t="str">
        <f t="shared" si="22"/>
        <v>Error?</v>
      </c>
    </row>
    <row r="1497" spans="1:4" x14ac:dyDescent="0.2">
      <c r="A1497" s="5">
        <v>1436</v>
      </c>
      <c r="B1497" s="138">
        <f>'Expenditures 15-22'!K268</f>
        <v>5524</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139809</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235290</v>
      </c>
      <c r="C1510" s="2" t="s">
        <v>573</v>
      </c>
      <c r="D1510" s="2" t="str">
        <f t="shared" si="22"/>
        <v>Error?</v>
      </c>
    </row>
    <row r="1511" spans="1:4" x14ac:dyDescent="0.2">
      <c r="A1511" s="5">
        <v>1450</v>
      </c>
      <c r="B1511" s="138">
        <f>'Expenditures 15-22'!K280</f>
        <v>35355</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446148</v>
      </c>
      <c r="C1517" s="2" t="s">
        <v>573</v>
      </c>
      <c r="D1517" s="2" t="str">
        <f t="shared" si="22"/>
        <v>Error?</v>
      </c>
    </row>
    <row r="1518" spans="1:4" x14ac:dyDescent="0.2">
      <c r="A1518" s="5">
        <v>1457</v>
      </c>
      <c r="B1518" s="138">
        <f>'Expenditures 15-22'!K296</f>
        <v>38681</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7418969</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7418969</v>
      </c>
      <c r="C1535" s="2" t="s">
        <v>573</v>
      </c>
      <c r="D1535" s="2" t="str">
        <f t="shared" ref="D1535:D1598" si="23">IF(ISBLANK(B1535),"OK",IF(A1535-B1535=0,"OK","Error?"))</f>
        <v>Error?</v>
      </c>
    </row>
    <row r="1536" spans="1:4" x14ac:dyDescent="0.2">
      <c r="A1536" s="5">
        <v>1475</v>
      </c>
      <c r="B1536" s="138">
        <f>'Expenditures 15-22'!E312</f>
        <v>7418969</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89264</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89264</v>
      </c>
      <c r="C1547" s="2" t="s">
        <v>573</v>
      </c>
      <c r="D1547" s="2" t="str">
        <f t="shared" si="23"/>
        <v>Error?</v>
      </c>
    </row>
    <row r="1548" spans="1:4" x14ac:dyDescent="0.2">
      <c r="A1548" s="5">
        <v>1487</v>
      </c>
      <c r="B1548" s="138">
        <f>'Expenditures 15-22'!G312</f>
        <v>89264</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7508233</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7508233</v>
      </c>
      <c r="C1559" s="2" t="s">
        <v>573</v>
      </c>
      <c r="D1559" s="2" t="str">
        <f t="shared" si="23"/>
        <v>Error?</v>
      </c>
    </row>
    <row r="1560" spans="1:4" x14ac:dyDescent="0.2">
      <c r="A1560" s="5">
        <v>1499</v>
      </c>
      <c r="B1560" s="138">
        <f>'Expenditures 15-22'!K312</f>
        <v>7508233</v>
      </c>
      <c r="C1560" s="2" t="s">
        <v>573</v>
      </c>
      <c r="D1560" s="2" t="str">
        <f t="shared" si="23"/>
        <v>Error?</v>
      </c>
    </row>
    <row r="1561" spans="1:4" x14ac:dyDescent="0.2">
      <c r="A1561" s="5">
        <v>1500</v>
      </c>
      <c r="B1561" s="138">
        <f>'Expenditures 15-22'!K313</f>
        <v>-7379554</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4369290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4091330</v>
      </c>
      <c r="C1630" s="2" t="s">
        <v>573</v>
      </c>
      <c r="D1630" s="2" t="str">
        <f t="shared" si="24"/>
        <v>Error?</v>
      </c>
    </row>
    <row r="1631" spans="1:4" x14ac:dyDescent="0.2">
      <c r="A1631" s="5">
        <v>1570</v>
      </c>
      <c r="B1631" s="138">
        <f>'Acct Summary 7-8'!D79</f>
        <v>1288295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1084012</v>
      </c>
      <c r="C1644" s="2" t="s">
        <v>573</v>
      </c>
      <c r="D1644" s="2" t="str">
        <f t="shared" si="24"/>
        <v>Error?</v>
      </c>
    </row>
    <row r="1645" spans="1:4" x14ac:dyDescent="0.2">
      <c r="A1645" s="5">
        <v>1584</v>
      </c>
      <c r="B1645" s="138">
        <f>'Acct Summary 7-8'!E79</f>
        <v>475858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337609</v>
      </c>
      <c r="C1658" s="2" t="s">
        <v>573</v>
      </c>
      <c r="D1658" s="2" t="str">
        <f t="shared" si="24"/>
        <v>Error?</v>
      </c>
    </row>
    <row r="1659" spans="1:4" x14ac:dyDescent="0.2">
      <c r="A1659" s="5">
        <v>1598</v>
      </c>
      <c r="B1659" s="138">
        <f>'Acct Summary 7-8'!F79</f>
        <v>147022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54512</v>
      </c>
      <c r="C1672" s="2" t="s">
        <v>573</v>
      </c>
      <c r="D1672" s="2" t="str">
        <f t="shared" si="25"/>
        <v>Error?</v>
      </c>
    </row>
    <row r="1673" spans="1:4" x14ac:dyDescent="0.2">
      <c r="A1673" s="5">
        <v>1612</v>
      </c>
      <c r="B1673" s="138">
        <f>'Acct Summary 7-8'!G79</f>
        <v>17499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56180</v>
      </c>
      <c r="C1686" s="2" t="s">
        <v>573</v>
      </c>
      <c r="D1686" s="2" t="str">
        <f t="shared" si="25"/>
        <v>Error?</v>
      </c>
    </row>
    <row r="1687" spans="1:4" x14ac:dyDescent="0.2">
      <c r="A1687" s="5">
        <v>1626</v>
      </c>
      <c r="B1687" s="138">
        <f>'Acct Summary 7-8'!H79</f>
        <v>2897937</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4732357</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9690213</v>
      </c>
      <c r="C1744" s="2" t="s">
        <v>573</v>
      </c>
      <c r="D1744" s="2" t="str">
        <f t="shared" si="26"/>
        <v>Error?</v>
      </c>
    </row>
    <row r="1745" spans="1:5" x14ac:dyDescent="0.2">
      <c r="A1745" s="5">
        <v>1684</v>
      </c>
      <c r="B1745" s="138">
        <f>'Tax Sched 23'!B5</f>
        <v>921284</v>
      </c>
      <c r="C1745" s="2" t="s">
        <v>573</v>
      </c>
      <c r="D1745" s="2" t="str">
        <f t="shared" si="26"/>
        <v>Error?</v>
      </c>
    </row>
    <row r="1746" spans="1:5" x14ac:dyDescent="0.2">
      <c r="A1746" s="5">
        <v>1685</v>
      </c>
      <c r="B1746" s="138">
        <f>'Tax Sched 23'!B6</f>
        <v>815573</v>
      </c>
      <c r="C1746" s="2" t="s">
        <v>573</v>
      </c>
      <c r="D1746" s="2" t="str">
        <f t="shared" si="26"/>
        <v>Error?</v>
      </c>
    </row>
    <row r="1747" spans="1:5" x14ac:dyDescent="0.2">
      <c r="A1747" s="5">
        <v>1686</v>
      </c>
      <c r="B1747" s="138">
        <f>'Tax Sched 23'!B7</f>
        <v>568979</v>
      </c>
      <c r="C1747" s="2" t="s">
        <v>573</v>
      </c>
      <c r="D1747" s="2" t="str">
        <f t="shared" si="26"/>
        <v>Error?</v>
      </c>
    </row>
    <row r="1748" spans="1:5" x14ac:dyDescent="0.2">
      <c r="A1748" s="5">
        <v>1687</v>
      </c>
      <c r="B1748" s="138">
        <f>'Tax Sched 23'!B8</f>
        <v>484104</v>
      </c>
      <c r="C1748" s="2" t="s">
        <v>573</v>
      </c>
      <c r="D1748" s="2" t="str">
        <f t="shared" si="26"/>
        <v>Error?</v>
      </c>
    </row>
    <row r="1749" spans="1:5" x14ac:dyDescent="0.2">
      <c r="A1749" s="5">
        <v>1688</v>
      </c>
      <c r="B1749" s="138">
        <f>'Tax Sched 23'!B10</f>
        <v>38564</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12518717</v>
      </c>
      <c r="C1759" s="2" t="s">
        <v>573</v>
      </c>
      <c r="D1759" s="2" t="str">
        <f t="shared" si="26"/>
        <v>Error?</v>
      </c>
    </row>
    <row r="1760" spans="1:5" x14ac:dyDescent="0.2">
      <c r="A1760" s="5">
        <v>1699</v>
      </c>
      <c r="B1760" s="138">
        <f>'Tax Sched 23'!D4</f>
        <v>4581202</v>
      </c>
      <c r="C1760" s="2" t="s">
        <v>573</v>
      </c>
      <c r="D1760" s="2" t="str">
        <f t="shared" si="26"/>
        <v>Error?</v>
      </c>
    </row>
    <row r="1761" spans="1:5" x14ac:dyDescent="0.2">
      <c r="A1761" s="5">
        <v>1700</v>
      </c>
      <c r="B1761" s="138">
        <f>'Tax Sched 23'!D5</f>
        <v>468397</v>
      </c>
      <c r="C1761" s="2" t="s">
        <v>573</v>
      </c>
      <c r="D1761" s="2" t="str">
        <f t="shared" si="26"/>
        <v>Error?</v>
      </c>
    </row>
    <row r="1762" spans="1:5" s="8" customFormat="1" x14ac:dyDescent="0.2">
      <c r="A1762" s="5">
        <v>1701</v>
      </c>
      <c r="B1762" s="138">
        <f>'Tax Sched 23'!D6</f>
        <v>337958</v>
      </c>
      <c r="C1762" s="2" t="s">
        <v>573</v>
      </c>
      <c r="D1762" s="2" t="str">
        <f t="shared" si="26"/>
        <v>Error?</v>
      </c>
      <c r="E1762" s="9"/>
    </row>
    <row r="1763" spans="1:5" x14ac:dyDescent="0.2">
      <c r="A1763" s="5">
        <v>1702</v>
      </c>
      <c r="B1763" s="138">
        <f>'Tax Sched 23'!D7</f>
        <v>261127</v>
      </c>
      <c r="C1763" s="2" t="s">
        <v>573</v>
      </c>
      <c r="D1763" s="2" t="str">
        <f t="shared" si="26"/>
        <v>Error?</v>
      </c>
    </row>
    <row r="1764" spans="1:5" x14ac:dyDescent="0.2">
      <c r="A1764" s="5">
        <v>1703</v>
      </c>
      <c r="B1764" s="138">
        <f>'Tax Sched 23'!D8</f>
        <v>230887</v>
      </c>
      <c r="C1764" s="2" t="s">
        <v>573</v>
      </c>
      <c r="D1764" s="2" t="str">
        <f t="shared" si="26"/>
        <v>Error?</v>
      </c>
    </row>
    <row r="1765" spans="1:5" x14ac:dyDescent="0.2">
      <c r="A1765" s="5">
        <v>1704</v>
      </c>
      <c r="B1765" s="138">
        <f>'Tax Sched 23'!D10</f>
        <v>18281</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5897852</v>
      </c>
      <c r="C1775" s="2" t="s">
        <v>573</v>
      </c>
      <c r="D1775" s="2" t="str">
        <f t="shared" si="26"/>
        <v>Error?</v>
      </c>
    </row>
    <row r="1776" spans="1:5" x14ac:dyDescent="0.2">
      <c r="A1776" s="5">
        <v>1715</v>
      </c>
      <c r="B1776" s="138">
        <f>'Tax Sched 23'!C4</f>
        <v>5109011</v>
      </c>
      <c r="D1776" s="2" t="str">
        <f t="shared" si="26"/>
        <v>Error?</v>
      </c>
    </row>
    <row r="1777" spans="1:4" x14ac:dyDescent="0.2">
      <c r="A1777" s="5">
        <v>1716</v>
      </c>
      <c r="B1777" s="138">
        <f>'Tax Sched 23'!C5</f>
        <v>452887</v>
      </c>
      <c r="D1777" s="2" t="str">
        <f t="shared" si="26"/>
        <v>Error?</v>
      </c>
    </row>
    <row r="1778" spans="1:4" x14ac:dyDescent="0.2">
      <c r="A1778" s="5">
        <v>1717</v>
      </c>
      <c r="B1778" s="138">
        <f>'Tax Sched 23'!C6</f>
        <v>477615</v>
      </c>
      <c r="D1778" s="2" t="str">
        <f t="shared" si="26"/>
        <v>Error?</v>
      </c>
    </row>
    <row r="1779" spans="1:4" x14ac:dyDescent="0.2">
      <c r="A1779" s="5">
        <v>1718</v>
      </c>
      <c r="B1779" s="138">
        <f>'Tax Sched 23'!C7</f>
        <v>307852</v>
      </c>
      <c r="D1779" s="2" t="str">
        <f t="shared" si="26"/>
        <v>Error?</v>
      </c>
    </row>
    <row r="1780" spans="1:4" x14ac:dyDescent="0.2">
      <c r="A1780" s="5">
        <v>1719</v>
      </c>
      <c r="B1780" s="138">
        <f>'Tax Sched 23'!C8</f>
        <v>253217</v>
      </c>
      <c r="D1780" s="2" t="str">
        <f t="shared" si="26"/>
        <v>Error?</v>
      </c>
    </row>
    <row r="1781" spans="1:4" x14ac:dyDescent="0.2">
      <c r="A1781" s="5">
        <v>1720</v>
      </c>
      <c r="B1781" s="138">
        <f>'Tax Sched 23'!C10</f>
        <v>20283</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6620865</v>
      </c>
      <c r="C1791" s="2" t="s">
        <v>573</v>
      </c>
      <c r="D1791" s="2" t="str">
        <f t="shared" ref="D1791:D1854" si="27">IF(ISBLANK(B1791),"OK",IF(A1791-B1791=0,"OK","Error?"))</f>
        <v>Error?</v>
      </c>
    </row>
    <row r="1792" spans="1:4" x14ac:dyDescent="0.2">
      <c r="A1792" s="5">
        <v>1731</v>
      </c>
      <c r="B1792" s="138">
        <f>'Tax Sched 23'!F4</f>
        <v>4955789.5299999993</v>
      </c>
      <c r="C1792" s="2" t="s">
        <v>573</v>
      </c>
      <c r="D1792" s="2" t="str">
        <f t="shared" si="27"/>
        <v>Error?</v>
      </c>
    </row>
    <row r="1793" spans="1:4" x14ac:dyDescent="0.2">
      <c r="A1793" s="5">
        <v>1732</v>
      </c>
      <c r="B1793" s="138">
        <f>'Tax Sched 23'!F5</f>
        <v>439305</v>
      </c>
      <c r="C1793" s="2" t="s">
        <v>573</v>
      </c>
      <c r="D1793" s="2" t="str">
        <f t="shared" si="27"/>
        <v>Error?</v>
      </c>
    </row>
    <row r="1794" spans="1:4" x14ac:dyDescent="0.2">
      <c r="A1794" s="5">
        <v>1733</v>
      </c>
      <c r="B1794" s="138">
        <f>'Tax Sched 23'!F6</f>
        <v>463292</v>
      </c>
      <c r="C1794" s="2" t="s">
        <v>573</v>
      </c>
      <c r="D1794" s="2" t="str">
        <f t="shared" si="27"/>
        <v>Error?</v>
      </c>
    </row>
    <row r="1795" spans="1:4" x14ac:dyDescent="0.2">
      <c r="A1795" s="5">
        <v>1734</v>
      </c>
      <c r="B1795" s="138">
        <f>'Tax Sched 23'!F7</f>
        <v>298620</v>
      </c>
      <c r="C1795" s="2" t="s">
        <v>573</v>
      </c>
      <c r="D1795" s="2" t="str">
        <f t="shared" si="27"/>
        <v>Error?</v>
      </c>
    </row>
    <row r="1796" spans="1:4" x14ac:dyDescent="0.2">
      <c r="A1796" s="5">
        <v>1735</v>
      </c>
      <c r="B1796" s="138">
        <f>'Tax Sched 23'!F8</f>
        <v>245425</v>
      </c>
      <c r="C1796" s="2" t="s">
        <v>573</v>
      </c>
      <c r="D1796" s="2" t="str">
        <f t="shared" si="27"/>
        <v>Error?</v>
      </c>
    </row>
    <row r="1797" spans="1:4" x14ac:dyDescent="0.2">
      <c r="A1797" s="5">
        <v>1736</v>
      </c>
      <c r="B1797" s="138">
        <f>'Tax Sched 23'!F10</f>
        <v>19674</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6422105.5299999993</v>
      </c>
      <c r="C1807" s="2" t="s">
        <v>573</v>
      </c>
      <c r="D1807" s="2" t="str">
        <f t="shared" si="27"/>
        <v>Error?</v>
      </c>
    </row>
    <row r="1808" spans="1:4" x14ac:dyDescent="0.2">
      <c r="A1808" s="5">
        <v>1747</v>
      </c>
      <c r="B1808" s="138">
        <f>'Tax Sched 23'!E4</f>
        <v>10064800.529999999</v>
      </c>
      <c r="D1808" s="2" t="str">
        <f t="shared" si="27"/>
        <v>Error?</v>
      </c>
    </row>
    <row r="1809" spans="1:4" x14ac:dyDescent="0.2">
      <c r="A1809" s="5">
        <v>1748</v>
      </c>
      <c r="B1809" s="138">
        <f>'Tax Sched 23'!E5</f>
        <v>892192</v>
      </c>
      <c r="D1809" s="2" t="str">
        <f t="shared" si="27"/>
        <v>Error?</v>
      </c>
    </row>
    <row r="1810" spans="1:4" x14ac:dyDescent="0.2">
      <c r="A1810" s="5">
        <v>1749</v>
      </c>
      <c r="B1810" s="138">
        <f>'Tax Sched 23'!E6</f>
        <v>940907</v>
      </c>
      <c r="D1810" s="2" t="str">
        <f t="shared" si="27"/>
        <v>Error?</v>
      </c>
    </row>
    <row r="1811" spans="1:4" x14ac:dyDescent="0.2">
      <c r="A1811" s="5">
        <v>1750</v>
      </c>
      <c r="B1811" s="138">
        <f>'Tax Sched 23'!E7</f>
        <v>606472</v>
      </c>
      <c r="D1811" s="2" t="str">
        <f t="shared" si="27"/>
        <v>Error?</v>
      </c>
    </row>
    <row r="1812" spans="1:4" x14ac:dyDescent="0.2">
      <c r="A1812" s="5">
        <v>1751</v>
      </c>
      <c r="B1812" s="138">
        <f>'Tax Sched 23'!E8</f>
        <v>498642</v>
      </c>
      <c r="D1812" s="2" t="str">
        <f t="shared" si="27"/>
        <v>Error?</v>
      </c>
    </row>
    <row r="1813" spans="1:4" x14ac:dyDescent="0.2">
      <c r="A1813" s="5">
        <v>1752</v>
      </c>
      <c r="B1813" s="138">
        <f>'Tax Sched 23'!E10</f>
        <v>39957</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13042970.529999999</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6331070</v>
      </c>
      <c r="C1939" s="2" t="s">
        <v>573</v>
      </c>
      <c r="D1939" s="2" t="str">
        <f t="shared" si="29"/>
        <v>Error?</v>
      </c>
    </row>
    <row r="1940" spans="1:5" x14ac:dyDescent="0.2">
      <c r="A1940" s="5">
        <v>1879</v>
      </c>
      <c r="B1940" s="138">
        <f>'Short-Term Long-Term Debt 24'!F49</f>
        <v>8910000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329076</v>
      </c>
      <c r="D2008" s="2" t="str">
        <f t="shared" si="30"/>
        <v>Error?</v>
      </c>
    </row>
    <row r="2009" spans="1:4" x14ac:dyDescent="0.2">
      <c r="A2009" s="5">
        <v>1948</v>
      </c>
      <c r="B2009" s="138">
        <f>'Cap Outlay Deprec 26'!C8</f>
        <v>16493990</v>
      </c>
      <c r="D2009" s="2" t="str">
        <f t="shared" si="30"/>
        <v>Error?</v>
      </c>
    </row>
    <row r="2010" spans="1:4" x14ac:dyDescent="0.2">
      <c r="A2010" s="5">
        <v>1949</v>
      </c>
      <c r="B2010" s="138">
        <f>'Cap Outlay Deprec 26'!C10</f>
        <v>837175</v>
      </c>
      <c r="D2010" s="2" t="str">
        <f t="shared" si="30"/>
        <v>Error?</v>
      </c>
    </row>
    <row r="2011" spans="1:4" x14ac:dyDescent="0.2">
      <c r="A2011" s="5">
        <v>1950</v>
      </c>
      <c r="B2011" s="138">
        <f>'Cap Outlay Deprec 26'!C12</f>
        <v>5334535</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24221853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8409672</v>
      </c>
      <c r="D2016" s="2" t="str">
        <f t="shared" si="30"/>
        <v>Error?</v>
      </c>
    </row>
    <row r="2017" spans="1:4" x14ac:dyDescent="0.2">
      <c r="A2017" s="5">
        <v>1956</v>
      </c>
      <c r="B2017" s="138">
        <f>'Cap Outlay Deprec 26'!D12</f>
        <v>244613</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8654285</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1227077</v>
      </c>
      <c r="C2025" s="2" t="s">
        <v>573</v>
      </c>
      <c r="D2025" s="2" t="str">
        <f t="shared" si="30"/>
        <v>Error?</v>
      </c>
    </row>
    <row r="2026" spans="1:4" x14ac:dyDescent="0.2">
      <c r="A2026" s="5">
        <v>1965</v>
      </c>
      <c r="B2026" s="138">
        <f>'Cap Outlay Deprec 26'!F5</f>
        <v>329076</v>
      </c>
      <c r="C2026" s="2" t="s">
        <v>573</v>
      </c>
      <c r="D2026" s="2" t="str">
        <f t="shared" si="30"/>
        <v>Error?</v>
      </c>
    </row>
    <row r="2027" spans="1:4" x14ac:dyDescent="0.2">
      <c r="A2027" s="5">
        <v>1966</v>
      </c>
      <c r="B2027" s="138">
        <f>'Cap Outlay Deprec 26'!F8</f>
        <v>16493990</v>
      </c>
      <c r="C2027" s="2" t="s">
        <v>573</v>
      </c>
      <c r="D2027" s="2" t="str">
        <f t="shared" si="30"/>
        <v>Error?</v>
      </c>
    </row>
    <row r="2028" spans="1:4" x14ac:dyDescent="0.2">
      <c r="A2028" s="5">
        <v>1967</v>
      </c>
      <c r="B2028" s="138">
        <f>'Cap Outlay Deprec 26'!F10</f>
        <v>9246847</v>
      </c>
      <c r="C2028" s="2" t="s">
        <v>573</v>
      </c>
      <c r="D2028" s="2" t="str">
        <f t="shared" si="30"/>
        <v>Error?</v>
      </c>
    </row>
    <row r="2029" spans="1:4" x14ac:dyDescent="0.2">
      <c r="A2029" s="5">
        <v>1968</v>
      </c>
      <c r="B2029" s="138">
        <f>'Cap Outlay Deprec 26'!F12</f>
        <v>5579148</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31649061</v>
      </c>
      <c r="C2031" s="2" t="s">
        <v>573</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0</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0</v>
      </c>
      <c r="C2037" s="2" t="s">
        <v>573</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0</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0</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0</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0</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0</v>
      </c>
      <c r="C2055" s="2" t="s">
        <v>573</v>
      </c>
      <c r="D2055" s="2" t="str">
        <f t="shared" si="31"/>
        <v>Error?</v>
      </c>
    </row>
    <row r="2056" spans="1:4" x14ac:dyDescent="0.2">
      <c r="A2056" s="5">
        <v>1995</v>
      </c>
      <c r="B2056" s="138">
        <f>'Cap Outlay Deprec 26'!L5</f>
        <v>329076</v>
      </c>
      <c r="C2056" s="2" t="s">
        <v>573</v>
      </c>
      <c r="D2056" s="2" t="str">
        <f t="shared" si="31"/>
        <v>Error?</v>
      </c>
    </row>
    <row r="2057" spans="1:4" x14ac:dyDescent="0.2">
      <c r="A2057" s="5">
        <v>1996</v>
      </c>
      <c r="B2057" s="138">
        <f>'Cap Outlay Deprec 26'!L8</f>
        <v>16493990</v>
      </c>
      <c r="C2057" s="2" t="s">
        <v>573</v>
      </c>
      <c r="D2057" s="2" t="str">
        <f t="shared" si="31"/>
        <v>Error?</v>
      </c>
    </row>
    <row r="2058" spans="1:4" x14ac:dyDescent="0.2">
      <c r="A2058" s="5">
        <v>1997</v>
      </c>
      <c r="B2058" s="138">
        <f>'Cap Outlay Deprec 26'!L10</f>
        <v>9246847</v>
      </c>
      <c r="C2058" s="2" t="s">
        <v>573</v>
      </c>
      <c r="D2058" s="2" t="str">
        <f t="shared" si="31"/>
        <v>Error?</v>
      </c>
    </row>
    <row r="2059" spans="1:4" x14ac:dyDescent="0.2">
      <c r="A2059" s="5">
        <v>1998</v>
      </c>
      <c r="B2059" s="138">
        <f>'Cap Outlay Deprec 26'!L12</f>
        <v>5579148</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31649061</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525959</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525959</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260330</v>
      </c>
      <c r="C2105" s="2" t="s">
        <v>573</v>
      </c>
      <c r="D2105" s="2" t="str">
        <f t="shared" si="31"/>
        <v>Error?</v>
      </c>
    </row>
    <row r="2106" spans="1:4" x14ac:dyDescent="0.2">
      <c r="A2106" s="5">
        <v>2045</v>
      </c>
      <c r="B2106" s="138">
        <f>'Acct Summary 7-8'!I48</f>
        <v>41182</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1084012</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54512</v>
      </c>
      <c r="D2475" s="2" t="str">
        <f t="shared" si="37"/>
        <v>Error?</v>
      </c>
    </row>
    <row r="2476" spans="1:4" x14ac:dyDescent="0.2">
      <c r="A2476" s="10">
        <v>2415</v>
      </c>
      <c r="D2476" s="2" t="str">
        <f t="shared" si="37"/>
        <v>OK</v>
      </c>
    </row>
    <row r="2477" spans="1:4" x14ac:dyDescent="0.2">
      <c r="A2477" s="5">
        <v>2416</v>
      </c>
      <c r="B2477" s="138">
        <f>'Assets-Liab 5-6'!G38</f>
        <v>56180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337609</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4732357</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10545118</v>
      </c>
      <c r="C2551" s="2" t="s">
        <v>573</v>
      </c>
      <c r="D2551" s="2" t="str">
        <f t="shared" si="38"/>
        <v>Error?</v>
      </c>
    </row>
    <row r="2552" spans="1:4" x14ac:dyDescent="0.2">
      <c r="A2552" s="10">
        <v>2491</v>
      </c>
      <c r="D2552" s="2" t="str">
        <f t="shared" si="38"/>
        <v>OK</v>
      </c>
    </row>
    <row r="2553" spans="1:4" x14ac:dyDescent="0.2">
      <c r="A2553" s="5">
        <v>2492</v>
      </c>
      <c r="B2553" s="138">
        <f>'Acct Summary 7-8'!C6</f>
        <v>752908</v>
      </c>
      <c r="C2553" s="2" t="s">
        <v>573</v>
      </c>
      <c r="D2553" s="2" t="str">
        <f t="shared" si="38"/>
        <v>Error?</v>
      </c>
    </row>
    <row r="2554" spans="1:4" x14ac:dyDescent="0.2">
      <c r="A2554" s="5">
        <v>2493</v>
      </c>
      <c r="B2554" s="138">
        <f>'Acct Summary 7-8'!C7</f>
        <v>499821</v>
      </c>
      <c r="C2554" s="2" t="s">
        <v>573</v>
      </c>
      <c r="D2554" s="2" t="str">
        <f t="shared" si="38"/>
        <v>Error?</v>
      </c>
    </row>
    <row r="2555" spans="1:4" x14ac:dyDescent="0.2">
      <c r="A2555" s="5">
        <v>2494</v>
      </c>
      <c r="B2555" s="138">
        <f>'Acct Summary 7-8'!C8</f>
        <v>11797847</v>
      </c>
      <c r="C2555" s="2" t="s">
        <v>573</v>
      </c>
      <c r="D2555" s="2" t="str">
        <f t="shared" si="38"/>
        <v>Error?</v>
      </c>
    </row>
    <row r="2556" spans="1:4" x14ac:dyDescent="0.2">
      <c r="A2556" s="5">
        <v>2495</v>
      </c>
      <c r="B2556" s="138">
        <f>'Acct Summary 7-8'!C12</f>
        <v>8152859</v>
      </c>
      <c r="C2556" s="2" t="s">
        <v>573</v>
      </c>
      <c r="D2556" s="2" t="str">
        <f t="shared" si="38"/>
        <v>Error?</v>
      </c>
    </row>
    <row r="2557" spans="1:4" x14ac:dyDescent="0.2">
      <c r="A2557" s="5">
        <v>2496</v>
      </c>
      <c r="B2557" s="138">
        <f>'Acct Summary 7-8'!C13</f>
        <v>3120206</v>
      </c>
      <c r="C2557" s="2" t="s">
        <v>573</v>
      </c>
      <c r="D2557" s="2" t="str">
        <f t="shared" si="38"/>
        <v>Error?</v>
      </c>
    </row>
    <row r="2558" spans="1:4" x14ac:dyDescent="0.2">
      <c r="A2558" s="5">
        <v>2497</v>
      </c>
      <c r="B2558" s="138">
        <f>'Acct Summary 7-8'!C14</f>
        <v>263511</v>
      </c>
      <c r="C2558" s="2" t="s">
        <v>573</v>
      </c>
      <c r="D2558" s="2" t="str">
        <f t="shared" si="38"/>
        <v>Error?</v>
      </c>
    </row>
    <row r="2559" spans="1:4" x14ac:dyDescent="0.2">
      <c r="A2559" s="5">
        <v>2498</v>
      </c>
      <c r="B2559" s="138">
        <f>'Acct Summary 7-8'!C15</f>
        <v>525959</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12062535</v>
      </c>
      <c r="C2561" s="2" t="s">
        <v>573</v>
      </c>
      <c r="D2561" s="2" t="str">
        <f t="shared" si="39"/>
        <v>Error?</v>
      </c>
    </row>
    <row r="2562" spans="1:4" x14ac:dyDescent="0.2">
      <c r="A2562" s="5">
        <v>2501</v>
      </c>
      <c r="B2562" s="138">
        <f>'Acct Summary 7-8'!C20</f>
        <v>-264688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1067397</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1067397</v>
      </c>
      <c r="C2568" s="2" t="s">
        <v>573</v>
      </c>
      <c r="D2568" s="2" t="str">
        <f t="shared" si="39"/>
        <v>Error?</v>
      </c>
    </row>
    <row r="2569" spans="1:4" x14ac:dyDescent="0.2">
      <c r="A2569" s="5">
        <v>2508</v>
      </c>
      <c r="B2569" s="138">
        <f>'Acct Summary 7-8'!D13</f>
        <v>1107097</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1107097</v>
      </c>
      <c r="C2573" s="2" t="s">
        <v>573</v>
      </c>
      <c r="D2573" s="2" t="str">
        <f t="shared" si="39"/>
        <v>Error?</v>
      </c>
    </row>
    <row r="2574" spans="1:4" x14ac:dyDescent="0.2">
      <c r="A2574" s="5">
        <v>2513</v>
      </c>
      <c r="B2574" s="138">
        <f>'Acct Summary 7-8'!D20</f>
        <v>-39700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569494</v>
      </c>
      <c r="C2591" s="2" t="s">
        <v>573</v>
      </c>
      <c r="D2591" s="2" t="str">
        <f t="shared" si="39"/>
        <v>Error?</v>
      </c>
    </row>
    <row r="2592" spans="1:4" x14ac:dyDescent="0.2">
      <c r="A2592" s="10">
        <v>2531</v>
      </c>
      <c r="D2592" s="2" t="str">
        <f t="shared" si="39"/>
        <v>OK</v>
      </c>
    </row>
    <row r="2593" spans="1:4" x14ac:dyDescent="0.2">
      <c r="A2593" s="5">
        <v>2532</v>
      </c>
      <c r="B2593" s="138">
        <f>'Acct Summary 7-8'!F6</f>
        <v>92620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662114</v>
      </c>
      <c r="C2595" s="2" t="s">
        <v>573</v>
      </c>
      <c r="D2595" s="2" t="str">
        <f t="shared" si="39"/>
        <v>Error?</v>
      </c>
    </row>
    <row r="2596" spans="1:4" x14ac:dyDescent="0.2">
      <c r="A2596" s="5">
        <v>2535</v>
      </c>
      <c r="B2596" s="138">
        <f>'Acct Summary 7-8'!F13</f>
        <v>754109</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754109</v>
      </c>
      <c r="C2600" s="2" t="s">
        <v>573</v>
      </c>
      <c r="D2600" s="2" t="str">
        <f t="shared" si="39"/>
        <v>Error?</v>
      </c>
    </row>
    <row r="2601" spans="1:4" x14ac:dyDescent="0.2">
      <c r="A2601" s="5">
        <v>2540</v>
      </c>
      <c r="B2601" s="138">
        <f>'Acct Summary 7-8'!F20</f>
        <v>-91995</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484829</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484829</v>
      </c>
      <c r="C2606" s="2" t="s">
        <v>573</v>
      </c>
      <c r="D2606" s="2" t="str">
        <f t="shared" si="39"/>
        <v>Error?</v>
      </c>
    </row>
    <row r="2607" spans="1:4" x14ac:dyDescent="0.2">
      <c r="A2607" s="5">
        <v>2546</v>
      </c>
      <c r="B2607" s="138">
        <f>'Acct Summary 7-8'!G12</f>
        <v>175503</v>
      </c>
      <c r="C2607" s="2" t="s">
        <v>573</v>
      </c>
      <c r="D2607" s="2" t="str">
        <f t="shared" si="39"/>
        <v>Error?</v>
      </c>
    </row>
    <row r="2608" spans="1:4" x14ac:dyDescent="0.2">
      <c r="A2608" s="5">
        <v>2547</v>
      </c>
      <c r="B2608" s="138">
        <f>'Acct Summary 7-8'!G13</f>
        <v>235290</v>
      </c>
      <c r="C2608" s="2" t="s">
        <v>573</v>
      </c>
      <c r="D2608" s="2" t="str">
        <f t="shared" si="39"/>
        <v>Error?</v>
      </c>
    </row>
    <row r="2609" spans="1:4" x14ac:dyDescent="0.2">
      <c r="A2609" s="5">
        <v>2548</v>
      </c>
      <c r="B2609" s="138">
        <f>'Acct Summary 7-8'!G14</f>
        <v>35355</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446148</v>
      </c>
      <c r="C2612" s="2" t="s">
        <v>573</v>
      </c>
      <c r="D2612" s="2" t="str">
        <f t="shared" si="39"/>
        <v>Error?</v>
      </c>
    </row>
    <row r="2613" spans="1:4" x14ac:dyDescent="0.2">
      <c r="A2613" s="5">
        <v>2552</v>
      </c>
      <c r="B2613" s="138">
        <f>'Acct Summary 7-8'!G20</f>
        <v>38681</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822805</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822805</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1136962</v>
      </c>
      <c r="C2634" s="2" t="s">
        <v>573</v>
      </c>
      <c r="D2634" s="2" t="str">
        <f t="shared" si="40"/>
        <v>Error?</v>
      </c>
    </row>
    <row r="2635" spans="1:4" x14ac:dyDescent="0.2">
      <c r="A2635" s="5">
        <v>2574</v>
      </c>
      <c r="B2635" s="138">
        <f>'Acct Summary 7-8'!E17</f>
        <v>1136962</v>
      </c>
      <c r="C2635" s="2" t="s">
        <v>573</v>
      </c>
      <c r="D2635" s="2" t="str">
        <f t="shared" si="40"/>
        <v>Error?</v>
      </c>
    </row>
    <row r="2636" spans="1:4" x14ac:dyDescent="0.2">
      <c r="A2636" s="5">
        <v>2575</v>
      </c>
      <c r="B2636" s="138">
        <f>'Acct Summary 7-8'!E20</f>
        <v>-314157</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128679</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128679</v>
      </c>
      <c r="C2658" s="2" t="s">
        <v>573</v>
      </c>
      <c r="D2658" s="2" t="str">
        <f t="shared" si="40"/>
        <v>Error?</v>
      </c>
    </row>
    <row r="2659" spans="1:4" x14ac:dyDescent="0.2">
      <c r="A2659" s="5">
        <v>2598</v>
      </c>
      <c r="B2659" s="138">
        <f>'Acct Summary 7-8'!H13</f>
        <v>7508233</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7508233</v>
      </c>
      <c r="C2661" s="2" t="s">
        <v>573</v>
      </c>
      <c r="D2661" s="2" t="str">
        <f t="shared" si="40"/>
        <v>Error?</v>
      </c>
    </row>
    <row r="2662" spans="1:4" x14ac:dyDescent="0.2">
      <c r="A2662" s="5">
        <v>2601</v>
      </c>
      <c r="B2662" s="138">
        <f>'Acct Summary 7-8'!H20</f>
        <v>-7379554</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24690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24175</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515</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1753728</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101887</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1753728</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1753728</v>
      </c>
      <c r="C2913" s="2" t="s">
        <v>573</v>
      </c>
      <c r="D2913" s="2" t="str">
        <f t="shared" si="44"/>
        <v>Error?</v>
      </c>
    </row>
    <row r="2914" spans="1:4" x14ac:dyDescent="0.2">
      <c r="A2914" s="5">
        <v>2853</v>
      </c>
      <c r="B2914" s="138">
        <f>'Assets-Liab 5-6'!L33</f>
        <v>101887</v>
      </c>
      <c r="D2914" s="2" t="str">
        <f t="shared" si="44"/>
        <v>Error?</v>
      </c>
    </row>
    <row r="2915" spans="1:4" x14ac:dyDescent="0.2">
      <c r="A2915" s="10">
        <v>2854</v>
      </c>
      <c r="D2915" s="2" t="str">
        <f t="shared" si="44"/>
        <v>OK</v>
      </c>
    </row>
    <row r="2916" spans="1:4" x14ac:dyDescent="0.2">
      <c r="A2916" s="5">
        <v>2855</v>
      </c>
      <c r="B2916" s="138">
        <f>'Assets-Liab 5-6'!L34</f>
        <v>101887</v>
      </c>
      <c r="C2916" s="2" t="s">
        <v>573</v>
      </c>
      <c r="D2916" s="2" t="str">
        <f t="shared" si="44"/>
        <v>Error?</v>
      </c>
    </row>
    <row r="2917" spans="1:4" x14ac:dyDescent="0.2">
      <c r="A2917" s="5">
        <v>2856</v>
      </c>
      <c r="B2917" s="138">
        <f>'Assets-Liab 5-6'!L41</f>
        <v>101887</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525959</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525959</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79746</v>
      </c>
      <c r="C3225" s="2" t="s">
        <v>573</v>
      </c>
      <c r="D3225" s="2" t="str">
        <f t="shared" si="49"/>
        <v>Error?</v>
      </c>
    </row>
    <row r="3226" spans="1:4" x14ac:dyDescent="0.2">
      <c r="A3226" s="5">
        <v>3165</v>
      </c>
      <c r="B3226" s="138">
        <f>'Acct Summary 7-8'!I8</f>
        <v>79746</v>
      </c>
      <c r="C3226" s="2" t="s">
        <v>573</v>
      </c>
      <c r="D3226" s="2" t="str">
        <f t="shared" si="49"/>
        <v>Error?</v>
      </c>
    </row>
    <row r="3227" spans="1:4" x14ac:dyDescent="0.2">
      <c r="A3227" s="5">
        <v>3166</v>
      </c>
      <c r="B3227" s="138">
        <f>'Acct Summary 7-8'!I20</f>
        <v>79746</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290702</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303974</v>
      </c>
      <c r="C3231" s="2" t="s">
        <v>573</v>
      </c>
      <c r="D3231" s="2" t="str">
        <f t="shared" si="49"/>
        <v>Error?</v>
      </c>
    </row>
    <row r="3232" spans="1:4" x14ac:dyDescent="0.2">
      <c r="A3232" s="5">
        <v>3171</v>
      </c>
      <c r="B3232" s="138">
        <f>'Acct Summary 7-8'!C77</f>
        <v>-13272</v>
      </c>
      <c r="C3232" s="2" t="s">
        <v>573</v>
      </c>
      <c r="D3232" s="2" t="str">
        <f t="shared" si="49"/>
        <v>Error?</v>
      </c>
    </row>
    <row r="3233" spans="1:4" x14ac:dyDescent="0.2">
      <c r="A3233" s="5">
        <v>3172</v>
      </c>
      <c r="B3233" s="138">
        <f>'Acct Summary 7-8'!C78</f>
        <v>-277960</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35500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200083</v>
      </c>
      <c r="C3237" s="2" t="s">
        <v>573</v>
      </c>
      <c r="D3237" s="2" t="str">
        <f t="shared" si="49"/>
        <v>Error?</v>
      </c>
    </row>
    <row r="3238" spans="1:4" x14ac:dyDescent="0.2">
      <c r="A3238" s="5">
        <v>3177</v>
      </c>
      <c r="B3238" s="138">
        <f>'Acct Summary 7-8'!D77</f>
        <v>-164583</v>
      </c>
      <c r="C3238" s="2" t="s">
        <v>573</v>
      </c>
      <c r="D3238" s="2" t="str">
        <f t="shared" si="49"/>
        <v>Error?</v>
      </c>
    </row>
    <row r="3239" spans="1:4" x14ac:dyDescent="0.2">
      <c r="A3239" s="5">
        <v>3178</v>
      </c>
      <c r="B3239" s="138">
        <f>'Acct Summary 7-8'!D78</f>
        <v>-204283</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515</v>
      </c>
      <c r="C3254" s="2" t="s">
        <v>573</v>
      </c>
      <c r="D3254" s="2" t="str">
        <f t="shared" si="49"/>
        <v>Error?</v>
      </c>
    </row>
    <row r="3255" spans="1:4" x14ac:dyDescent="0.2">
      <c r="A3255" s="5">
        <v>3194</v>
      </c>
      <c r="B3255" s="138">
        <f>'Acct Summary 7-8'!F77</f>
        <v>-515</v>
      </c>
      <c r="C3255" s="2" t="s">
        <v>573</v>
      </c>
      <c r="D3255" s="2" t="str">
        <f t="shared" si="49"/>
        <v>Error?</v>
      </c>
    </row>
    <row r="3256" spans="1:4" x14ac:dyDescent="0.2">
      <c r="A3256" s="5">
        <v>3195</v>
      </c>
      <c r="B3256" s="138">
        <f>'Acct Summary 7-8'!F78</f>
        <v>-92510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38681</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175908</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175908</v>
      </c>
      <c r="C3277" s="2" t="s">
        <v>573</v>
      </c>
      <c r="D3277" s="2" t="str">
        <f t="shared" si="50"/>
        <v>Error?</v>
      </c>
    </row>
    <row r="3278" spans="1:4" x14ac:dyDescent="0.2">
      <c r="A3278" s="5">
        <v>3217</v>
      </c>
      <c r="B3278" s="138">
        <f>'Acct Summary 7-8'!E78</f>
        <v>-138249</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9213974</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9213974</v>
      </c>
      <c r="C3299" s="2" t="s">
        <v>573</v>
      </c>
      <c r="D3299" s="2" t="str">
        <f t="shared" si="50"/>
        <v>Error?</v>
      </c>
    </row>
    <row r="3300" spans="1:4" x14ac:dyDescent="0.2">
      <c r="A3300" s="5">
        <v>3239</v>
      </c>
      <c r="B3300" s="138">
        <f>'Acct Summary 7-8'!H78</f>
        <v>1834420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301512</v>
      </c>
      <c r="C3318" s="2" t="s">
        <v>573</v>
      </c>
      <c r="D3318" s="2" t="str">
        <f t="shared" si="50"/>
        <v>Error?</v>
      </c>
    </row>
    <row r="3319" spans="1:4" x14ac:dyDescent="0.2">
      <c r="A3319" s="5">
        <v>3258</v>
      </c>
      <c r="B3319" s="138">
        <f>'Acct Summary 7-8'!I77</f>
        <v>-301512</v>
      </c>
      <c r="C3319" s="2" t="s">
        <v>573</v>
      </c>
      <c r="D3319" s="2" t="str">
        <f t="shared" si="50"/>
        <v>Error?</v>
      </c>
    </row>
    <row r="3320" spans="1:4" x14ac:dyDescent="0.2">
      <c r="A3320" s="5">
        <v>3259</v>
      </c>
      <c r="B3320" s="138">
        <f>'Acct Summary 7-8'!I78</f>
        <v>-221766</v>
      </c>
      <c r="C3320" s="2" t="s">
        <v>573</v>
      </c>
      <c r="D3320" s="2" t="str">
        <f t="shared" si="50"/>
        <v>Error?</v>
      </c>
    </row>
    <row r="3321" spans="1:4" x14ac:dyDescent="0.2">
      <c r="A3321" s="5">
        <v>3260</v>
      </c>
      <c r="B3321" s="138">
        <f>'Acct Summary 7-8'!I79</f>
        <v>1975494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1753728</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1251668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99792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7944</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4144</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887</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1364435</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80427</v>
      </c>
      <c r="D3387" s="2" t="str">
        <f t="shared" si="51"/>
        <v>Error?</v>
      </c>
    </row>
    <row r="3388" spans="1:4" x14ac:dyDescent="0.2">
      <c r="A3388" s="5">
        <v>3327</v>
      </c>
      <c r="B3388" s="138">
        <f>'Expenditures 15-22'!D217</f>
        <v>87258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80427</v>
      </c>
      <c r="C3390" s="2" t="s">
        <v>573</v>
      </c>
      <c r="D3390" s="2" t="str">
        <f t="shared" si="51"/>
        <v>Error?</v>
      </c>
    </row>
    <row r="3391" spans="1:4" x14ac:dyDescent="0.2">
      <c r="A3391" s="5">
        <v>3330</v>
      </c>
      <c r="B3391" s="138">
        <f>'Expenditures 15-22'!K217</f>
        <v>87258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4100444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1084012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337609</v>
      </c>
      <c r="D3417" s="2" t="str">
        <f t="shared" si="52"/>
        <v>Error?</v>
      </c>
    </row>
    <row r="3418" spans="1:4" x14ac:dyDescent="0.2">
      <c r="A3418" s="10">
        <v>3357</v>
      </c>
      <c r="D3418" s="2" t="str">
        <f t="shared" si="52"/>
        <v>OK</v>
      </c>
    </row>
    <row r="3419" spans="1:4" x14ac:dyDescent="0.2">
      <c r="A3419" s="5">
        <v>3358</v>
      </c>
      <c r="B3419" s="138">
        <f>'Assets-Liab 5-6'!F4</f>
        <v>54512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56180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4732357</v>
      </c>
      <c r="D3425" s="2" t="str">
        <f t="shared" si="52"/>
        <v>Error?</v>
      </c>
    </row>
    <row r="3426" spans="1:4" x14ac:dyDescent="0.2">
      <c r="A3426" s="10">
        <v>3365</v>
      </c>
      <c r="D3426" s="2" t="str">
        <f t="shared" si="52"/>
        <v>OK</v>
      </c>
    </row>
    <row r="3427" spans="1:4" x14ac:dyDescent="0.2">
      <c r="A3427" s="5">
        <v>3366</v>
      </c>
      <c r="B3427" s="138">
        <f>'Assets-Liab 5-6'!I4</f>
        <v>1753728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101887</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1227077</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1227077</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5377905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17175752</v>
      </c>
      <c r="C4122" s="2" t="s">
        <v>573</v>
      </c>
      <c r="D4122" s="2" t="str">
        <f t="shared" si="63"/>
        <v>Error?</v>
      </c>
    </row>
    <row r="4123" spans="1:4" x14ac:dyDescent="0.2">
      <c r="A4123" s="5">
        <v>4062</v>
      </c>
      <c r="B4123" s="138">
        <f>'Acct Summary 7-8'!D10</f>
        <v>1067397</v>
      </c>
      <c r="C4123" s="2" t="s">
        <v>573</v>
      </c>
      <c r="D4123" s="2" t="str">
        <f t="shared" si="63"/>
        <v>Error?</v>
      </c>
    </row>
    <row r="4124" spans="1:4" x14ac:dyDescent="0.2">
      <c r="A4124" s="5">
        <v>4063</v>
      </c>
      <c r="B4124" s="138">
        <f>'Acct Summary 7-8'!E10</f>
        <v>822805</v>
      </c>
      <c r="C4124" s="2" t="s">
        <v>573</v>
      </c>
      <c r="D4124" s="2" t="str">
        <f t="shared" si="63"/>
        <v>Error?</v>
      </c>
    </row>
    <row r="4125" spans="1:4" x14ac:dyDescent="0.2">
      <c r="A4125" s="5">
        <v>4064</v>
      </c>
      <c r="B4125" s="138">
        <f>'Acct Summary 7-8'!F10</f>
        <v>662114</v>
      </c>
      <c r="C4125" s="2" t="s">
        <v>573</v>
      </c>
      <c r="D4125" s="2" t="str">
        <f t="shared" si="63"/>
        <v>Error?</v>
      </c>
    </row>
    <row r="4126" spans="1:4" x14ac:dyDescent="0.2">
      <c r="A4126" s="5">
        <v>4065</v>
      </c>
      <c r="B4126" s="138">
        <f>'Acct Summary 7-8'!G10</f>
        <v>484829</v>
      </c>
      <c r="C4126" s="2" t="s">
        <v>573</v>
      </c>
      <c r="D4126" s="2" t="str">
        <f t="shared" si="63"/>
        <v>Error?</v>
      </c>
    </row>
    <row r="4127" spans="1:4" x14ac:dyDescent="0.2">
      <c r="A4127" s="5">
        <v>4066</v>
      </c>
      <c r="B4127" s="138">
        <f>'Acct Summary 7-8'!H10</f>
        <v>128679</v>
      </c>
      <c r="C4127" s="2" t="s">
        <v>573</v>
      </c>
      <c r="D4127" s="2" t="str">
        <f t="shared" si="63"/>
        <v>Error?</v>
      </c>
    </row>
    <row r="4128" spans="1:4" x14ac:dyDescent="0.2">
      <c r="A4128" s="5">
        <v>4067</v>
      </c>
      <c r="B4128" s="138">
        <f>'Acct Summary 7-8'!I10</f>
        <v>79746</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5377905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17440440</v>
      </c>
      <c r="C4136" s="2" t="s">
        <v>573</v>
      </c>
      <c r="D4136" s="2" t="str">
        <f t="shared" si="63"/>
        <v>Error?</v>
      </c>
    </row>
    <row r="4137" spans="1:4" x14ac:dyDescent="0.2">
      <c r="A4137" s="5">
        <v>4076</v>
      </c>
      <c r="B4137" s="138">
        <f>'Acct Summary 7-8'!D19</f>
        <v>1107097</v>
      </c>
      <c r="C4137" s="2" t="s">
        <v>573</v>
      </c>
      <c r="D4137" s="2" t="str">
        <f t="shared" si="63"/>
        <v>Error?</v>
      </c>
    </row>
    <row r="4138" spans="1:4" x14ac:dyDescent="0.2">
      <c r="A4138" s="5">
        <v>4077</v>
      </c>
      <c r="B4138" s="138">
        <f>'Acct Summary 7-8'!E19</f>
        <v>1136962</v>
      </c>
      <c r="C4138" s="2" t="s">
        <v>573</v>
      </c>
      <c r="D4138" s="2" t="str">
        <f t="shared" si="63"/>
        <v>Error?</v>
      </c>
    </row>
    <row r="4139" spans="1:4" x14ac:dyDescent="0.2">
      <c r="A4139" s="5">
        <v>4078</v>
      </c>
      <c r="B4139" s="138">
        <f>'Acct Summary 7-8'!F19</f>
        <v>754109</v>
      </c>
      <c r="C4139" s="2" t="s">
        <v>573</v>
      </c>
      <c r="D4139" s="2" t="str">
        <f t="shared" si="63"/>
        <v>Error?</v>
      </c>
    </row>
    <row r="4140" spans="1:4" x14ac:dyDescent="0.2">
      <c r="A4140" s="5">
        <v>4079</v>
      </c>
      <c r="B4140" s="138">
        <f>'Acct Summary 7-8'!G19</f>
        <v>446148</v>
      </c>
      <c r="C4140" s="2" t="s">
        <v>573</v>
      </c>
      <c r="D4140" s="2" t="str">
        <f t="shared" si="63"/>
        <v>Error?</v>
      </c>
    </row>
    <row r="4141" spans="1:4" x14ac:dyDescent="0.2">
      <c r="A4141" s="5">
        <v>4080</v>
      </c>
      <c r="B4141" s="138">
        <f>'Acct Summary 7-8'!H19</f>
        <v>7508233</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14496362</v>
      </c>
      <c r="C4171" s="2" t="s">
        <v>573</v>
      </c>
      <c r="D4171" s="2" t="str">
        <f t="shared" si="64"/>
        <v>Error?</v>
      </c>
    </row>
    <row r="4172" spans="1:4" x14ac:dyDescent="0.2">
      <c r="A4172" s="5">
        <v>4111</v>
      </c>
      <c r="B4172" s="138">
        <f>'Short-Term Long-Term Debt 24'!J49</f>
        <v>14158753</v>
      </c>
      <c r="C4172" s="2" t="s">
        <v>573</v>
      </c>
      <c r="D4172" s="2" t="str">
        <f t="shared" si="64"/>
        <v>Error?</v>
      </c>
    </row>
    <row r="4173" spans="1:4" x14ac:dyDescent="0.2">
      <c r="A4173" s="5">
        <v>4112</v>
      </c>
      <c r="B4173" s="138">
        <f>'Short-Term Long-Term Debt 24'!H49</f>
        <v>660000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-84708</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1838.8000000000002</v>
      </c>
      <c r="C4265" s="2" t="s">
        <v>573</v>
      </c>
      <c r="D4265" s="2" t="str">
        <f t="shared" si="65"/>
        <v>Error?</v>
      </c>
      <c r="E4265" s="128"/>
    </row>
    <row r="4266" spans="1:5" x14ac:dyDescent="0.2">
      <c r="A4266" s="12">
        <v>4205</v>
      </c>
      <c r="B4266" s="138">
        <f>('FP Info 3'!F10)*100000</f>
        <v>163</v>
      </c>
      <c r="C4266" s="2" t="s">
        <v>573</v>
      </c>
      <c r="D4266" s="2" t="str">
        <f t="shared" si="65"/>
        <v>Error?</v>
      </c>
      <c r="E4266" s="128"/>
    </row>
    <row r="4267" spans="1:5" x14ac:dyDescent="0.2">
      <c r="A4267" s="12">
        <v>4206</v>
      </c>
      <c r="B4267" s="138">
        <f>('FP Info 3'!H10)*100000</f>
        <v>110.80000000000001</v>
      </c>
      <c r="C4267" s="2" t="s">
        <v>573</v>
      </c>
      <c r="D4267" s="2" t="str">
        <f t="shared" si="65"/>
        <v>Error?</v>
      </c>
      <c r="E4267" s="128"/>
    </row>
    <row r="4268" spans="1:5" x14ac:dyDescent="0.2">
      <c r="A4268" s="12">
        <v>4207</v>
      </c>
      <c r="B4268" s="138">
        <f>('FP Info 3'!J10)*100000</f>
        <v>2113</v>
      </c>
      <c r="C4268" s="2" t="s">
        <v>573</v>
      </c>
      <c r="D4268" s="2" t="str">
        <f t="shared" si="65"/>
        <v>Error?</v>
      </c>
    </row>
    <row r="4269" spans="1:5" x14ac:dyDescent="0.2">
      <c r="A4269" s="12">
        <v>4208</v>
      </c>
      <c r="B4269" s="138">
        <f>'FP Info 3'!J16</f>
        <v>6983582</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10579</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9909</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31477</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3136</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15944</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7.3</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547357001</v>
      </c>
      <c r="D4995" s="2" t="str">
        <f t="shared" si="77"/>
        <v>Error?</v>
      </c>
    </row>
    <row r="4996" spans="1:4" x14ac:dyDescent="0.2">
      <c r="A4996" s="12">
        <v>4935</v>
      </c>
      <c r="B4996" s="138">
        <f>'FP Info 3'!H31</f>
        <v>37767633.069000006</v>
      </c>
      <c r="D4996" s="2" t="str">
        <f t="shared" si="77"/>
        <v>Error?</v>
      </c>
    </row>
    <row r="4997" spans="1:4" x14ac:dyDescent="0.2">
      <c r="A4997" s="12">
        <v>4936</v>
      </c>
      <c r="B4997" s="138">
        <f>'FP Info 3'!H37</f>
        <v>14496362</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9690213</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9690213</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84670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84670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29225</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29225</v>
      </c>
      <c r="C5087" s="2" t="s">
        <v>573</v>
      </c>
      <c r="D5087" s="2" t="str">
        <f t="shared" si="78"/>
        <v>Error?</v>
      </c>
    </row>
    <row r="5088" spans="1:4" x14ac:dyDescent="0.2">
      <c r="A5088" s="5">
        <v>5027</v>
      </c>
      <c r="B5088" s="138">
        <f>'Revenues 9-14'!C65</f>
        <v>71111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71111</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117</v>
      </c>
      <c r="D5094" s="2" t="str">
        <f t="shared" si="78"/>
        <v>Error?</v>
      </c>
    </row>
    <row r="5095" spans="1:4" x14ac:dyDescent="0.2">
      <c r="A5095" s="5">
        <v>5034</v>
      </c>
      <c r="B5095" s="138">
        <f>'Revenues 9-14'!C74</f>
        <v>5130</v>
      </c>
      <c r="D5095" s="2" t="str">
        <f t="shared" si="78"/>
        <v>Error?</v>
      </c>
    </row>
    <row r="5096" spans="1:4" x14ac:dyDescent="0.2">
      <c r="A5096" s="5">
        <v>5035</v>
      </c>
      <c r="B5096" s="138">
        <f>'Revenues 9-14'!C75</f>
        <v>159260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-596</v>
      </c>
      <c r="D5101" s="2" t="str">
        <f t="shared" si="78"/>
        <v>Error?</v>
      </c>
    </row>
    <row r="5102" spans="1:4" x14ac:dyDescent="0.2">
      <c r="A5102" s="5">
        <v>5041</v>
      </c>
      <c r="B5102" s="138">
        <f>'Revenues 9-14'!C82</f>
        <v>-596</v>
      </c>
      <c r="C5102" s="2" t="s">
        <v>573</v>
      </c>
      <c r="D5102" s="2" t="str">
        <f t="shared" si="78"/>
        <v>Error?</v>
      </c>
    </row>
    <row r="5103" spans="1:4" x14ac:dyDescent="0.2">
      <c r="A5103" s="5">
        <v>5042</v>
      </c>
      <c r="B5103" s="138">
        <f>'Revenues 9-14'!C84</f>
        <v>36088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77202</v>
      </c>
      <c r="D5111" s="2" t="str">
        <f t="shared" si="78"/>
        <v>Error?</v>
      </c>
    </row>
    <row r="5112" spans="1:4" x14ac:dyDescent="0.2">
      <c r="A5112" s="5">
        <v>5051</v>
      </c>
      <c r="B5112" s="138">
        <f>'Revenues 9-14'!C93</f>
        <v>113290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651</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389962</v>
      </c>
      <c r="D5118" s="2" t="str">
        <f t="shared" si="78"/>
        <v>Error?</v>
      </c>
    </row>
    <row r="5119" spans="1:4" x14ac:dyDescent="0.2">
      <c r="A5119" s="5">
        <v>5058</v>
      </c>
      <c r="B5119" s="138">
        <f>'Revenues 9-14'!C107</f>
        <v>7332</v>
      </c>
      <c r="D5119" s="2" t="str">
        <f t="shared" ref="D5119:D5182" si="79">IF(ISBLANK(B5119),"OK",IF(A5119-B5119=0,"OK","Error?"))</f>
        <v>Error?</v>
      </c>
    </row>
    <row r="5120" spans="1:4" x14ac:dyDescent="0.2">
      <c r="A5120" s="5">
        <v>5059</v>
      </c>
      <c r="B5120" s="138">
        <f>'Revenues 9-14'!C108</f>
        <v>397945</v>
      </c>
      <c r="C5120" s="2" t="s">
        <v>573</v>
      </c>
      <c r="D5120" s="2" t="str">
        <f t="shared" si="79"/>
        <v>Error?</v>
      </c>
    </row>
    <row r="5121" spans="1:4" x14ac:dyDescent="0.2">
      <c r="A5121" s="5">
        <v>5060</v>
      </c>
      <c r="B5121" s="138">
        <f>'Revenues 9-14'!C109</f>
        <v>10545118</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679696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679696</v>
      </c>
      <c r="C5132" s="2" t="s">
        <v>573</v>
      </c>
      <c r="D5132" s="2" t="str">
        <f t="shared" si="79"/>
        <v>Error?</v>
      </c>
    </row>
    <row r="5133" spans="1:4" x14ac:dyDescent="0.2">
      <c r="A5133" s="5">
        <v>5072</v>
      </c>
      <c r="B5133" s="138">
        <f>'Revenues 9-14'!C125</f>
        <v>72280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72280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932</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73212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752908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68685</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79264</v>
      </c>
      <c r="C5246" s="2" t="s">
        <v>573</v>
      </c>
      <c r="D5246" s="2" t="str">
        <f t="shared" si="80"/>
        <v>Error?</v>
      </c>
    </row>
    <row r="5247" spans="1:4" x14ac:dyDescent="0.2">
      <c r="A5247" s="5">
        <v>5186</v>
      </c>
      <c r="B5247" s="138">
        <f>'Revenues 9-14'!C200</f>
        <v>80714</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3136</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80714</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7027</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235900</v>
      </c>
      <c r="D5278" s="2" t="str">
        <f t="shared" si="81"/>
        <v>Error?</v>
      </c>
    </row>
    <row r="5279" spans="1:4" x14ac:dyDescent="0.2">
      <c r="A5279" s="5">
        <v>5218</v>
      </c>
      <c r="B5279" s="138">
        <f>'Revenues 9-14'!C214</f>
        <v>36450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279377</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499821</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499821</v>
      </c>
      <c r="C5326" s="2" t="s">
        <v>573</v>
      </c>
      <c r="D5326" s="2" t="str">
        <f t="shared" si="82"/>
        <v>Error?</v>
      </c>
    </row>
    <row r="5327" spans="1:5" x14ac:dyDescent="0.2">
      <c r="A5327" s="5">
        <v>5266</v>
      </c>
      <c r="B5327" s="138">
        <f>'Revenues 9-14'!C268</f>
        <v>11797847</v>
      </c>
      <c r="C5327" s="2" t="s">
        <v>573</v>
      </c>
      <c r="D5327" s="2" t="str">
        <f t="shared" si="82"/>
        <v>Error?</v>
      </c>
    </row>
    <row r="5328" spans="1:5" x14ac:dyDescent="0.2">
      <c r="A5328" s="5">
        <v>5267</v>
      </c>
      <c r="B5328" s="138">
        <f>'Revenues 9-14'!D5</f>
        <v>921284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921284</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24175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24175</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121938</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121938</v>
      </c>
      <c r="C5355" s="2" t="s">
        <v>573</v>
      </c>
      <c r="D5355" s="2" t="str">
        <f t="shared" si="82"/>
        <v>Error?</v>
      </c>
    </row>
    <row r="5356" spans="1:4" x14ac:dyDescent="0.2">
      <c r="A5356" s="5">
        <v>5295</v>
      </c>
      <c r="B5356" s="138">
        <f>'Revenues 9-14'!D109</f>
        <v>1067397</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1067397</v>
      </c>
      <c r="C5508" s="2" t="s">
        <v>573</v>
      </c>
      <c r="D5508" s="2" t="str">
        <f t="shared" si="85"/>
        <v>Error?</v>
      </c>
    </row>
    <row r="5509" spans="1:4" x14ac:dyDescent="0.2">
      <c r="A5509" s="5">
        <v>5448</v>
      </c>
      <c r="B5509" s="138">
        <f>'Revenues 9-14'!E5</f>
        <v>815573</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815573</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7232</v>
      </c>
      <c r="D5519" s="2" t="str">
        <f t="shared" si="85"/>
        <v>Error?</v>
      </c>
    </row>
    <row r="5520" spans="1:4" x14ac:dyDescent="0.2">
      <c r="A5520" s="5">
        <v>5459</v>
      </c>
      <c r="B5520" s="138">
        <f>'Revenues 9-14'!E66</f>
        <v>0</v>
      </c>
      <c r="D5520" s="2" t="str">
        <f t="shared" si="85"/>
        <v>Error?</v>
      </c>
    </row>
    <row r="5521" spans="1:4" x14ac:dyDescent="0.2">
      <c r="A5521" s="5">
        <v>5460</v>
      </c>
      <c r="B5521" s="138">
        <f>'Revenues 9-14'!E67</f>
        <v>7232</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822805</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822805</v>
      </c>
      <c r="C5552" s="2" t="s">
        <v>573</v>
      </c>
      <c r="D5552" s="2" t="str">
        <f t="shared" si="85"/>
        <v>Error?</v>
      </c>
    </row>
    <row r="5553" spans="1:4" x14ac:dyDescent="0.2">
      <c r="A5553" s="5">
        <v>5492</v>
      </c>
      <c r="B5553" s="138">
        <f>'Revenues 9-14'!F5</f>
        <v>568979</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568979</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515</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515</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569494</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8055</v>
      </c>
      <c r="D5615" s="2" t="str">
        <f t="shared" si="86"/>
        <v>Error?</v>
      </c>
    </row>
    <row r="5616" spans="1:4" x14ac:dyDescent="0.2">
      <c r="A5616" s="10">
        <v>5555</v>
      </c>
      <c r="D5616" s="2" t="str">
        <f t="shared" si="86"/>
        <v>OK</v>
      </c>
    </row>
    <row r="5617" spans="1:5" x14ac:dyDescent="0.2">
      <c r="A5617" s="5">
        <v>5556</v>
      </c>
      <c r="B5617" s="138">
        <f>'Revenues 9-14'!F153</f>
        <v>84565</v>
      </c>
      <c r="D5617" s="2" t="str">
        <f t="shared" si="86"/>
        <v>Error?</v>
      </c>
    </row>
    <row r="5618" spans="1:5" x14ac:dyDescent="0.2">
      <c r="A5618" s="5">
        <v>5557</v>
      </c>
      <c r="B5618" s="138">
        <f>'Revenues 9-14'!F155</f>
        <v>92620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92620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92620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662114</v>
      </c>
      <c r="C5720" s="2" t="s">
        <v>573</v>
      </c>
      <c r="D5720" s="2" t="str">
        <f t="shared" si="88"/>
        <v>Error?</v>
      </c>
    </row>
    <row r="5721" spans="1:4" x14ac:dyDescent="0.2">
      <c r="A5721" s="5">
        <v>5660</v>
      </c>
      <c r="B5721" s="138">
        <f>'Revenues 9-14'!G5</f>
        <v>484104</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484104</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725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725</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484829</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117626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117626</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11053</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128679</v>
      </c>
      <c r="C5915" s="2" t="s">
        <v>573</v>
      </c>
      <c r="D5915" s="2" t="str">
        <f t="shared" si="91"/>
        <v>Error?</v>
      </c>
    </row>
    <row r="5916" spans="1:4" x14ac:dyDescent="0.2">
      <c r="A5916" s="5">
        <v>5855</v>
      </c>
      <c r="B5916" s="138">
        <f>'Revenues 9-14'!I5</f>
        <v>38564</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38564</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41182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41182</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79746</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484829</v>
      </c>
      <c r="C6024" s="2" t="s">
        <v>573</v>
      </c>
      <c r="D6024" s="2" t="str">
        <f t="shared" si="93"/>
        <v>Error?</v>
      </c>
    </row>
    <row r="6025" spans="1:5" x14ac:dyDescent="0.2">
      <c r="A6025" s="5">
        <v>5964</v>
      </c>
      <c r="B6025" s="138">
        <f>'Revenues 9-14'!H109</f>
        <v>128679</v>
      </c>
      <c r="C6025" s="2" t="s">
        <v>573</v>
      </c>
      <c r="D6025" s="2" t="str">
        <f t="shared" si="93"/>
        <v>Error?</v>
      </c>
    </row>
    <row r="6026" spans="1:5" x14ac:dyDescent="0.2">
      <c r="A6026" s="5">
        <v>5965</v>
      </c>
      <c r="B6026" s="138">
        <f>'Revenues 9-14'!I109</f>
        <v>79746</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154013</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10579</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1007.7</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9114</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60908</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-277960</v>
      </c>
      <c r="D6267" s="2" t="str">
        <f t="shared" si="96"/>
        <v>Error?</v>
      </c>
      <c r="E6267" s="2" t="s">
        <v>190</v>
      </c>
    </row>
    <row r="6268" spans="1:5" x14ac:dyDescent="0.2">
      <c r="A6268">
        <v>6207</v>
      </c>
      <c r="B6268" s="138">
        <f>'Acct Summary 7-8'!D82</f>
        <v>-204283</v>
      </c>
      <c r="D6268" s="2" t="str">
        <f t="shared" si="96"/>
        <v>Error?</v>
      </c>
      <c r="E6268" s="2" t="s">
        <v>190</v>
      </c>
    </row>
    <row r="6269" spans="1:5" x14ac:dyDescent="0.2">
      <c r="A6269">
        <v>6208</v>
      </c>
      <c r="B6269" s="138">
        <f>'Acct Summary 7-8'!E82</f>
        <v>-138249</v>
      </c>
      <c r="D6269" s="2" t="str">
        <f t="shared" si="96"/>
        <v>Error?</v>
      </c>
      <c r="E6269" s="2" t="s">
        <v>190</v>
      </c>
    </row>
    <row r="6270" spans="1:5" x14ac:dyDescent="0.2">
      <c r="A6270">
        <v>6209</v>
      </c>
      <c r="B6270" s="138">
        <f>'Acct Summary 7-8'!F82</f>
        <v>-92510</v>
      </c>
      <c r="D6270" s="2" t="str">
        <f t="shared" si="96"/>
        <v>Error?</v>
      </c>
      <c r="E6270" s="2" t="s">
        <v>190</v>
      </c>
    </row>
    <row r="6271" spans="1:5" x14ac:dyDescent="0.2">
      <c r="A6271">
        <v>6210</v>
      </c>
      <c r="B6271" s="138">
        <f>'Acct Summary 7-8'!G82</f>
        <v>38681</v>
      </c>
      <c r="D6271" s="2" t="str">
        <f t="shared" ref="D6271:D6334" si="97">IF(ISBLANK(B6271),"OK",IF(A6271-B6271=0,"OK","Error?"))</f>
        <v>Error?</v>
      </c>
      <c r="E6271" s="2" t="s">
        <v>190</v>
      </c>
    </row>
    <row r="6272" spans="1:5" x14ac:dyDescent="0.2">
      <c r="A6272">
        <v>6211</v>
      </c>
      <c r="B6272" s="138">
        <f>'Acct Summary 7-8'!H82</f>
        <v>1834420</v>
      </c>
      <c r="D6272" s="2" t="str">
        <f t="shared" si="97"/>
        <v>Error?</v>
      </c>
      <c r="E6272" s="2" t="s">
        <v>190</v>
      </c>
    </row>
    <row r="6273" spans="1:5" x14ac:dyDescent="0.2">
      <c r="A6273">
        <v>6212</v>
      </c>
      <c r="B6273" s="138">
        <f>'Acct Summary 7-8'!I82</f>
        <v>-221766</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-6.7938787631405928E-2</v>
      </c>
      <c r="D6276" s="2" t="str">
        <f t="shared" si="97"/>
        <v>Error?</v>
      </c>
      <c r="E6276" s="2" t="s">
        <v>190</v>
      </c>
    </row>
    <row r="6277" spans="1:5" x14ac:dyDescent="0.2">
      <c r="A6277">
        <v>6216</v>
      </c>
      <c r="B6277" s="138">
        <f>'Acct Summary 7-8'!D83</f>
        <v>-0.18845086585757354</v>
      </c>
      <c r="D6277" s="2" t="str">
        <f t="shared" si="97"/>
        <v>Error?</v>
      </c>
      <c r="E6277" s="2" t="s">
        <v>190</v>
      </c>
    </row>
    <row r="6278" spans="1:5" x14ac:dyDescent="0.2">
      <c r="A6278">
        <v>6217</v>
      </c>
      <c r="B6278" s="138">
        <f>'Acct Summary 7-8'!E83</f>
        <v>-0.40949441513703722</v>
      </c>
      <c r="D6278" s="2" t="str">
        <f t="shared" si="97"/>
        <v>Error?</v>
      </c>
      <c r="E6278" s="2" t="s">
        <v>190</v>
      </c>
    </row>
    <row r="6279" spans="1:5" x14ac:dyDescent="0.2">
      <c r="A6279">
        <v>6218</v>
      </c>
      <c r="B6279" s="138">
        <f>'Acct Summary 7-8'!F83</f>
        <v>-1.697057528617552</v>
      </c>
      <c r="D6279" s="2" t="str">
        <f t="shared" si="97"/>
        <v>Error?</v>
      </c>
      <c r="E6279" s="2" t="s">
        <v>190</v>
      </c>
    </row>
    <row r="6280" spans="1:5" x14ac:dyDescent="0.2">
      <c r="A6280">
        <v>6219</v>
      </c>
      <c r="B6280" s="138">
        <f>'Acct Summary 7-8'!G83</f>
        <v>0.6885190459238163</v>
      </c>
      <c r="D6280" s="2" t="str">
        <f t="shared" si="97"/>
        <v>Error?</v>
      </c>
      <c r="E6280" s="2" t="s">
        <v>190</v>
      </c>
    </row>
    <row r="6281" spans="1:5" x14ac:dyDescent="0.2">
      <c r="A6281">
        <v>6220</v>
      </c>
      <c r="B6281" s="138">
        <f>'Acct Summary 7-8'!H83</f>
        <v>0.38763347735599829</v>
      </c>
      <c r="D6281" s="2" t="str">
        <f t="shared" si="97"/>
        <v>Error?</v>
      </c>
      <c r="E6281" s="2" t="s">
        <v>190</v>
      </c>
    </row>
    <row r="6282" spans="1:5" x14ac:dyDescent="0.2">
      <c r="A6282">
        <v>6221</v>
      </c>
      <c r="B6282" s="138">
        <f>'Acct Summary 7-8'!I83</f>
        <v>-0.12645404532515875</v>
      </c>
      <c r="D6282" s="2" t="str">
        <f t="shared" si="97"/>
        <v>Error?</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115000</v>
      </c>
      <c r="D6285" s="2" t="str">
        <f t="shared" si="97"/>
        <v>Error?</v>
      </c>
      <c r="E6285" s="2" t="s">
        <v>190</v>
      </c>
    </row>
    <row r="6286" spans="1:5" x14ac:dyDescent="0.2">
      <c r="A6286">
        <v>6225</v>
      </c>
      <c r="B6286" s="138">
        <f>'Acct Summary 7-8'!E38</f>
        <v>60908</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303974</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11053</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109399</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2944</v>
      </c>
      <c r="D7075" s="2" t="str">
        <f t="shared" si="109"/>
        <v>Error?</v>
      </c>
    </row>
    <row r="7076" spans="1:4" x14ac:dyDescent="0.2">
      <c r="A7076">
        <v>7015</v>
      </c>
      <c r="B7076" s="138">
        <f>'Expenditures 15-22'!K218</f>
        <v>2944</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98641</v>
      </c>
      <c r="D7251" s="2" t="str">
        <f t="shared" si="112"/>
        <v>Error?</v>
      </c>
    </row>
    <row r="7252" spans="1:4" x14ac:dyDescent="0.2">
      <c r="A7252">
        <f t="shared" si="113"/>
        <v>7191</v>
      </c>
      <c r="B7252" s="138">
        <f>'Expenditures 15-22'!D9</f>
        <v>10672</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86</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0</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115000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303974</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224830</v>
      </c>
      <c r="D7748" s="2" t="str">
        <f t="shared" si="127"/>
        <v>Error?</v>
      </c>
      <c r="E7748" s="4" t="s">
        <v>1333</v>
      </c>
    </row>
    <row r="7749" spans="1:6" x14ac:dyDescent="0.2">
      <c r="A7749">
        <v>7688</v>
      </c>
      <c r="B7749" s="138">
        <f>'Acct Summary 7-8'!D25</f>
        <v>35500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235938</v>
      </c>
      <c r="D7797" s="2" t="str">
        <f t="shared" si="127"/>
        <v>Error?</v>
      </c>
      <c r="E7797" s="4" t="s">
        <v>1903</v>
      </c>
    </row>
    <row r="7798" spans="1:5" x14ac:dyDescent="0.2">
      <c r="A7798">
        <v>7737</v>
      </c>
      <c r="B7798" s="138">
        <f>'Contracts Paid in CY 29'!F142</f>
        <v>71283</v>
      </c>
      <c r="D7798" s="2" t="str">
        <f t="shared" si="127"/>
        <v>Error?</v>
      </c>
      <c r="E7798" s="4" t="s">
        <v>1903</v>
      </c>
    </row>
    <row r="7799" spans="1:5" x14ac:dyDescent="0.2">
      <c r="A7799">
        <v>7738</v>
      </c>
      <c r="B7799" s="138">
        <f>'Contracts Paid in CY 29'!G142</f>
        <v>164655</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AC59"/>
  <sheetViews>
    <sheetView showGridLines="0" showZeros="0" topLeftCell="A22" zoomScale="110" zoomScaleNormal="110" workbookViewId="0">
      <selection activeCell="C16" sqref="C16"/>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5" t="s">
        <v>1191</v>
      </c>
      <c r="B2" s="2385"/>
      <c r="C2" s="2385"/>
      <c r="D2" s="2385"/>
      <c r="E2" s="2385"/>
      <c r="F2" s="2385"/>
      <c r="G2" s="2385"/>
      <c r="H2" s="2385"/>
      <c r="I2" s="2385"/>
      <c r="J2" s="2385"/>
      <c r="K2" s="2385"/>
      <c r="L2" s="2385"/>
    </row>
    <row r="3" spans="1:29" ht="13.5" customHeight="1" x14ac:dyDescent="0.2">
      <c r="A3" s="2416" t="s">
        <v>1190</v>
      </c>
      <c r="B3" s="2416"/>
      <c r="C3" s="2416"/>
      <c r="D3" s="2416"/>
      <c r="E3" s="2416"/>
      <c r="F3" s="2416"/>
      <c r="G3" s="2416"/>
      <c r="H3" s="2416"/>
      <c r="I3" s="2416"/>
      <c r="J3" s="2416"/>
      <c r="K3" s="2416"/>
      <c r="L3" s="2416"/>
    </row>
    <row r="4" spans="1:29" ht="13.5" customHeight="1" x14ac:dyDescent="0.2">
      <c r="A4" s="2385" t="s">
        <v>1987</v>
      </c>
      <c r="B4" s="2406"/>
      <c r="C4" s="2406"/>
      <c r="D4" s="2406"/>
      <c r="E4" s="2406"/>
      <c r="F4" s="2406"/>
      <c r="G4" s="2406"/>
      <c r="H4" s="2406"/>
      <c r="I4" s="2406"/>
      <c r="J4" s="2406"/>
      <c r="K4" s="2406"/>
      <c r="L4" s="240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7" t="str">
        <f>COVER!A17</f>
        <v>Center Cass SD 66</v>
      </c>
      <c r="B7" s="2408"/>
      <c r="C7" s="2408"/>
      <c r="D7" s="2409"/>
      <c r="E7" s="2410">
        <f>COVER!A13</f>
        <v>19022066002</v>
      </c>
      <c r="F7" s="2411"/>
      <c r="G7" s="2417" t="str">
        <f>COVER!T23</f>
        <v>066-003284</v>
      </c>
      <c r="H7" s="2418"/>
      <c r="I7" s="2418"/>
      <c r="J7" s="2418"/>
      <c r="K7" s="2418"/>
      <c r="L7" s="241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0"/>
      <c r="B9" s="2421"/>
      <c r="C9" s="2421"/>
      <c r="D9" s="2421"/>
      <c r="E9" s="2421"/>
      <c r="F9" s="2422"/>
      <c r="G9" s="2391" t="str">
        <f>COVER!T13</f>
        <v>Sikich LLP</v>
      </c>
      <c r="H9" s="2423"/>
      <c r="I9" s="2423"/>
      <c r="J9" s="2423"/>
      <c r="K9" s="2423"/>
      <c r="L9" s="2424"/>
    </row>
    <row r="10" spans="1:29" ht="13.5" customHeight="1" x14ac:dyDescent="0.2">
      <c r="A10" s="2397" t="str">
        <f>COVER!A38</f>
        <v xml:space="preserve">Griff Powell </v>
      </c>
      <c r="B10" s="2398"/>
      <c r="C10" s="2398"/>
      <c r="D10" s="2398"/>
      <c r="E10" s="2398"/>
      <c r="F10" s="2399"/>
      <c r="G10" s="2391" t="str">
        <f>COVER!T17</f>
        <v>1415 W Diehl Road, Suite 400</v>
      </c>
      <c r="H10" s="2392"/>
      <c r="I10" s="2392"/>
      <c r="J10" s="2392"/>
      <c r="K10" s="2392"/>
      <c r="L10" s="2393"/>
    </row>
    <row r="11" spans="1:29" ht="13.5" customHeight="1" x14ac:dyDescent="0.2">
      <c r="A11" s="1184" t="s">
        <v>1519</v>
      </c>
      <c r="B11" s="1185"/>
      <c r="C11" s="1186"/>
      <c r="D11" s="1191"/>
      <c r="E11" s="1186"/>
      <c r="F11" s="1190"/>
      <c r="G11" s="2391" t="str">
        <f>COVER!T19</f>
        <v>Naperville</v>
      </c>
      <c r="H11" s="2392"/>
      <c r="I11" s="2392"/>
      <c r="J11" s="2392"/>
      <c r="K11" s="2392"/>
      <c r="L11" s="2393"/>
    </row>
    <row r="12" spans="1:29" ht="13.5" customHeight="1" x14ac:dyDescent="0.2">
      <c r="A12" s="2400" t="s">
        <v>1518</v>
      </c>
      <c r="B12" s="2401"/>
      <c r="C12" s="2401"/>
      <c r="D12" s="2401"/>
      <c r="E12" s="2401"/>
      <c r="F12" s="2402"/>
      <c r="G12" s="2394"/>
      <c r="H12" s="2395"/>
      <c r="I12" s="2395"/>
      <c r="J12" s="2395"/>
      <c r="K12" s="2395"/>
      <c r="L12" s="2396"/>
    </row>
    <row r="13" spans="1:29" ht="13.5" customHeight="1" x14ac:dyDescent="0.2">
      <c r="A13" s="2391"/>
      <c r="B13" s="2392"/>
      <c r="C13" s="2392"/>
      <c r="D13" s="2392"/>
      <c r="E13" s="2392"/>
      <c r="F13" s="2393"/>
      <c r="G13" s="2386" t="s">
        <v>1520</v>
      </c>
      <c r="H13" s="2387"/>
      <c r="I13" s="2403" t="str">
        <f>COVER!T25</f>
        <v>anthony.cervini@sikich.com</v>
      </c>
      <c r="J13" s="2404"/>
      <c r="K13" s="2404"/>
      <c r="L13" s="2405"/>
    </row>
    <row r="14" spans="1:29" ht="13.5" customHeight="1" x14ac:dyDescent="0.2">
      <c r="A14" s="2391" t="str">
        <f>COVER!A19</f>
        <v>699 Plainfield Road</v>
      </c>
      <c r="B14" s="2392"/>
      <c r="C14" s="2392"/>
      <c r="D14" s="2392"/>
      <c r="E14" s="2392"/>
      <c r="F14" s="2393"/>
      <c r="G14" s="1195" t="s">
        <v>1185</v>
      </c>
      <c r="H14" s="1193"/>
      <c r="I14" s="1193"/>
      <c r="J14" s="1193"/>
      <c r="K14" s="1193"/>
      <c r="L14" s="1194"/>
    </row>
    <row r="15" spans="1:29" ht="13.5" customHeight="1" x14ac:dyDescent="0.2">
      <c r="A15" s="2391" t="str">
        <f>COVER!A21</f>
        <v>Downers Grove</v>
      </c>
      <c r="B15" s="2392"/>
      <c r="C15" s="2392"/>
      <c r="D15" s="2392"/>
      <c r="E15" s="2392"/>
      <c r="F15" s="2393"/>
      <c r="G15" s="2388" t="str">
        <f>COVER!T15</f>
        <v>Anthony Cervini</v>
      </c>
      <c r="H15" s="2389"/>
      <c r="I15" s="2389"/>
      <c r="J15" s="2389"/>
      <c r="K15" s="2389"/>
      <c r="L15" s="2390"/>
    </row>
    <row r="16" spans="1:29" ht="12.2" customHeight="1" x14ac:dyDescent="0.2">
      <c r="A16" s="2413">
        <f>COVER!A25</f>
        <v>60516</v>
      </c>
      <c r="B16" s="2414"/>
      <c r="C16" s="2414"/>
      <c r="D16" s="2414"/>
      <c r="E16" s="2414"/>
      <c r="F16" s="2415"/>
      <c r="G16" s="2425"/>
      <c r="H16" s="2426"/>
      <c r="I16" s="2426"/>
      <c r="J16" s="2426"/>
      <c r="K16" s="2426"/>
      <c r="L16" s="2427"/>
    </row>
    <row r="17" spans="1:13" ht="12.2" customHeight="1" x14ac:dyDescent="0.2">
      <c r="A17" s="2428"/>
      <c r="B17" s="2414"/>
      <c r="C17" s="2414"/>
      <c r="D17" s="2414"/>
      <c r="E17" s="2414"/>
      <c r="F17" s="2415"/>
      <c r="G17" s="1195" t="s">
        <v>1184</v>
      </c>
      <c r="H17" s="1193"/>
      <c r="I17" s="1193"/>
      <c r="J17" s="1193"/>
      <c r="K17" s="1197" t="s">
        <v>1183</v>
      </c>
      <c r="L17" s="1190"/>
      <c r="M17" s="1183"/>
    </row>
    <row r="18" spans="1:13" ht="12.2" customHeight="1" x14ac:dyDescent="0.2">
      <c r="A18" s="2397"/>
      <c r="B18" s="2398"/>
      <c r="C18" s="2398"/>
      <c r="D18" s="2398"/>
      <c r="E18" s="2398"/>
      <c r="F18" s="2399"/>
      <c r="G18" s="2407" t="str">
        <f>COVER!T21</f>
        <v>630-566-8400</v>
      </c>
      <c r="H18" s="2408"/>
      <c r="I18" s="2408"/>
      <c r="J18" s="2408"/>
      <c r="K18" s="2407" t="str">
        <f>COVER!X21</f>
        <v>630-566-8401</v>
      </c>
      <c r="L18" s="241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pageSetUpPr fitToPage="1"/>
  </sheetPr>
  <dimension ref="A1:K127"/>
  <sheetViews>
    <sheetView showGridLines="0" zoomScale="125" zoomScaleNormal="125" workbookViewId="0">
      <selection activeCell="C16" sqref="C16"/>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Center Cass SD 66</v>
      </c>
      <c r="B1" s="2406"/>
      <c r="C1" s="2406"/>
      <c r="D1" s="2406"/>
    </row>
    <row r="2" spans="1:11" s="1212" customFormat="1" ht="12.75" x14ac:dyDescent="0.2">
      <c r="A2" s="2430">
        <f>'Single Audit Cover'!E7</f>
        <v>19022066002</v>
      </c>
      <c r="B2" s="2431"/>
      <c r="C2" s="2431"/>
      <c r="D2" s="2431"/>
    </row>
    <row r="3" spans="1:11" s="1212" customFormat="1" ht="12.75" x14ac:dyDescent="0.2">
      <c r="A3" s="2429" t="s">
        <v>1513</v>
      </c>
      <c r="B3" s="2406"/>
      <c r="C3" s="2406"/>
      <c r="D3" s="240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E49"/>
  <sheetViews>
    <sheetView showGridLines="0" zoomScale="110" zoomScaleNormal="110" zoomScaleSheetLayoutView="100" workbookViewId="0">
      <selection activeCell="C16" sqref="C16"/>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Center Cass SD 66</v>
      </c>
      <c r="B1" s="2433"/>
      <c r="C1" s="2433"/>
      <c r="D1" s="2433"/>
      <c r="E1" s="2433"/>
    </row>
    <row r="2" spans="1:5" x14ac:dyDescent="0.2">
      <c r="A2" s="2434">
        <f>'Single Audit Cover'!E7</f>
        <v>19022066002</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499821</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10579</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-31477</v>
      </c>
    </row>
    <row r="19" spans="1:4" ht="13.5" thickBot="1" x14ac:dyDescent="0.25">
      <c r="A19" s="1262" t="s">
        <v>1235</v>
      </c>
      <c r="D19" s="1263">
        <f>SUM(D10:D17)</f>
        <v>478923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478923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478923</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N152"/>
  <sheetViews>
    <sheetView showGridLines="0" topLeftCell="A13" zoomScaleNormal="100" workbookViewId="0">
      <selection activeCell="C16" sqref="C16"/>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Center Cass SD 66</v>
      </c>
      <c r="C1" s="2437"/>
      <c r="D1" s="2437"/>
      <c r="E1" s="2437"/>
      <c r="F1" s="2437"/>
      <c r="G1" s="2437"/>
      <c r="H1" s="2437"/>
      <c r="I1" s="2437"/>
      <c r="J1" s="2437"/>
      <c r="K1" s="2437"/>
      <c r="L1" s="2437"/>
      <c r="M1" s="2437"/>
    </row>
    <row r="2" spans="2:14" ht="15" x14ac:dyDescent="0.2">
      <c r="B2" s="2438">
        <f>'Single Audit Cover'!E7</f>
        <v>19022066002</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A1:G52"/>
  <sheetViews>
    <sheetView showGridLines="0" topLeftCell="A37" zoomScale="120" zoomScaleNormal="120" workbookViewId="0">
      <selection activeCell="C16" sqref="C16"/>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Center Cass SD 66</v>
      </c>
      <c r="B1" s="2450"/>
      <c r="C1" s="2450"/>
      <c r="D1" s="2450"/>
      <c r="E1" s="2450"/>
      <c r="F1" s="2450"/>
    </row>
    <row r="2" spans="1:7" ht="13.5" customHeight="1" x14ac:dyDescent="0.2">
      <c r="A2" s="2438">
        <f>'Single Audit Cover'!E7</f>
        <v>19022066002</v>
      </c>
      <c r="B2" s="2438"/>
      <c r="C2" s="2438"/>
      <c r="D2" s="2438"/>
      <c r="E2" s="2438"/>
      <c r="F2" s="2438"/>
      <c r="G2" s="1272"/>
    </row>
    <row r="3" spans="1:7" ht="15.75" customHeight="1" x14ac:dyDescent="0.2">
      <c r="A3" s="2451" t="s">
        <v>1271</v>
      </c>
      <c r="B3" s="2451"/>
      <c r="C3" s="2451"/>
      <c r="D3" s="2451"/>
      <c r="E3" s="2451"/>
      <c r="F3" s="2451"/>
    </row>
    <row r="4" spans="1:7" ht="13.5" customHeight="1" x14ac:dyDescent="0.2">
      <c r="A4" s="2452" t="str">
        <f>'Single Audit Cover'!A4</f>
        <v>Year Ending June 30, 2019</v>
      </c>
      <c r="B4" s="2452"/>
      <c r="C4" s="2452"/>
      <c r="D4" s="2452"/>
      <c r="E4" s="2452"/>
      <c r="F4" s="2452"/>
    </row>
    <row r="5" spans="1:7" ht="8.25" customHeight="1" x14ac:dyDescent="0.2">
      <c r="C5" s="317"/>
      <c r="D5" s="317"/>
    </row>
    <row r="6" spans="1:7" ht="13.5" customHeight="1" x14ac:dyDescent="0.2">
      <c r="A6" s="1273" t="s">
        <v>1728</v>
      </c>
      <c r="C6" s="317"/>
      <c r="D6" s="317"/>
    </row>
    <row r="7" spans="1:7" ht="60.95" customHeight="1" x14ac:dyDescent="0.2">
      <c r="A7" s="2449" t="s">
        <v>1729</v>
      </c>
      <c r="B7" s="2449"/>
      <c r="C7" s="2449"/>
      <c r="D7" s="2449"/>
      <c r="E7" s="2449"/>
      <c r="F7" s="2449"/>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9" t="s">
        <v>1731</v>
      </c>
      <c r="B13" s="2449"/>
      <c r="C13" s="2449"/>
      <c r="D13" s="2449"/>
      <c r="E13" s="2449"/>
      <c r="F13" s="2449"/>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c r="C17" s="1282"/>
      <c r="D17" s="2442"/>
      <c r="E17" s="2442"/>
      <c r="F17" s="2442"/>
    </row>
    <row r="18" spans="1:6" ht="20.65" customHeight="1" x14ac:dyDescent="0.2">
      <c r="A18" s="1280"/>
      <c r="B18" s="1281"/>
      <c r="C18" s="1282"/>
      <c r="D18" s="2442"/>
      <c r="E18" s="2442"/>
      <c r="F18" s="2442"/>
    </row>
    <row r="19" spans="1:6" ht="20.65" customHeight="1" x14ac:dyDescent="0.2">
      <c r="A19" s="1280"/>
      <c r="B19" s="1281"/>
      <c r="C19" s="1282"/>
      <c r="D19" s="2442"/>
      <c r="E19" s="2442"/>
      <c r="F19" s="2442"/>
    </row>
    <row r="20" spans="1:6" ht="20.65" customHeight="1" x14ac:dyDescent="0.2">
      <c r="A20" s="1280"/>
      <c r="B20" s="1281"/>
      <c r="C20" s="1282"/>
      <c r="D20" s="2442"/>
      <c r="E20" s="2442"/>
      <c r="F20" s="2442"/>
    </row>
    <row r="21" spans="1:6" ht="20.65" customHeight="1" x14ac:dyDescent="0.2">
      <c r="A21" s="1280"/>
      <c r="B21" s="1281"/>
      <c r="C21" s="1282"/>
      <c r="D21" s="2442"/>
      <c r="E21" s="2442"/>
      <c r="F21" s="2442"/>
    </row>
    <row r="22" spans="1:6" ht="20.65" customHeight="1" x14ac:dyDescent="0.2">
      <c r="A22" s="1280"/>
      <c r="B22" s="1281"/>
      <c r="C22" s="1282"/>
      <c r="D22" s="2442"/>
      <c r="E22" s="2442"/>
      <c r="F22" s="2442"/>
    </row>
    <row r="23" spans="1:6" ht="20.65" customHeight="1" x14ac:dyDescent="0.2">
      <c r="A23" s="1280"/>
      <c r="B23" s="1281"/>
      <c r="C23" s="1282"/>
      <c r="D23" s="2442"/>
      <c r="E23" s="2442"/>
      <c r="F23" s="2442"/>
    </row>
    <row r="24" spans="1:6" ht="20.65" customHeight="1" x14ac:dyDescent="0.2">
      <c r="A24" s="1280"/>
      <c r="B24" s="1281"/>
      <c r="C24" s="1282"/>
      <c r="D24" s="2442"/>
      <c r="E24" s="2442"/>
      <c r="F24" s="2442"/>
    </row>
    <row r="25" spans="1:6" ht="20.65" customHeight="1" x14ac:dyDescent="0.2">
      <c r="A25" s="1280"/>
      <c r="B25" s="1281"/>
      <c r="C25" s="1282"/>
      <c r="D25" s="2442"/>
      <c r="E25" s="2442"/>
      <c r="F25" s="2442"/>
    </row>
    <row r="26" spans="1:6" ht="20.65" customHeight="1" x14ac:dyDescent="0.2">
      <c r="A26" s="1280"/>
      <c r="B26" s="1281"/>
      <c r="C26" s="1282"/>
      <c r="D26" s="2442"/>
      <c r="E26" s="2442"/>
      <c r="F26" s="2442"/>
    </row>
    <row r="27" spans="1:6" ht="20.65" customHeight="1" x14ac:dyDescent="0.2">
      <c r="A27" s="1280"/>
      <c r="B27" s="1281"/>
      <c r="C27" s="1282"/>
      <c r="D27" s="2442"/>
      <c r="E27" s="2442"/>
      <c r="F27" s="2442"/>
    </row>
    <row r="28" spans="1:6" ht="20.65" customHeight="1" x14ac:dyDescent="0.2">
      <c r="A28" s="1280"/>
      <c r="B28" s="1281"/>
      <c r="C28" s="1282"/>
      <c r="D28" s="2442"/>
      <c r="E28" s="2442"/>
      <c r="F28" s="2442"/>
    </row>
    <row r="29" spans="1:6" ht="20.65" customHeight="1" x14ac:dyDescent="0.2">
      <c r="A29" s="1280"/>
      <c r="B29" s="1281"/>
      <c r="C29" s="1282"/>
      <c r="D29" s="2442"/>
      <c r="E29" s="2442"/>
      <c r="F29" s="2442"/>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1732</v>
      </c>
      <c r="B32" s="2443"/>
      <c r="C32" s="2443"/>
      <c r="D32" s="2443"/>
      <c r="E32" s="2443"/>
      <c r="F32" s="2443"/>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4">
        <f>+C33+C34</f>
        <v>0</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43"/>
  <sheetViews>
    <sheetView showGridLines="0" defaultGridColor="0" topLeftCell="A90" colorId="8" zoomScale="80" zoomScaleNormal="80" workbookViewId="0">
      <selection activeCell="I44" sqref="I44:S4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t="s">
        <v>2065</v>
      </c>
      <c r="C53" s="179">
        <v>22</v>
      </c>
      <c r="D53" s="247" t="s">
        <v>1462</v>
      </c>
      <c r="E53" s="248"/>
      <c r="F53" s="249"/>
      <c r="G53" s="249" t="s">
        <v>1461</v>
      </c>
      <c r="H53" s="250">
        <v>33239</v>
      </c>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2071</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t="s">
        <v>2080</v>
      </c>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J63"/>
  <sheetViews>
    <sheetView showGridLines="0" topLeftCell="A16" zoomScale="110" zoomScaleNormal="110" workbookViewId="0">
      <selection activeCell="C16" sqref="C16"/>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Center Cass SD 66</v>
      </c>
      <c r="C1" s="2465"/>
      <c r="D1" s="2465"/>
      <c r="E1" s="2465"/>
      <c r="F1" s="2465"/>
      <c r="G1" s="2465"/>
      <c r="H1" s="2465"/>
      <c r="I1" s="2465"/>
      <c r="J1" s="1406"/>
    </row>
    <row r="2" spans="2:10" s="317" customFormat="1" ht="12.75" customHeight="1" x14ac:dyDescent="0.2">
      <c r="B2" s="2466">
        <f>'Single Audit Cover'!E7</f>
        <v>19022066002</v>
      </c>
      <c r="C2" s="2467"/>
      <c r="D2" s="2467"/>
      <c r="E2" s="2467"/>
      <c r="F2" s="2467"/>
      <c r="G2" s="2467"/>
      <c r="H2" s="2467"/>
      <c r="I2" s="2467"/>
      <c r="J2" s="1406"/>
    </row>
    <row r="3" spans="2:10" s="317" customFormat="1" ht="12.75" customHeight="1" x14ac:dyDescent="0.2">
      <c r="B3" s="2468" t="s">
        <v>1285</v>
      </c>
      <c r="C3" s="2469"/>
      <c r="D3" s="2469"/>
      <c r="E3" s="2469"/>
      <c r="F3" s="2469"/>
      <c r="G3" s="2469"/>
      <c r="H3" s="2469"/>
      <c r="I3" s="2469"/>
      <c r="J3" s="1407"/>
    </row>
    <row r="4" spans="2:10" s="317" customFormat="1" ht="12.75" customHeight="1" x14ac:dyDescent="0.2">
      <c r="B4" s="2468" t="str">
        <f>'Single Audit Cover'!A4</f>
        <v>Year Ending June 30, 2019</v>
      </c>
      <c r="C4" s="2469"/>
      <c r="D4" s="2469"/>
      <c r="E4" s="2469"/>
      <c r="F4" s="2469"/>
      <c r="G4" s="2469"/>
      <c r="H4" s="2469"/>
      <c r="I4" s="246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8" t="s">
        <v>1284</v>
      </c>
      <c r="C7" s="2469"/>
      <c r="D7" s="2469"/>
      <c r="E7" s="2469"/>
      <c r="F7" s="2469"/>
      <c r="G7" s="2469"/>
      <c r="H7" s="2469"/>
      <c r="I7" s="246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0"/>
      <c r="D11" s="247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1"/>
      <c r="E29" s="2471"/>
      <c r="F29" s="2471"/>
      <c r="G29" s="2471"/>
      <c r="H29" s="2471"/>
      <c r="I29" s="2471"/>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2" t="s">
        <v>1751</v>
      </c>
      <c r="D37" s="2473"/>
      <c r="E37" s="2473"/>
      <c r="F37" s="2474"/>
      <c r="G37" s="2472" t="s">
        <v>1592</v>
      </c>
      <c r="H37" s="2473"/>
      <c r="I37" s="2474"/>
    </row>
    <row r="38" spans="2:9" ht="16.5" customHeight="1" x14ac:dyDescent="0.2">
      <c r="B38" s="1428"/>
      <c r="C38" s="2460"/>
      <c r="D38" s="2461"/>
      <c r="E38" s="2461"/>
      <c r="F38" s="2462"/>
      <c r="G38" s="2475"/>
      <c r="H38" s="2476"/>
      <c r="I38" s="2477"/>
    </row>
    <row r="39" spans="2:9" ht="16.5" customHeight="1" x14ac:dyDescent="0.2">
      <c r="B39" s="1428"/>
      <c r="C39" s="2460"/>
      <c r="D39" s="2461"/>
      <c r="E39" s="2461"/>
      <c r="F39" s="2462"/>
      <c r="G39" s="2463"/>
      <c r="H39" s="2463"/>
      <c r="I39" s="2463"/>
    </row>
    <row r="40" spans="2:9" ht="16.5" customHeight="1" x14ac:dyDescent="0.2">
      <c r="B40" s="1428"/>
      <c r="C40" s="2460"/>
      <c r="D40" s="2461"/>
      <c r="E40" s="2461"/>
      <c r="F40" s="2462"/>
      <c r="G40" s="2463"/>
      <c r="H40" s="2463"/>
      <c r="I40" s="2463"/>
    </row>
    <row r="41" spans="2:9" ht="16.5" customHeight="1" x14ac:dyDescent="0.2">
      <c r="B41" s="1428"/>
      <c r="C41" s="2460"/>
      <c r="D41" s="2461"/>
      <c r="E41" s="2461"/>
      <c r="F41" s="2462"/>
      <c r="G41" s="2463"/>
      <c r="H41" s="2463"/>
      <c r="I41" s="2463"/>
    </row>
    <row r="42" spans="2:9" ht="16.5" customHeight="1" x14ac:dyDescent="0.2">
      <c r="B42" s="1428"/>
      <c r="C42" s="2460"/>
      <c r="D42" s="2461"/>
      <c r="E42" s="2461"/>
      <c r="F42" s="2462"/>
      <c r="G42" s="2463"/>
      <c r="H42" s="2463"/>
      <c r="I42" s="2463"/>
    </row>
    <row r="43" spans="2:9" ht="16.5" customHeight="1" x14ac:dyDescent="0.2">
      <c r="B43" s="1428"/>
      <c r="C43" s="2453" t="s">
        <v>1593</v>
      </c>
      <c r="D43" s="2454"/>
      <c r="E43" s="2454"/>
      <c r="F43" s="2455"/>
      <c r="G43" s="2456">
        <f>SUM(G38:I42)</f>
        <v>0</v>
      </c>
      <c r="H43" s="2456"/>
      <c r="I43" s="2456"/>
    </row>
    <row r="44" spans="2:9" ht="12.75" customHeight="1" x14ac:dyDescent="0.2"/>
    <row r="45" spans="2:9" ht="12.75" customHeight="1" x14ac:dyDescent="0.2">
      <c r="B45" s="1419" t="s">
        <v>2062</v>
      </c>
      <c r="D45" s="2457">
        <v>0</v>
      </c>
      <c r="E45" s="2458"/>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9"/>
      <c r="F49" s="2459"/>
      <c r="G49" s="2459"/>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M41"/>
  <sheetViews>
    <sheetView showGridLines="0" topLeftCell="A19" zoomScale="110" zoomScaleNormal="110" workbookViewId="0">
      <selection activeCell="C16" sqref="C16"/>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Center Cass SD 66</v>
      </c>
      <c r="C1" s="2464"/>
      <c r="D1" s="2464"/>
      <c r="E1" s="2464"/>
      <c r="F1" s="2464"/>
      <c r="G1" s="2464"/>
      <c r="H1" s="2464"/>
      <c r="I1" s="2464"/>
      <c r="J1" s="2464"/>
      <c r="K1" s="2464"/>
      <c r="L1" s="1371"/>
      <c r="M1" s="1371"/>
    </row>
    <row r="2" spans="1:13" ht="12" customHeight="1" x14ac:dyDescent="0.2">
      <c r="B2" s="2466">
        <f>'Single Audit Cover'!E7</f>
        <v>19022066002</v>
      </c>
      <c r="C2" s="2466"/>
      <c r="D2" s="2466"/>
      <c r="E2" s="2466"/>
      <c r="F2" s="2466"/>
      <c r="G2" s="2466"/>
      <c r="H2" s="2466"/>
      <c r="I2" s="2466"/>
      <c r="J2" s="2466"/>
      <c r="K2" s="2466"/>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L48"/>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7" t="str">
        <f>'Single Audit Cover'!A7</f>
        <v>Center Cass SD 66</v>
      </c>
      <c r="C1" s="2487"/>
      <c r="D1" s="2487"/>
      <c r="E1" s="2487"/>
      <c r="F1" s="2487"/>
      <c r="G1" s="2487"/>
      <c r="H1" s="2487"/>
      <c r="I1" s="2487"/>
      <c r="J1" s="2487"/>
      <c r="K1" s="2487"/>
      <c r="L1" s="1449"/>
    </row>
    <row r="2" spans="1:12" ht="12.75" customHeight="1" x14ac:dyDescent="0.2">
      <c r="B2" s="2488">
        <f>'Single Audit Cover'!E7</f>
        <v>19022066002</v>
      </c>
      <c r="C2" s="2488"/>
      <c r="D2" s="2488"/>
      <c r="E2" s="2488"/>
      <c r="F2" s="2488"/>
      <c r="G2" s="2488"/>
      <c r="H2" s="2488"/>
      <c r="I2" s="2488"/>
      <c r="J2" s="2488"/>
      <c r="K2" s="2488"/>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9" t="s">
        <v>1308</v>
      </c>
      <c r="C6" s="2489"/>
      <c r="D6" s="2489"/>
      <c r="E6" s="2489"/>
      <c r="F6" s="2489"/>
      <c r="G6" s="2489"/>
      <c r="H6" s="2489"/>
      <c r="I6" s="2489"/>
      <c r="J6" s="2489"/>
      <c r="K6" s="2489"/>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1"/>
      <c r="G12" s="2471"/>
      <c r="H12" s="2471"/>
      <c r="I12" s="2471"/>
      <c r="J12" s="2471"/>
      <c r="K12" s="247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4"/>
      <c r="E14" s="2484"/>
      <c r="F14" s="2484"/>
      <c r="H14" s="1459" t="s">
        <v>1303</v>
      </c>
      <c r="I14" s="2485"/>
      <c r="J14" s="2485"/>
      <c r="K14" s="248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5"/>
      <c r="E16" s="2485"/>
      <c r="F16" s="2485"/>
      <c r="G16" s="2485"/>
      <c r="H16" s="2485"/>
      <c r="I16" s="2485"/>
      <c r="J16" s="2485"/>
      <c r="K16" s="2485"/>
      <c r="L16" s="322"/>
    </row>
    <row r="17" spans="2:12" ht="13.5" customHeight="1" x14ac:dyDescent="0.2">
      <c r="B17" s="1384" t="s">
        <v>1301</v>
      </c>
      <c r="C17" s="1384"/>
      <c r="D17" s="2486"/>
      <c r="E17" s="2486"/>
      <c r="F17" s="2486"/>
      <c r="G17" s="2486"/>
      <c r="H17" s="2486"/>
      <c r="I17" s="2486"/>
      <c r="J17" s="2486"/>
      <c r="K17" s="248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B1:E73"/>
  <sheetViews>
    <sheetView showGridLines="0" zoomScale="110" zoomScaleNormal="110" workbookViewId="0">
      <selection activeCell="C16" sqref="C16"/>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4" t="str">
        <f>'Single Audit Cover'!A7</f>
        <v>Center Cass SD 66</v>
      </c>
      <c r="C1" s="2464"/>
      <c r="D1" s="2464"/>
      <c r="E1" s="1469"/>
    </row>
    <row r="2" spans="2:5" s="1279" customFormat="1" ht="12.75" customHeight="1" x14ac:dyDescent="0.2">
      <c r="B2" s="2466">
        <f>'Single Audit Cover'!E7</f>
        <v>19022066002</v>
      </c>
      <c r="C2" s="2466"/>
      <c r="D2" s="2466"/>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00B050"/>
  </sheetPr>
  <dimension ref="A1:N72"/>
  <sheetViews>
    <sheetView showGridLines="0" defaultGridColor="0" topLeftCell="A13" colorId="8" zoomScale="110" zoomScaleNormal="110" workbookViewId="0">
      <selection activeCell="I44" sqref="I44:S44"/>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547357001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1.8388000000000002E-2</v>
      </c>
      <c r="E10" s="356" t="s">
        <v>1005</v>
      </c>
      <c r="F10" s="355">
        <v>1.6299999999999999E-3</v>
      </c>
      <c r="G10" s="356" t="s">
        <v>1005</v>
      </c>
      <c r="H10" s="355">
        <v>1.108E-3</v>
      </c>
      <c r="I10" s="356" t="s">
        <v>1006</v>
      </c>
      <c r="J10" s="1732">
        <f>ROUND(D10+F10+H10,5)</f>
        <v>2.1129999999999999E-2</v>
      </c>
      <c r="K10" s="222"/>
      <c r="L10" s="355">
        <v>7.2999999999999999E-5</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13607104</v>
      </c>
      <c r="E16" s="356"/>
      <c r="F16" s="1733">
        <f>SUM('Acct Summary 7-8'!C17,'Acct Summary 7-8'!D17,'Acct Summary 7-8'!F17)</f>
        <v>13923741</v>
      </c>
      <c r="G16" s="356"/>
      <c r="H16" s="1733">
        <f>SUM(D16-F16)</f>
        <v>-316637</v>
      </c>
      <c r="I16" s="222"/>
      <c r="J16" s="1733">
        <f>SUM('Acct Summary 7-8'!C81,'Acct Summary 7-8'!D81,'Acct Summary 7-8'!F81,'Acct Summary 7-8'!I81)</f>
        <v>6983582</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2065</v>
      </c>
      <c r="C31" s="367" t="s">
        <v>586</v>
      </c>
      <c r="D31" s="237" t="s">
        <v>1072</v>
      </c>
      <c r="E31" s="222"/>
      <c r="F31" s="222"/>
      <c r="G31" s="363"/>
      <c r="H31" s="1735">
        <f>IF(B31="X",(J7*0.069),IF(B32="X",(J7*0.138),"Enter x in a.or b."))</f>
        <v>37767633.069000006</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14496362</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rgb="FF00B050"/>
  </sheetPr>
  <dimension ref="A1:R44"/>
  <sheetViews>
    <sheetView showGridLines="0" topLeftCell="A19" zoomScale="110" zoomScaleNormal="110" workbookViewId="0">
      <selection activeCell="I44" sqref="I44:S44"/>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Center Cass SD 66</v>
      </c>
      <c r="E7" s="391"/>
      <c r="G7" s="252"/>
      <c r="H7" s="387"/>
      <c r="I7" s="387"/>
      <c r="J7" s="387"/>
      <c r="K7" s="387"/>
      <c r="L7" s="329"/>
      <c r="M7" s="329"/>
      <c r="N7" s="329"/>
      <c r="O7" s="329"/>
      <c r="P7" s="329"/>
    </row>
    <row r="8" spans="1:18" ht="12.75" x14ac:dyDescent="0.2">
      <c r="A8" s="329"/>
      <c r="B8" s="329"/>
      <c r="C8" s="389" t="s">
        <v>1125</v>
      </c>
      <c r="D8" s="392">
        <f>COVER!A13</f>
        <v>19022066002</v>
      </c>
      <c r="E8" s="393"/>
      <c r="G8" s="329"/>
      <c r="H8" s="329"/>
      <c r="I8" s="329"/>
      <c r="J8" s="329"/>
      <c r="K8" s="329"/>
      <c r="L8" s="329"/>
      <c r="M8" s="329"/>
      <c r="N8" s="329"/>
      <c r="O8" s="329"/>
      <c r="P8" s="329"/>
    </row>
    <row r="9" spans="1:18" ht="12.75" x14ac:dyDescent="0.2">
      <c r="A9" s="329"/>
      <c r="B9" s="329"/>
      <c r="C9" s="389" t="s">
        <v>713</v>
      </c>
      <c r="D9" s="394" t="str">
        <f>COVER!A15</f>
        <v>DuPage County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6983582</v>
      </c>
      <c r="I12" s="404"/>
      <c r="J12" s="404"/>
      <c r="K12" s="405">
        <f>TRUNC((H12/H13*100000),5)/100000</f>
        <v>0.51553823669999999</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13546196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-60908</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13923741</v>
      </c>
      <c r="I17" s="404"/>
      <c r="J17" s="416"/>
      <c r="K17" s="405">
        <f>TRUNC((H17/H18*100000),5)/100000</f>
        <v>1.0278709239999999</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13546196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-60908</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14.909381399999999</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6992696</v>
      </c>
      <c r="I24" s="422"/>
      <c r="J24" s="422"/>
      <c r="K24" s="423">
        <f>TRUNC(((H24/H25*100000)/100000),2)</f>
        <v>180.79</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38677.05833</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9830805.41646</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14496362</v>
      </c>
      <c r="I32" s="420"/>
      <c r="J32" s="420"/>
      <c r="K32" s="423">
        <f>TRUNC(100-((((H32/H33*100))*100)/100),2)</f>
        <v>61.61</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37767633.069000006</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3.55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50"/>
  </sheetPr>
  <dimension ref="A1:N44"/>
  <sheetViews>
    <sheetView showGridLines="0" defaultGridColor="0" colorId="8" zoomScale="60" zoomScaleNormal="60" workbookViewId="0">
      <pane ySplit="2" topLeftCell="A18" activePane="bottomLeft" state="frozen"/>
      <selection activeCell="I44" sqref="I44:S44"/>
      <selection pane="bottomLeft" activeCell="I44" sqref="I44:S4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4100444</v>
      </c>
      <c r="D4" s="466">
        <v>1084012</v>
      </c>
      <c r="E4" s="466">
        <v>337609</v>
      </c>
      <c r="F4" s="466">
        <v>54512</v>
      </c>
      <c r="G4" s="466">
        <v>56180</v>
      </c>
      <c r="H4" s="466">
        <v>4732357</v>
      </c>
      <c r="I4" s="466">
        <v>1753728</v>
      </c>
      <c r="J4" s="467"/>
      <c r="K4" s="466"/>
      <c r="L4" s="466">
        <v>101887</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4100444</v>
      </c>
      <c r="D13" s="1737">
        <f t="shared" ref="D13:L13" si="0">SUM(D4:D12)</f>
        <v>1084012</v>
      </c>
      <c r="E13" s="1737">
        <f t="shared" si="0"/>
        <v>337609</v>
      </c>
      <c r="F13" s="1737">
        <f t="shared" si="0"/>
        <v>54512</v>
      </c>
      <c r="G13" s="1737">
        <f t="shared" si="0"/>
        <v>56180</v>
      </c>
      <c r="H13" s="1737">
        <f t="shared" si="0"/>
        <v>4732357</v>
      </c>
      <c r="I13" s="1737">
        <f t="shared" si="0"/>
        <v>1753728</v>
      </c>
      <c r="J13" s="1737">
        <f t="shared" si="0"/>
        <v>0</v>
      </c>
      <c r="K13" s="1737">
        <f t="shared" si="0"/>
        <v>0</v>
      </c>
      <c r="L13" s="1737">
        <f t="shared" si="0"/>
        <v>101887</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329076</v>
      </c>
      <c r="N16" s="484"/>
    </row>
    <row r="17" spans="1:14" s="485" customFormat="1" ht="12.75" customHeight="1" x14ac:dyDescent="0.2">
      <c r="A17" s="482" t="s">
        <v>1403</v>
      </c>
      <c r="B17" s="483">
        <v>230</v>
      </c>
      <c r="C17" s="477"/>
      <c r="D17" s="477"/>
      <c r="E17" s="477"/>
      <c r="F17" s="477"/>
      <c r="G17" s="477"/>
      <c r="H17" s="477"/>
      <c r="I17" s="477"/>
      <c r="J17" s="477"/>
      <c r="K17" s="477"/>
      <c r="L17" s="477"/>
      <c r="M17" s="467">
        <v>16493991</v>
      </c>
      <c r="N17" s="484"/>
    </row>
    <row r="18" spans="1:14" s="485" customFormat="1" ht="12.75" customHeight="1" x14ac:dyDescent="0.2">
      <c r="A18" s="482" t="s">
        <v>1404</v>
      </c>
      <c r="B18" s="483">
        <v>240</v>
      </c>
      <c r="C18" s="477"/>
      <c r="D18" s="477"/>
      <c r="E18" s="477"/>
      <c r="F18" s="477"/>
      <c r="G18" s="477"/>
      <c r="H18" s="477"/>
      <c r="I18" s="477"/>
      <c r="J18" s="477"/>
      <c r="K18" s="477"/>
      <c r="L18" s="477"/>
      <c r="M18" s="467">
        <v>9246847</v>
      </c>
      <c r="N18" s="484"/>
    </row>
    <row r="19" spans="1:14" s="485" customFormat="1" ht="12.75" customHeight="1" x14ac:dyDescent="0.2">
      <c r="A19" s="482" t="s">
        <v>1405</v>
      </c>
      <c r="B19" s="483">
        <v>250</v>
      </c>
      <c r="C19" s="477"/>
      <c r="D19" s="477"/>
      <c r="E19" s="477"/>
      <c r="F19" s="477"/>
      <c r="G19" s="477"/>
      <c r="H19" s="477"/>
      <c r="I19" s="477"/>
      <c r="J19" s="477"/>
      <c r="K19" s="477"/>
      <c r="L19" s="477"/>
      <c r="M19" s="467">
        <f>4136843+1442304</f>
        <v>5579147</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337609</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14158753</v>
      </c>
    </row>
    <row r="23" spans="1:14" ht="13.5" customHeight="1" thickBot="1" x14ac:dyDescent="0.25">
      <c r="A23" s="1736" t="s">
        <v>643</v>
      </c>
      <c r="B23" s="1741"/>
      <c r="C23" s="468"/>
      <c r="D23" s="468"/>
      <c r="E23" s="468"/>
      <c r="F23" s="468"/>
      <c r="G23" s="468"/>
      <c r="H23" s="468"/>
      <c r="I23" s="468"/>
      <c r="J23" s="468"/>
      <c r="K23" s="468"/>
      <c r="L23" s="468"/>
      <c r="M23" s="1688">
        <f>SUM(M15:M22)</f>
        <v>31649061</v>
      </c>
      <c r="N23" s="1688">
        <f>SUM(N21:N22)</f>
        <v>14496362</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v>9114</v>
      </c>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101887</v>
      </c>
      <c r="M33" s="468"/>
      <c r="N33" s="469"/>
    </row>
    <row r="34" spans="1:14" ht="13.5" customHeight="1" thickBot="1" x14ac:dyDescent="0.25">
      <c r="A34" s="1738" t="s">
        <v>654</v>
      </c>
      <c r="B34" s="1739"/>
      <c r="C34" s="1740">
        <f>SUM(C25:C33)</f>
        <v>9114</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101887</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14496362</v>
      </c>
    </row>
    <row r="37" spans="1:14" ht="13.5" thickBot="1" x14ac:dyDescent="0.25">
      <c r="A37" s="1736" t="s">
        <v>653</v>
      </c>
      <c r="B37" s="1741"/>
      <c r="C37" s="477"/>
      <c r="D37" s="477"/>
      <c r="E37" s="477"/>
      <c r="F37" s="477"/>
      <c r="G37" s="477"/>
      <c r="H37" s="477"/>
      <c r="I37" s="477"/>
      <c r="J37" s="477"/>
      <c r="K37" s="477"/>
      <c r="L37" s="480"/>
      <c r="M37" s="468"/>
      <c r="N37" s="1688">
        <f>SUM(N36:N36)</f>
        <v>14496362</v>
      </c>
    </row>
    <row r="38" spans="1:14" s="329" customFormat="1" ht="13.5" customHeight="1" thickTop="1" x14ac:dyDescent="0.2">
      <c r="A38" s="496" t="s">
        <v>420</v>
      </c>
      <c r="B38" s="483">
        <v>714</v>
      </c>
      <c r="C38" s="466"/>
      <c r="D38" s="466">
        <v>1084012</v>
      </c>
      <c r="E38" s="466">
        <v>337609</v>
      </c>
      <c r="F38" s="466">
        <v>54512</v>
      </c>
      <c r="G38" s="466">
        <v>56180</v>
      </c>
      <c r="H38" s="466">
        <v>4732357</v>
      </c>
      <c r="I38" s="466">
        <v>1753728</v>
      </c>
      <c r="J38" s="467"/>
      <c r="K38" s="466"/>
      <c r="L38" s="481"/>
      <c r="M38" s="497"/>
      <c r="N38" s="497"/>
    </row>
    <row r="39" spans="1:14" s="329" customFormat="1" ht="13.5" customHeight="1" x14ac:dyDescent="0.2">
      <c r="A39" s="496" t="s">
        <v>342</v>
      </c>
      <c r="B39" s="483">
        <v>730</v>
      </c>
      <c r="C39" s="466">
        <v>4091330</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31649061</v>
      </c>
      <c r="N40" s="497"/>
    </row>
    <row r="41" spans="1:14" ht="13.5" customHeight="1" thickBot="1" x14ac:dyDescent="0.25">
      <c r="A41" s="1736" t="s">
        <v>655</v>
      </c>
      <c r="B41" s="1706"/>
      <c r="C41" s="1688">
        <f>(SUM(C34,C37,C38,C39))</f>
        <v>4100444</v>
      </c>
      <c r="D41" s="1688">
        <f t="shared" ref="D41:L41" si="2">SUM(D34,D37,D38:D39)</f>
        <v>1084012</v>
      </c>
      <c r="E41" s="1688">
        <f t="shared" si="2"/>
        <v>337609</v>
      </c>
      <c r="F41" s="1688">
        <f t="shared" si="2"/>
        <v>54512</v>
      </c>
      <c r="G41" s="1688">
        <f t="shared" si="2"/>
        <v>56180</v>
      </c>
      <c r="H41" s="1688">
        <f t="shared" si="2"/>
        <v>4732357</v>
      </c>
      <c r="I41" s="1688">
        <f t="shared" si="2"/>
        <v>1753728</v>
      </c>
      <c r="J41" s="1688">
        <f t="shared" si="2"/>
        <v>0</v>
      </c>
      <c r="K41" s="1688">
        <f t="shared" si="2"/>
        <v>0</v>
      </c>
      <c r="L41" s="1688">
        <f t="shared" si="2"/>
        <v>101887</v>
      </c>
      <c r="M41" s="1688">
        <f>SUM(M40)</f>
        <v>31649061</v>
      </c>
      <c r="N41" s="1688">
        <f>SUM(N37)</f>
        <v>14496362</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M87"/>
  <sheetViews>
    <sheetView showGridLines="0" defaultGridColor="0" colorId="8" zoomScale="80" zoomScaleNormal="80" zoomScaleSheetLayoutView="100" workbookViewId="0">
      <pane ySplit="2" topLeftCell="A72" activePane="bottomLeft" state="frozen"/>
      <selection activeCell="I44" sqref="I44:S44"/>
      <selection pane="bottomLeft" activeCell="C29" sqref="C2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10545118</v>
      </c>
      <c r="D4" s="1742">
        <f>'Revenues 9-14'!D109</f>
        <v>1067397</v>
      </c>
      <c r="E4" s="1742">
        <f>'Revenues 9-14'!E109</f>
        <v>822805</v>
      </c>
      <c r="F4" s="1742">
        <f>'Revenues 9-14'!F109</f>
        <v>569494</v>
      </c>
      <c r="G4" s="1742">
        <f>'Revenues 9-14'!G109</f>
        <v>484829</v>
      </c>
      <c r="H4" s="1742">
        <f>'Revenues 9-14'!H109</f>
        <v>128679</v>
      </c>
      <c r="I4" s="1742">
        <f>'Revenues 9-14'!I109</f>
        <v>79746</v>
      </c>
      <c r="J4" s="1742">
        <f>'Revenues 9-14'!J109</f>
        <v>0</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752908</v>
      </c>
      <c r="D6" s="1743">
        <f>'Revenues 9-14'!D170</f>
        <v>0</v>
      </c>
      <c r="E6" s="1743">
        <f>'Revenues 9-14'!E170</f>
        <v>0</v>
      </c>
      <c r="F6" s="1743">
        <f>'Revenues 9-14'!F170</f>
        <v>92620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499821</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11797847</v>
      </c>
      <c r="D8" s="1688">
        <f t="shared" ref="D8:K8" si="0">SUM(D4:D7)</f>
        <v>1067397</v>
      </c>
      <c r="E8" s="1688">
        <f t="shared" si="0"/>
        <v>822805</v>
      </c>
      <c r="F8" s="1688">
        <f t="shared" si="0"/>
        <v>662114</v>
      </c>
      <c r="G8" s="1688">
        <f t="shared" si="0"/>
        <v>484829</v>
      </c>
      <c r="H8" s="1688">
        <f t="shared" si="0"/>
        <v>128679</v>
      </c>
      <c r="I8" s="1688">
        <f t="shared" si="0"/>
        <v>79746</v>
      </c>
      <c r="J8" s="1688">
        <f t="shared" si="0"/>
        <v>0</v>
      </c>
      <c r="K8" s="1688">
        <f t="shared" si="0"/>
        <v>0</v>
      </c>
      <c r="L8" s="347"/>
    </row>
    <row r="9" spans="1:13" ht="15.75" thickTop="1" x14ac:dyDescent="0.2">
      <c r="A9" s="514" t="s">
        <v>1653</v>
      </c>
      <c r="B9" s="515">
        <v>3998</v>
      </c>
      <c r="C9" s="481">
        <v>5377905</v>
      </c>
      <c r="D9" s="516"/>
      <c r="E9" s="481"/>
      <c r="F9" s="481"/>
      <c r="G9" s="517"/>
      <c r="H9" s="481"/>
      <c r="I9" s="509" t="s">
        <v>1169</v>
      </c>
      <c r="J9" s="478"/>
      <c r="K9" s="481"/>
      <c r="L9" s="347"/>
    </row>
    <row r="10" spans="1:13" s="519" customFormat="1" ht="13.5" thickBot="1" x14ac:dyDescent="0.25">
      <c r="A10" s="1736" t="s">
        <v>1173</v>
      </c>
      <c r="B10" s="1709"/>
      <c r="C10" s="1688">
        <f>SUM(C8:C9)</f>
        <v>17175752</v>
      </c>
      <c r="D10" s="1688">
        <f t="shared" ref="D10:K10" si="1">SUM(D8:D9)</f>
        <v>1067397</v>
      </c>
      <c r="E10" s="1688">
        <f t="shared" si="1"/>
        <v>822805</v>
      </c>
      <c r="F10" s="1688">
        <f t="shared" si="1"/>
        <v>662114</v>
      </c>
      <c r="G10" s="1688">
        <f t="shared" si="1"/>
        <v>484829</v>
      </c>
      <c r="H10" s="1688">
        <f t="shared" si="1"/>
        <v>128679</v>
      </c>
      <c r="I10" s="1688">
        <f t="shared" si="1"/>
        <v>79746</v>
      </c>
      <c r="J10" s="1688">
        <f t="shared" si="1"/>
        <v>0</v>
      </c>
      <c r="K10" s="1688">
        <f t="shared" si="1"/>
        <v>0</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8152859</v>
      </c>
      <c r="D12" s="520" t="s">
        <v>1169</v>
      </c>
      <c r="E12" s="468" t="s">
        <v>1169</v>
      </c>
      <c r="F12" s="468" t="s">
        <v>1169</v>
      </c>
      <c r="G12" s="1742">
        <f>'Expenditures 15-22'!K229</f>
        <v>175503</v>
      </c>
      <c r="H12" s="521"/>
      <c r="I12" s="468" t="s">
        <v>1169</v>
      </c>
      <c r="J12" s="468" t="s">
        <v>1169</v>
      </c>
      <c r="K12" s="521" t="s">
        <v>1169</v>
      </c>
      <c r="L12" s="347"/>
    </row>
    <row r="13" spans="1:13" ht="15.75" customHeight="1" x14ac:dyDescent="0.2">
      <c r="A13" s="1576" t="s">
        <v>457</v>
      </c>
      <c r="B13" s="1578">
        <v>2000</v>
      </c>
      <c r="C13" s="1743">
        <f>'Expenditures 15-22'!K74</f>
        <v>3120206</v>
      </c>
      <c r="D13" s="1743">
        <f>'Expenditures 15-22'!K129</f>
        <v>1107097</v>
      </c>
      <c r="E13" s="469" t="s">
        <v>1169</v>
      </c>
      <c r="F13" s="1743">
        <f>'Expenditures 15-22'!K184</f>
        <v>754109</v>
      </c>
      <c r="G13" s="1743">
        <f>'Expenditures 15-22'!K279</f>
        <v>235290</v>
      </c>
      <c r="H13" s="1743">
        <f>'Expenditures 15-22'!K303</f>
        <v>7508233</v>
      </c>
      <c r="I13" s="468" t="s">
        <v>1169</v>
      </c>
      <c r="J13" s="1743">
        <f>'Expenditures 15-22'!K330</f>
        <v>0</v>
      </c>
      <c r="K13" s="1747">
        <f>'Expenditures 15-22'!K352</f>
        <v>0</v>
      </c>
      <c r="L13" s="347"/>
    </row>
    <row r="14" spans="1:13" ht="15.75" customHeight="1" x14ac:dyDescent="0.2">
      <c r="A14" s="1576" t="s">
        <v>449</v>
      </c>
      <c r="B14" s="1578">
        <v>3000</v>
      </c>
      <c r="C14" s="1743">
        <f>'Expenditures 15-22'!K75</f>
        <v>263511</v>
      </c>
      <c r="D14" s="1743">
        <f>'Expenditures 15-22'!K130</f>
        <v>0</v>
      </c>
      <c r="E14" s="520" t="s">
        <v>1169</v>
      </c>
      <c r="F14" s="1743">
        <f>'Expenditures 15-22'!K185</f>
        <v>0</v>
      </c>
      <c r="G14" s="1743">
        <f>'Expenditures 15-22'!K280</f>
        <v>35355</v>
      </c>
      <c r="H14" s="512"/>
      <c r="I14" s="468" t="s">
        <v>1169</v>
      </c>
      <c r="J14" s="468" t="s">
        <v>1169</v>
      </c>
      <c r="K14" s="512" t="s">
        <v>1169</v>
      </c>
      <c r="L14" s="347"/>
    </row>
    <row r="15" spans="1:13" ht="15.75" customHeight="1" x14ac:dyDescent="0.2">
      <c r="A15" s="1576" t="s">
        <v>107</v>
      </c>
      <c r="B15" s="1578">
        <v>4000</v>
      </c>
      <c r="C15" s="1743">
        <f>'Expenditures 15-22'!K102</f>
        <v>525959</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1136962</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12062535</v>
      </c>
      <c r="D17" s="1688">
        <f t="shared" si="2"/>
        <v>1107097</v>
      </c>
      <c r="E17" s="1688">
        <f t="shared" si="2"/>
        <v>1136962</v>
      </c>
      <c r="F17" s="1688">
        <f t="shared" si="2"/>
        <v>754109</v>
      </c>
      <c r="G17" s="1688">
        <f t="shared" si="2"/>
        <v>446148</v>
      </c>
      <c r="H17" s="1688">
        <f t="shared" si="2"/>
        <v>7508233</v>
      </c>
      <c r="I17" s="468"/>
      <c r="J17" s="1688">
        <f>SUM(J12:J16)</f>
        <v>0</v>
      </c>
      <c r="K17" s="1688">
        <f>SUM(K12:K16)</f>
        <v>0</v>
      </c>
      <c r="L17" s="347"/>
    </row>
    <row r="18" spans="1:12" ht="15" customHeight="1" thickTop="1" x14ac:dyDescent="0.2">
      <c r="A18" s="1744" t="s">
        <v>1654</v>
      </c>
      <c r="B18" s="1745">
        <v>4180</v>
      </c>
      <c r="C18" s="1742">
        <f t="shared" ref="C18:H18" si="3">C9</f>
        <v>5377905</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17440440</v>
      </c>
      <c r="D19" s="1688">
        <f t="shared" si="4"/>
        <v>1107097</v>
      </c>
      <c r="E19" s="1688">
        <f t="shared" si="4"/>
        <v>1136962</v>
      </c>
      <c r="F19" s="1688">
        <f t="shared" si="4"/>
        <v>754109</v>
      </c>
      <c r="G19" s="1688">
        <f t="shared" si="4"/>
        <v>446148</v>
      </c>
      <c r="H19" s="1688">
        <f t="shared" si="4"/>
        <v>7508233</v>
      </c>
      <c r="I19" s="468"/>
      <c r="J19" s="1688">
        <f>SUM(J17:J18)</f>
        <v>0</v>
      </c>
      <c r="K19" s="1688">
        <f>SUM(K17:K18)</f>
        <v>0</v>
      </c>
      <c r="L19" s="347"/>
    </row>
    <row r="20" spans="1:12" ht="16.5" thickTop="1" thickBot="1" x14ac:dyDescent="0.25">
      <c r="A20" s="2130" t="s">
        <v>1655</v>
      </c>
      <c r="B20" s="2131"/>
      <c r="C20" s="1746">
        <f>C8-C17</f>
        <v>-264688</v>
      </c>
      <c r="D20" s="1746">
        <f t="shared" ref="D20:K20" si="5">D8-D17</f>
        <v>-39700</v>
      </c>
      <c r="E20" s="1746">
        <f t="shared" si="5"/>
        <v>-314157</v>
      </c>
      <c r="F20" s="1746">
        <f t="shared" si="5"/>
        <v>-91995</v>
      </c>
      <c r="G20" s="1746">
        <f t="shared" si="5"/>
        <v>38681</v>
      </c>
      <c r="H20" s="1746">
        <f t="shared" si="5"/>
        <v>-7379554</v>
      </c>
      <c r="I20" s="1746">
        <f t="shared" si="5"/>
        <v>79746</v>
      </c>
      <c r="J20" s="1746">
        <f t="shared" si="5"/>
        <v>0</v>
      </c>
      <c r="K20" s="1746">
        <f t="shared" si="5"/>
        <v>0</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v>224830</v>
      </c>
      <c r="D25" s="467">
        <v>35500</v>
      </c>
      <c r="E25" s="467"/>
      <c r="F25" s="467"/>
      <c r="G25" s="467"/>
      <c r="H25" s="467"/>
      <c r="I25" s="477"/>
      <c r="J25" s="467"/>
      <c r="K25" s="467"/>
      <c r="L25" s="524"/>
    </row>
    <row r="26" spans="1:12" s="485" customFormat="1" ht="13.5" customHeight="1" x14ac:dyDescent="0.2">
      <c r="A26" s="1489" t="s">
        <v>184</v>
      </c>
      <c r="B26" s="483">
        <v>7120</v>
      </c>
      <c r="C26" s="467">
        <v>41182</v>
      </c>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f>65871-41182+1</f>
        <v>24690</v>
      </c>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v>8910000</v>
      </c>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115000</v>
      </c>
      <c r="F37" s="475"/>
      <c r="G37" s="475"/>
      <c r="H37" s="475"/>
      <c r="I37" s="477"/>
      <c r="J37" s="475"/>
      <c r="K37" s="475"/>
      <c r="L37" s="524"/>
    </row>
    <row r="38" spans="1:12" s="485" customFormat="1" x14ac:dyDescent="0.2">
      <c r="A38" s="1489" t="s">
        <v>442</v>
      </c>
      <c r="B38" s="525">
        <v>7500</v>
      </c>
      <c r="C38" s="477"/>
      <c r="D38" s="477"/>
      <c r="E38" s="1743">
        <f>SUM(C58:D61,H58:H61)</f>
        <v>60908</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303974</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290702</v>
      </c>
      <c r="D44" s="1703">
        <f t="shared" ref="D44:K44" si="6">SUM(D24:D43)</f>
        <v>35500</v>
      </c>
      <c r="E44" s="1703">
        <f t="shared" si="6"/>
        <v>175908</v>
      </c>
      <c r="F44" s="1703">
        <f t="shared" si="6"/>
        <v>0</v>
      </c>
      <c r="G44" s="1703">
        <f t="shared" si="6"/>
        <v>0</v>
      </c>
      <c r="H44" s="1703">
        <f t="shared" si="6"/>
        <v>9213974</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260330</v>
      </c>
      <c r="J47" s="477"/>
      <c r="K47" s="477"/>
      <c r="L47" s="529"/>
    </row>
    <row r="48" spans="1:12" s="485" customFormat="1" ht="15" x14ac:dyDescent="0.2">
      <c r="A48" s="1490" t="s">
        <v>1660</v>
      </c>
      <c r="B48" s="483">
        <v>8120</v>
      </c>
      <c r="C48" s="480"/>
      <c r="D48" s="480"/>
      <c r="E48" s="477"/>
      <c r="F48" s="480"/>
      <c r="G48" s="477"/>
      <c r="H48" s="477"/>
      <c r="I48" s="1743">
        <f>SUM(C26:H26,J26,K26)</f>
        <v>41182</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v>24175</v>
      </c>
      <c r="E50" s="467"/>
      <c r="F50" s="467">
        <v>515</v>
      </c>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v>115000</v>
      </c>
      <c r="E57" s="477"/>
      <c r="F57" s="477"/>
      <c r="G57" s="477"/>
      <c r="H57" s="530"/>
      <c r="I57" s="477"/>
      <c r="J57" s="477"/>
      <c r="K57" s="477"/>
      <c r="L57" s="524"/>
    </row>
    <row r="58" spans="1:12" s="485" customFormat="1" ht="14.25" thickTop="1" thickBot="1" x14ac:dyDescent="0.25">
      <c r="A58" s="1490" t="s">
        <v>579</v>
      </c>
      <c r="B58" s="483">
        <v>8510</v>
      </c>
      <c r="C58" s="531"/>
      <c r="D58" s="531">
        <v>60908</v>
      </c>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v>303974</v>
      </c>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303974</v>
      </c>
      <c r="D76" s="1703">
        <f t="shared" si="7"/>
        <v>200083</v>
      </c>
      <c r="E76" s="1703">
        <f t="shared" si="7"/>
        <v>0</v>
      </c>
      <c r="F76" s="1703">
        <f t="shared" si="7"/>
        <v>515</v>
      </c>
      <c r="G76" s="1703">
        <f t="shared" si="7"/>
        <v>0</v>
      </c>
      <c r="H76" s="1703">
        <f t="shared" si="7"/>
        <v>0</v>
      </c>
      <c r="I76" s="1703">
        <f t="shared" si="7"/>
        <v>301512</v>
      </c>
      <c r="J76" s="1703">
        <f t="shared" si="7"/>
        <v>0</v>
      </c>
      <c r="K76" s="1703">
        <f t="shared" si="7"/>
        <v>0</v>
      </c>
      <c r="L76" s="524"/>
    </row>
    <row r="77" spans="1:12" ht="14.25" thickTop="1" thickBot="1" x14ac:dyDescent="0.25">
      <c r="A77" s="2122" t="s">
        <v>1177</v>
      </c>
      <c r="B77" s="2123"/>
      <c r="C77" s="1703">
        <f t="shared" ref="C77:K77" si="8">C44-C76</f>
        <v>-13272</v>
      </c>
      <c r="D77" s="1703">
        <f t="shared" si="8"/>
        <v>-164583</v>
      </c>
      <c r="E77" s="1703">
        <f t="shared" si="8"/>
        <v>175908</v>
      </c>
      <c r="F77" s="1703">
        <f t="shared" si="8"/>
        <v>-515</v>
      </c>
      <c r="G77" s="1703">
        <f t="shared" si="8"/>
        <v>0</v>
      </c>
      <c r="H77" s="1703">
        <f t="shared" si="8"/>
        <v>9213974</v>
      </c>
      <c r="I77" s="1703">
        <f t="shared" si="8"/>
        <v>-301512</v>
      </c>
      <c r="J77" s="1703">
        <f t="shared" si="8"/>
        <v>0</v>
      </c>
      <c r="K77" s="1703">
        <f t="shared" si="8"/>
        <v>0</v>
      </c>
      <c r="L77" s="347"/>
    </row>
    <row r="78" spans="1:12" ht="21.75" customHeight="1" thickTop="1" thickBot="1" x14ac:dyDescent="0.25">
      <c r="A78" s="2126" t="s">
        <v>597</v>
      </c>
      <c r="B78" s="2127"/>
      <c r="C78" s="1702">
        <f t="shared" ref="C78:K78" si="9">C20+C77</f>
        <v>-277960</v>
      </c>
      <c r="D78" s="1702">
        <f t="shared" si="9"/>
        <v>-204283</v>
      </c>
      <c r="E78" s="1702">
        <f t="shared" si="9"/>
        <v>-138249</v>
      </c>
      <c r="F78" s="1702">
        <f t="shared" si="9"/>
        <v>-92510</v>
      </c>
      <c r="G78" s="1702">
        <f t="shared" si="9"/>
        <v>38681</v>
      </c>
      <c r="H78" s="1702">
        <f t="shared" si="9"/>
        <v>1834420</v>
      </c>
      <c r="I78" s="1702">
        <f t="shared" si="9"/>
        <v>-221766</v>
      </c>
      <c r="J78" s="1702">
        <f t="shared" si="9"/>
        <v>0</v>
      </c>
      <c r="K78" s="1702">
        <f t="shared" si="9"/>
        <v>0</v>
      </c>
      <c r="L78" s="533"/>
    </row>
    <row r="79" spans="1:12" ht="13.5" thickTop="1" x14ac:dyDescent="0.2">
      <c r="A79" s="1494" t="s">
        <v>1947</v>
      </c>
      <c r="B79" s="534"/>
      <c r="C79" s="478">
        <v>4369290</v>
      </c>
      <c r="D79" s="535">
        <v>1288295</v>
      </c>
      <c r="E79" s="535">
        <v>475858</v>
      </c>
      <c r="F79" s="535">
        <v>147022</v>
      </c>
      <c r="G79" s="535">
        <v>17499</v>
      </c>
      <c r="H79" s="535">
        <v>2897937</v>
      </c>
      <c r="I79" s="535">
        <v>1975494</v>
      </c>
      <c r="J79" s="535"/>
      <c r="K79" s="535"/>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1948</v>
      </c>
      <c r="B81" s="2125"/>
      <c r="C81" s="1688">
        <f>(SUM(C78:C80))</f>
        <v>4091330</v>
      </c>
      <c r="D81" s="1688">
        <f>SUM(D78:D80)</f>
        <v>1084012</v>
      </c>
      <c r="E81" s="1688">
        <f t="shared" ref="E81:K81" si="10">SUM(E78:E80)</f>
        <v>337609</v>
      </c>
      <c r="F81" s="1688">
        <f t="shared" si="10"/>
        <v>54512</v>
      </c>
      <c r="G81" s="1688">
        <f t="shared" si="10"/>
        <v>56180</v>
      </c>
      <c r="H81" s="1688">
        <f t="shared" si="10"/>
        <v>4732357</v>
      </c>
      <c r="I81" s="1688">
        <f t="shared" si="10"/>
        <v>1753728</v>
      </c>
      <c r="J81" s="1688">
        <f t="shared" si="10"/>
        <v>0</v>
      </c>
      <c r="K81" s="1688">
        <f t="shared" si="10"/>
        <v>0</v>
      </c>
      <c r="L81" s="347"/>
    </row>
    <row r="82" spans="1:12" ht="0.75" customHeight="1" thickTop="1" thickBot="1" x14ac:dyDescent="0.25">
      <c r="A82" s="536" t="s">
        <v>343</v>
      </c>
      <c r="B82" s="537"/>
      <c r="C82" s="538">
        <f>(C81-C79)</f>
        <v>-277960</v>
      </c>
      <c r="D82" s="538">
        <f t="shared" ref="D82:K82" si="11">(D81-D79)</f>
        <v>-204283</v>
      </c>
      <c r="E82" s="538">
        <f t="shared" si="11"/>
        <v>-138249</v>
      </c>
      <c r="F82" s="538">
        <f t="shared" si="11"/>
        <v>-92510</v>
      </c>
      <c r="G82" s="538">
        <f t="shared" si="11"/>
        <v>38681</v>
      </c>
      <c r="H82" s="538">
        <f t="shared" si="11"/>
        <v>1834420</v>
      </c>
      <c r="I82" s="538">
        <f t="shared" si="11"/>
        <v>-221766</v>
      </c>
      <c r="J82" s="538">
        <f t="shared" si="11"/>
        <v>0</v>
      </c>
      <c r="K82" s="538">
        <f t="shared" si="11"/>
        <v>0</v>
      </c>
    </row>
    <row r="83" spans="1:12" ht="14.25" hidden="1" thickTop="1" thickBot="1" x14ac:dyDescent="0.25">
      <c r="A83" s="539" t="s">
        <v>344</v>
      </c>
      <c r="B83" s="464"/>
      <c r="C83" s="540">
        <f>C82/C81</f>
        <v>-6.7938787631405928E-2</v>
      </c>
      <c r="D83" s="540">
        <f t="shared" ref="D83:K83" si="12">D82/D81</f>
        <v>-0.18845086585757354</v>
      </c>
      <c r="E83" s="540">
        <f t="shared" si="12"/>
        <v>-0.40949441513703722</v>
      </c>
      <c r="F83" s="540">
        <f t="shared" si="12"/>
        <v>-1.697057528617552</v>
      </c>
      <c r="G83" s="540">
        <f t="shared" si="12"/>
        <v>0.6885190459238163</v>
      </c>
      <c r="H83" s="540">
        <f t="shared" si="12"/>
        <v>0.38763347735599829</v>
      </c>
      <c r="I83" s="540">
        <f t="shared" si="12"/>
        <v>-0.12645404532515875</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L279"/>
  <sheetViews>
    <sheetView showGridLines="0" defaultGridColor="0" colorId="8" zoomScale="80" zoomScaleNormal="80" zoomScaleSheetLayoutView="75" workbookViewId="0">
      <pane ySplit="2" topLeftCell="A165" activePane="bottomLeft" state="frozen"/>
      <selection activeCell="I44" sqref="I44:S44"/>
      <selection pane="bottomLeft" activeCell="C191" sqref="C191"/>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9690213</v>
      </c>
      <c r="D5" s="481">
        <v>921284</v>
      </c>
      <c r="E5" s="466">
        <v>815573</v>
      </c>
      <c r="F5" s="548">
        <v>568979</v>
      </c>
      <c r="G5" s="466">
        <v>484104</v>
      </c>
      <c r="H5" s="466"/>
      <c r="I5" s="466">
        <v>38564</v>
      </c>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v>0</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9690213</v>
      </c>
      <c r="D12" s="1707">
        <f t="shared" si="0"/>
        <v>921284</v>
      </c>
      <c r="E12" s="1707">
        <f t="shared" si="0"/>
        <v>815573</v>
      </c>
      <c r="F12" s="1707">
        <f t="shared" si="0"/>
        <v>568979</v>
      </c>
      <c r="G12" s="1707">
        <f t="shared" si="0"/>
        <v>484104</v>
      </c>
      <c r="H12" s="1707">
        <f t="shared" si="0"/>
        <v>0</v>
      </c>
      <c r="I12" s="1707">
        <f t="shared" si="0"/>
        <v>38564</v>
      </c>
      <c r="J12" s="1707">
        <f t="shared" si="0"/>
        <v>0</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84670</v>
      </c>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84670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v>29225</v>
      </c>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29225</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71111</v>
      </c>
      <c r="D65" s="466">
        <v>24175</v>
      </c>
      <c r="E65" s="466">
        <v>7232</v>
      </c>
      <c r="F65" s="467">
        <v>515</v>
      </c>
      <c r="G65" s="466">
        <v>725</v>
      </c>
      <c r="H65" s="466">
        <v>117626</v>
      </c>
      <c r="I65" s="466">
        <v>41182</v>
      </c>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71111</v>
      </c>
      <c r="D67" s="1688">
        <f t="shared" ref="D67:K67" si="2">SUM(D65:D66)</f>
        <v>24175</v>
      </c>
      <c r="E67" s="1688">
        <f t="shared" si="2"/>
        <v>7232</v>
      </c>
      <c r="F67" s="1688">
        <f t="shared" si="2"/>
        <v>515</v>
      </c>
      <c r="G67" s="1688">
        <f t="shared" si="2"/>
        <v>725</v>
      </c>
      <c r="H67" s="1688">
        <f t="shared" si="2"/>
        <v>117626</v>
      </c>
      <c r="I67" s="1688">
        <f t="shared" si="2"/>
        <v>41182</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154013</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117</v>
      </c>
      <c r="D73" s="468"/>
      <c r="E73" s="468"/>
      <c r="F73" s="468"/>
      <c r="G73" s="468"/>
      <c r="H73" s="468"/>
      <c r="I73" s="468"/>
      <c r="J73" s="468"/>
      <c r="K73" s="468"/>
    </row>
    <row r="74" spans="1:11" ht="12.75" customHeight="1" x14ac:dyDescent="0.2">
      <c r="A74" s="463" t="s">
        <v>25</v>
      </c>
      <c r="B74" s="470">
        <v>1690</v>
      </c>
      <c r="C74" s="551">
        <v>5130</v>
      </c>
      <c r="D74" s="468"/>
      <c r="E74" s="468"/>
      <c r="F74" s="468"/>
      <c r="G74" s="468"/>
      <c r="H74" s="468"/>
      <c r="I74" s="468"/>
      <c r="J74" s="468"/>
      <c r="K74" s="468"/>
    </row>
    <row r="75" spans="1:11" ht="12.75" customHeight="1" thickBot="1" x14ac:dyDescent="0.25">
      <c r="A75" s="1708" t="s">
        <v>548</v>
      </c>
      <c r="B75" s="1709"/>
      <c r="C75" s="1688">
        <f>SUM(C69:C74)</f>
        <v>159260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-596</v>
      </c>
      <c r="D81" s="466"/>
      <c r="E81" s="468"/>
      <c r="F81" s="468"/>
      <c r="G81" s="468"/>
      <c r="H81" s="468"/>
      <c r="I81" s="468"/>
      <c r="J81" s="468"/>
      <c r="K81" s="468"/>
    </row>
    <row r="82" spans="1:11" ht="12.75" customHeight="1" thickBot="1" x14ac:dyDescent="0.25">
      <c r="A82" s="1708" t="s">
        <v>241</v>
      </c>
      <c r="B82" s="1709"/>
      <c r="C82" s="1707">
        <f>SUM(C77:C81)</f>
        <v>-596</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36088</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v>77202</v>
      </c>
      <c r="D92" s="468"/>
      <c r="E92" s="468"/>
      <c r="F92" s="468"/>
      <c r="G92" s="468"/>
      <c r="H92" s="468"/>
      <c r="I92" s="468"/>
      <c r="J92" s="468"/>
      <c r="K92" s="468"/>
    </row>
    <row r="93" spans="1:11" ht="12.75" customHeight="1" thickBot="1" x14ac:dyDescent="0.25">
      <c r="A93" s="1708" t="s">
        <v>243</v>
      </c>
      <c r="B93" s="1709"/>
      <c r="C93" s="1688">
        <f>SUM(C84:C92)</f>
        <v>113290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121938</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v>11053</v>
      </c>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v>651</v>
      </c>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389962</v>
      </c>
      <c r="D106" s="489"/>
      <c r="E106" s="467"/>
      <c r="F106" s="467"/>
      <c r="G106" s="467"/>
      <c r="H106" s="467"/>
      <c r="I106" s="521"/>
      <c r="J106" s="467"/>
      <c r="K106" s="467"/>
    </row>
    <row r="107" spans="1:12" ht="12.75" customHeight="1" x14ac:dyDescent="0.2">
      <c r="A107" s="463" t="s">
        <v>78</v>
      </c>
      <c r="B107" s="470">
        <v>1999</v>
      </c>
      <c r="C107" s="551">
        <v>7332</v>
      </c>
      <c r="D107" s="466"/>
      <c r="E107" s="466"/>
      <c r="F107" s="466"/>
      <c r="G107" s="466"/>
      <c r="H107" s="466"/>
      <c r="I107" s="466"/>
      <c r="J107" s="467"/>
      <c r="K107" s="466"/>
    </row>
    <row r="108" spans="1:12" ht="12.75" customHeight="1" thickBot="1" x14ac:dyDescent="0.25">
      <c r="A108" s="1708" t="s">
        <v>487</v>
      </c>
      <c r="B108" s="1712"/>
      <c r="C108" s="1707">
        <f>SUM(C95:C107)</f>
        <v>397945</v>
      </c>
      <c r="D108" s="1707">
        <f t="shared" ref="D108:K108" si="3">SUM(D95:D107)</f>
        <v>121938</v>
      </c>
      <c r="E108" s="1707">
        <f t="shared" si="3"/>
        <v>0</v>
      </c>
      <c r="F108" s="1707">
        <f t="shared" si="3"/>
        <v>0</v>
      </c>
      <c r="G108" s="1707">
        <f t="shared" si="3"/>
        <v>0</v>
      </c>
      <c r="H108" s="1707">
        <f t="shared" si="3"/>
        <v>11053</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10545118</v>
      </c>
      <c r="D109" s="1715">
        <f t="shared" si="4"/>
        <v>1067397</v>
      </c>
      <c r="E109" s="1715">
        <f t="shared" si="4"/>
        <v>822805</v>
      </c>
      <c r="F109" s="1715">
        <f t="shared" si="4"/>
        <v>569494</v>
      </c>
      <c r="G109" s="1715">
        <f t="shared" si="4"/>
        <v>484829</v>
      </c>
      <c r="H109" s="1715">
        <f t="shared" si="4"/>
        <v>128679</v>
      </c>
      <c r="I109" s="1715">
        <f t="shared" si="4"/>
        <v>79746</v>
      </c>
      <c r="J109" s="1715">
        <f t="shared" si="4"/>
        <v>0</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679696</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679696</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72280</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72280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932</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8055</v>
      </c>
      <c r="G152" s="467"/>
      <c r="H152" s="468"/>
      <c r="I152" s="468"/>
      <c r="J152" s="468"/>
      <c r="K152" s="468"/>
    </row>
    <row r="153" spans="1:11" ht="12.75" customHeight="1" x14ac:dyDescent="0.2">
      <c r="A153" s="463" t="s">
        <v>1057</v>
      </c>
      <c r="B153" s="562">
        <v>3510</v>
      </c>
      <c r="C153" s="551"/>
      <c r="D153" s="466"/>
      <c r="E153" s="561"/>
      <c r="F153" s="466">
        <v>84565</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92620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73212</v>
      </c>
      <c r="D169" s="1722">
        <f t="shared" si="6"/>
        <v>0</v>
      </c>
      <c r="E169" s="1722">
        <f t="shared" si="6"/>
        <v>0</v>
      </c>
      <c r="F169" s="1722">
        <f t="shared" si="6"/>
        <v>92620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752908</v>
      </c>
      <c r="D170" s="1715">
        <f t="shared" si="7"/>
        <v>0</v>
      </c>
      <c r="E170" s="1715">
        <f t="shared" si="7"/>
        <v>0</v>
      </c>
      <c r="F170" s="1715">
        <f t="shared" si="7"/>
        <v>92620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68685</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v>10579</v>
      </c>
      <c r="D197" s="468"/>
      <c r="E197" s="561"/>
      <c r="F197" s="468"/>
      <c r="G197" s="585"/>
      <c r="H197" s="468"/>
      <c r="I197" s="468"/>
      <c r="J197" s="468"/>
      <c r="K197" s="468"/>
    </row>
    <row r="198" spans="1:11" ht="12.75" customHeight="1" thickBot="1" x14ac:dyDescent="0.25">
      <c r="A198" s="1708" t="s">
        <v>548</v>
      </c>
      <c r="B198" s="1709"/>
      <c r="C198" s="1688">
        <f>SUM(C190:C197)</f>
        <v>79264</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80714</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80714</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3136</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3136</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7027</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235900</v>
      </c>
      <c r="D213" s="466"/>
      <c r="E213" s="468"/>
      <c r="F213" s="466"/>
      <c r="G213" s="466"/>
      <c r="H213" s="468"/>
      <c r="I213" s="468"/>
      <c r="J213" s="468"/>
      <c r="K213" s="468"/>
    </row>
    <row r="214" spans="1:11" ht="12.75" customHeight="1" x14ac:dyDescent="0.2">
      <c r="A214" s="463" t="s">
        <v>1054</v>
      </c>
      <c r="B214" s="470">
        <v>4625</v>
      </c>
      <c r="C214" s="551">
        <v>36450</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279377</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15944</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9909</v>
      </c>
      <c r="D263" s="576"/>
      <c r="E263" s="468"/>
      <c r="F263" s="576"/>
      <c r="G263" s="576"/>
      <c r="H263" s="468"/>
      <c r="I263" s="468"/>
      <c r="J263" s="468"/>
      <c r="K263" s="468"/>
    </row>
    <row r="264" spans="1:11" ht="12.75" customHeight="1" thickTop="1" thickBot="1" x14ac:dyDescent="0.25">
      <c r="A264" s="463" t="s">
        <v>377</v>
      </c>
      <c r="B264" s="470">
        <v>4992</v>
      </c>
      <c r="C264" s="575">
        <v>31477</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499821</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499821</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11797847</v>
      </c>
      <c r="D268" s="1715">
        <f t="shared" si="12"/>
        <v>1067397</v>
      </c>
      <c r="E268" s="1715">
        <f t="shared" si="12"/>
        <v>822805</v>
      </c>
      <c r="F268" s="1715">
        <f t="shared" si="12"/>
        <v>662114</v>
      </c>
      <c r="G268" s="1715">
        <f t="shared" si="12"/>
        <v>484829</v>
      </c>
      <c r="H268" s="1715">
        <f t="shared" si="12"/>
        <v>128679</v>
      </c>
      <c r="I268" s="1715">
        <f t="shared" si="12"/>
        <v>79746</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1:N368"/>
  <sheetViews>
    <sheetView showGridLines="0" defaultGridColor="0" colorId="8" zoomScale="70" zoomScaleNormal="70" workbookViewId="0">
      <pane ySplit="2" topLeftCell="A234" activePane="bottomLeft" state="frozen"/>
      <selection activeCell="I44" sqref="I44:S44"/>
      <selection pane="bottomLeft" activeCell="I44" sqref="I44:S44"/>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5274370</v>
      </c>
      <c r="D5" s="466">
        <v>556987</v>
      </c>
      <c r="E5" s="466">
        <v>59295</v>
      </c>
      <c r="F5" s="466">
        <v>264501</v>
      </c>
      <c r="G5" s="466">
        <v>66629</v>
      </c>
      <c r="H5" s="466">
        <v>278098</v>
      </c>
      <c r="I5" s="467"/>
      <c r="J5" s="467"/>
      <c r="K5" s="1671">
        <f>SUM(C5:J5)</f>
        <v>6499880</v>
      </c>
      <c r="L5" s="466">
        <v>6535728</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1251668</v>
      </c>
      <c r="D8" s="466">
        <v>99792</v>
      </c>
      <c r="E8" s="466">
        <v>7944</v>
      </c>
      <c r="F8" s="466">
        <v>4144</v>
      </c>
      <c r="G8" s="466">
        <v>887</v>
      </c>
      <c r="H8" s="466"/>
      <c r="I8" s="467"/>
      <c r="J8" s="467"/>
      <c r="K8" s="1671">
        <f t="shared" si="0"/>
        <v>1364435</v>
      </c>
      <c r="L8" s="466">
        <v>1417670</v>
      </c>
    </row>
    <row r="9" spans="1:14" x14ac:dyDescent="0.2">
      <c r="A9" s="1504" t="s">
        <v>721</v>
      </c>
      <c r="B9" s="614" t="s">
        <v>968</v>
      </c>
      <c r="C9" s="467">
        <v>98641</v>
      </c>
      <c r="D9" s="467">
        <v>10672</v>
      </c>
      <c r="E9" s="467"/>
      <c r="F9" s="467">
        <v>86</v>
      </c>
      <c r="G9" s="467"/>
      <c r="H9" s="467"/>
      <c r="I9" s="467"/>
      <c r="J9" s="467"/>
      <c r="K9" s="1671">
        <f t="shared" si="0"/>
        <v>109399</v>
      </c>
      <c r="L9" s="466">
        <v>110185</v>
      </c>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52985</v>
      </c>
      <c r="D14" s="466">
        <v>603</v>
      </c>
      <c r="E14" s="466"/>
      <c r="F14" s="466">
        <v>4208</v>
      </c>
      <c r="G14" s="466"/>
      <c r="H14" s="466">
        <v>9878</v>
      </c>
      <c r="I14" s="467"/>
      <c r="J14" s="467"/>
      <c r="K14" s="1671">
        <f t="shared" si="0"/>
        <v>67674</v>
      </c>
      <c r="L14" s="466">
        <v>75350</v>
      </c>
    </row>
    <row r="15" spans="1:14" x14ac:dyDescent="0.2">
      <c r="A15" s="1504" t="s">
        <v>964</v>
      </c>
      <c r="B15" s="614">
        <v>1600</v>
      </c>
      <c r="C15" s="466">
        <v>35455</v>
      </c>
      <c r="D15" s="466">
        <v>466</v>
      </c>
      <c r="E15" s="466"/>
      <c r="F15" s="466">
        <v>1151</v>
      </c>
      <c r="G15" s="466"/>
      <c r="H15" s="466"/>
      <c r="I15" s="467"/>
      <c r="J15" s="467"/>
      <c r="K15" s="1671">
        <f t="shared" si="0"/>
        <v>37072</v>
      </c>
      <c r="L15" s="466">
        <v>53720</v>
      </c>
    </row>
    <row r="16" spans="1:14" x14ac:dyDescent="0.2">
      <c r="A16" s="1504" t="s">
        <v>987</v>
      </c>
      <c r="B16" s="614" t="s">
        <v>424</v>
      </c>
      <c r="C16" s="466">
        <v>5537</v>
      </c>
      <c r="D16" s="466"/>
      <c r="E16" s="466"/>
      <c r="F16" s="466"/>
      <c r="G16" s="466"/>
      <c r="H16" s="466"/>
      <c r="I16" s="467"/>
      <c r="J16" s="467"/>
      <c r="K16" s="1671">
        <f t="shared" si="0"/>
        <v>5537</v>
      </c>
      <c r="L16" s="466">
        <v>4875</v>
      </c>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v>58291</v>
      </c>
      <c r="D18" s="466">
        <v>10371</v>
      </c>
      <c r="E18" s="466"/>
      <c r="F18" s="466">
        <v>200</v>
      </c>
      <c r="G18" s="466"/>
      <c r="H18" s="466"/>
      <c r="I18" s="467"/>
      <c r="J18" s="467"/>
      <c r="K18" s="1671">
        <f t="shared" si="0"/>
        <v>68862</v>
      </c>
      <c r="L18" s="466">
        <v>78646</v>
      </c>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6776947</v>
      </c>
      <c r="D33" s="1670">
        <f t="shared" ref="D33:L33" si="1">SUM(D5:D32)</f>
        <v>678891</v>
      </c>
      <c r="E33" s="1670">
        <f t="shared" si="1"/>
        <v>67239</v>
      </c>
      <c r="F33" s="1670">
        <f t="shared" si="1"/>
        <v>274290</v>
      </c>
      <c r="G33" s="1670">
        <f t="shared" si="1"/>
        <v>67516</v>
      </c>
      <c r="H33" s="1670">
        <f t="shared" si="1"/>
        <v>287976</v>
      </c>
      <c r="I33" s="1670">
        <f t="shared" si="1"/>
        <v>0</v>
      </c>
      <c r="J33" s="1670">
        <f t="shared" si="1"/>
        <v>0</v>
      </c>
      <c r="K33" s="1670">
        <f t="shared" si="1"/>
        <v>8152859</v>
      </c>
      <c r="L33" s="1670">
        <f t="shared" si="1"/>
        <v>8276174</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222339</v>
      </c>
      <c r="D36" s="481">
        <v>21522</v>
      </c>
      <c r="E36" s="481"/>
      <c r="F36" s="481">
        <v>717</v>
      </c>
      <c r="G36" s="481"/>
      <c r="H36" s="481"/>
      <c r="I36" s="467"/>
      <c r="J36" s="467"/>
      <c r="K36" s="1671">
        <f t="shared" ref="K36:K41" si="2">SUM(C36:J36)</f>
        <v>244578</v>
      </c>
      <c r="L36" s="466">
        <v>247175</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76165</v>
      </c>
      <c r="D38" s="466">
        <v>8055</v>
      </c>
      <c r="E38" s="466">
        <v>418</v>
      </c>
      <c r="F38" s="466">
        <v>6139</v>
      </c>
      <c r="G38" s="466"/>
      <c r="H38" s="466"/>
      <c r="I38" s="467"/>
      <c r="J38" s="467"/>
      <c r="K38" s="1671">
        <f t="shared" si="2"/>
        <v>90777</v>
      </c>
      <c r="L38" s="466">
        <v>95892</v>
      </c>
    </row>
    <row r="39" spans="1:14" x14ac:dyDescent="0.2">
      <c r="A39" s="1504" t="s">
        <v>199</v>
      </c>
      <c r="B39" s="614">
        <v>2140</v>
      </c>
      <c r="C39" s="466">
        <v>112067</v>
      </c>
      <c r="D39" s="466">
        <v>2497</v>
      </c>
      <c r="E39" s="466"/>
      <c r="F39" s="466">
        <v>1156</v>
      </c>
      <c r="G39" s="466"/>
      <c r="H39" s="466"/>
      <c r="I39" s="467"/>
      <c r="J39" s="467"/>
      <c r="K39" s="1671">
        <f t="shared" si="2"/>
        <v>115720</v>
      </c>
      <c r="L39" s="466">
        <v>117825</v>
      </c>
    </row>
    <row r="40" spans="1:14" x14ac:dyDescent="0.2">
      <c r="A40" s="1504" t="s">
        <v>200</v>
      </c>
      <c r="B40" s="614">
        <v>2150</v>
      </c>
      <c r="C40" s="466">
        <v>166754</v>
      </c>
      <c r="D40" s="466">
        <v>16920</v>
      </c>
      <c r="E40" s="466">
        <v>30427</v>
      </c>
      <c r="F40" s="466">
        <v>438</v>
      </c>
      <c r="G40" s="466"/>
      <c r="H40" s="466"/>
      <c r="I40" s="467"/>
      <c r="J40" s="467"/>
      <c r="K40" s="1671">
        <f t="shared" si="2"/>
        <v>214539</v>
      </c>
      <c r="L40" s="466">
        <v>215815</v>
      </c>
    </row>
    <row r="41" spans="1:14" x14ac:dyDescent="0.2">
      <c r="A41" s="1504" t="s">
        <v>1669</v>
      </c>
      <c r="B41" s="614">
        <v>2190</v>
      </c>
      <c r="C41" s="466">
        <v>1749</v>
      </c>
      <c r="D41" s="466">
        <v>1</v>
      </c>
      <c r="E41" s="466"/>
      <c r="F41" s="466"/>
      <c r="G41" s="466"/>
      <c r="H41" s="466"/>
      <c r="I41" s="467"/>
      <c r="J41" s="467"/>
      <c r="K41" s="1671">
        <f t="shared" si="2"/>
        <v>1750</v>
      </c>
      <c r="L41" s="466">
        <v>1500</v>
      </c>
    </row>
    <row r="42" spans="1:14" ht="12.75" customHeight="1" thickBot="1" x14ac:dyDescent="0.25">
      <c r="A42" s="1668" t="s">
        <v>560</v>
      </c>
      <c r="B42" s="1669" t="s">
        <v>716</v>
      </c>
      <c r="C42" s="1670">
        <f>SUM(C36:C41)</f>
        <v>579074</v>
      </c>
      <c r="D42" s="1670">
        <f t="shared" ref="D42:L42" si="3">SUM(D36:D41)</f>
        <v>48995</v>
      </c>
      <c r="E42" s="1670">
        <f t="shared" si="3"/>
        <v>30845</v>
      </c>
      <c r="F42" s="1670">
        <f t="shared" si="3"/>
        <v>8450</v>
      </c>
      <c r="G42" s="1670">
        <f t="shared" si="3"/>
        <v>0</v>
      </c>
      <c r="H42" s="1670">
        <f t="shared" si="3"/>
        <v>0</v>
      </c>
      <c r="I42" s="1670">
        <f t="shared" si="3"/>
        <v>0</v>
      </c>
      <c r="J42" s="1670">
        <f t="shared" si="3"/>
        <v>0</v>
      </c>
      <c r="K42" s="1670">
        <f t="shared" si="3"/>
        <v>667364</v>
      </c>
      <c r="L42" s="1670">
        <f t="shared" si="3"/>
        <v>678207</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94363</v>
      </c>
      <c r="D44" s="481">
        <v>21671</v>
      </c>
      <c r="E44" s="481">
        <v>30558</v>
      </c>
      <c r="F44" s="481"/>
      <c r="G44" s="481"/>
      <c r="H44" s="481"/>
      <c r="I44" s="467"/>
      <c r="J44" s="467"/>
      <c r="K44" s="1672">
        <f>SUM(C44:J44)</f>
        <v>146592</v>
      </c>
      <c r="L44" s="481">
        <v>148429</v>
      </c>
    </row>
    <row r="45" spans="1:14" x14ac:dyDescent="0.2">
      <c r="A45" s="1504" t="s">
        <v>815</v>
      </c>
      <c r="B45" s="614">
        <v>2220</v>
      </c>
      <c r="C45" s="466">
        <v>366446</v>
      </c>
      <c r="D45" s="466">
        <v>40083</v>
      </c>
      <c r="E45" s="466">
        <v>10694</v>
      </c>
      <c r="F45" s="466">
        <v>39633</v>
      </c>
      <c r="G45" s="466">
        <v>115629</v>
      </c>
      <c r="H45" s="466">
        <v>922</v>
      </c>
      <c r="I45" s="467"/>
      <c r="J45" s="467"/>
      <c r="K45" s="1672">
        <f>SUM(C45:J45)</f>
        <v>573407</v>
      </c>
      <c r="L45" s="466">
        <v>612520</v>
      </c>
    </row>
    <row r="46" spans="1:14" x14ac:dyDescent="0.2">
      <c r="A46" s="1504" t="s">
        <v>816</v>
      </c>
      <c r="B46" s="614">
        <v>2230</v>
      </c>
      <c r="C46" s="466"/>
      <c r="D46" s="466"/>
      <c r="E46" s="466">
        <v>52780</v>
      </c>
      <c r="F46" s="466"/>
      <c r="G46" s="466"/>
      <c r="H46" s="466"/>
      <c r="I46" s="467"/>
      <c r="J46" s="467"/>
      <c r="K46" s="1672">
        <f>SUM(C46:J46)</f>
        <v>52780</v>
      </c>
      <c r="L46" s="466">
        <v>46700</v>
      </c>
    </row>
    <row r="47" spans="1:14" ht="12.75" customHeight="1" thickBot="1" x14ac:dyDescent="0.25">
      <c r="A47" s="1668" t="s">
        <v>561</v>
      </c>
      <c r="B47" s="1669" t="s">
        <v>32</v>
      </c>
      <c r="C47" s="1670">
        <f>SUM(C44:C46)</f>
        <v>460809</v>
      </c>
      <c r="D47" s="1670">
        <f t="shared" ref="D47:K47" si="4">SUM(D44:D46)</f>
        <v>61754</v>
      </c>
      <c r="E47" s="1670">
        <f t="shared" si="4"/>
        <v>94032</v>
      </c>
      <c r="F47" s="1670">
        <f t="shared" si="4"/>
        <v>39633</v>
      </c>
      <c r="G47" s="1670">
        <f t="shared" si="4"/>
        <v>115629</v>
      </c>
      <c r="H47" s="1670">
        <f t="shared" si="4"/>
        <v>922</v>
      </c>
      <c r="I47" s="1670">
        <f t="shared" si="4"/>
        <v>0</v>
      </c>
      <c r="J47" s="1670">
        <f t="shared" si="4"/>
        <v>0</v>
      </c>
      <c r="K47" s="1670">
        <f t="shared" si="4"/>
        <v>772779</v>
      </c>
      <c r="L47" s="1670">
        <f>SUM(L44:L46)</f>
        <v>807649</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2400</v>
      </c>
      <c r="D49" s="481"/>
      <c r="E49" s="481">
        <v>164093</v>
      </c>
      <c r="F49" s="481">
        <v>2993</v>
      </c>
      <c r="G49" s="481"/>
      <c r="H49" s="481">
        <v>17300</v>
      </c>
      <c r="I49" s="467"/>
      <c r="J49" s="467"/>
      <c r="K49" s="1672">
        <f>SUM(C49:J49)</f>
        <v>186786</v>
      </c>
      <c r="L49" s="481">
        <v>171750</v>
      </c>
    </row>
    <row r="50" spans="1:14" x14ac:dyDescent="0.2">
      <c r="A50" s="1504" t="s">
        <v>818</v>
      </c>
      <c r="B50" s="614">
        <v>2320</v>
      </c>
      <c r="C50" s="466">
        <v>284602</v>
      </c>
      <c r="D50" s="466">
        <v>45454</v>
      </c>
      <c r="E50" s="466">
        <v>4089</v>
      </c>
      <c r="F50" s="466">
        <v>1567</v>
      </c>
      <c r="G50" s="466"/>
      <c r="H50" s="466">
        <v>3225</v>
      </c>
      <c r="I50" s="467"/>
      <c r="J50" s="467"/>
      <c r="K50" s="1672">
        <f>SUM(C50:J50)</f>
        <v>338937</v>
      </c>
      <c r="L50" s="466">
        <v>325628</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287002</v>
      </c>
      <c r="D53" s="1670">
        <f t="shared" ref="D53:L53" si="5">SUM(D49:D52)</f>
        <v>45454</v>
      </c>
      <c r="E53" s="1670">
        <f t="shared" si="5"/>
        <v>168182</v>
      </c>
      <c r="F53" s="1670">
        <f t="shared" si="5"/>
        <v>4560</v>
      </c>
      <c r="G53" s="1670">
        <f t="shared" si="5"/>
        <v>0</v>
      </c>
      <c r="H53" s="1670">
        <f t="shared" si="5"/>
        <v>20525</v>
      </c>
      <c r="I53" s="1670">
        <f t="shared" si="5"/>
        <v>0</v>
      </c>
      <c r="J53" s="1670">
        <f t="shared" si="5"/>
        <v>0</v>
      </c>
      <c r="K53" s="1670">
        <f t="shared" si="5"/>
        <v>525723</v>
      </c>
      <c r="L53" s="1670">
        <f t="shared" si="5"/>
        <v>497378</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581245</v>
      </c>
      <c r="D55" s="481">
        <v>86294</v>
      </c>
      <c r="E55" s="481">
        <v>4339</v>
      </c>
      <c r="F55" s="481">
        <v>1389</v>
      </c>
      <c r="G55" s="481">
        <v>388</v>
      </c>
      <c r="H55" s="481">
        <v>1374</v>
      </c>
      <c r="I55" s="467"/>
      <c r="J55" s="467"/>
      <c r="K55" s="1672">
        <f>SUM(C55:J55)</f>
        <v>675029</v>
      </c>
      <c r="L55" s="481">
        <v>689060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581245</v>
      </c>
      <c r="D57" s="1674">
        <f t="shared" ref="D57:K57" si="6">SUM(D55:D56)</f>
        <v>86294</v>
      </c>
      <c r="E57" s="1674">
        <f t="shared" si="6"/>
        <v>4339</v>
      </c>
      <c r="F57" s="1674">
        <f t="shared" si="6"/>
        <v>1389</v>
      </c>
      <c r="G57" s="1674">
        <f t="shared" si="6"/>
        <v>388</v>
      </c>
      <c r="H57" s="1674">
        <f t="shared" si="6"/>
        <v>1374</v>
      </c>
      <c r="I57" s="1674">
        <f t="shared" si="6"/>
        <v>0</v>
      </c>
      <c r="J57" s="1674">
        <f t="shared" si="6"/>
        <v>0</v>
      </c>
      <c r="K57" s="1674">
        <f t="shared" si="6"/>
        <v>675029</v>
      </c>
      <c r="L57" s="1670">
        <f>SUM(L55:L56)</f>
        <v>689060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142002</v>
      </c>
      <c r="D60" s="466">
        <v>41654</v>
      </c>
      <c r="E60" s="466">
        <v>15999</v>
      </c>
      <c r="F60" s="466">
        <v>5849</v>
      </c>
      <c r="G60" s="466"/>
      <c r="H60" s="466">
        <v>614</v>
      </c>
      <c r="I60" s="467"/>
      <c r="J60" s="467"/>
      <c r="K60" s="1672">
        <f t="shared" si="7"/>
        <v>206118</v>
      </c>
      <c r="L60" s="466">
        <v>208050</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16727</v>
      </c>
      <c r="D63" s="466"/>
      <c r="E63" s="466">
        <v>1772</v>
      </c>
      <c r="F63" s="466">
        <v>200233</v>
      </c>
      <c r="G63" s="466"/>
      <c r="H63" s="466"/>
      <c r="I63" s="467"/>
      <c r="J63" s="467"/>
      <c r="K63" s="1672">
        <f t="shared" si="7"/>
        <v>218732</v>
      </c>
      <c r="L63" s="466">
        <v>191300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158729</v>
      </c>
      <c r="D65" s="1670">
        <f t="shared" ref="D65:L65" si="8">SUM(D59:D64)</f>
        <v>41654</v>
      </c>
      <c r="E65" s="1670">
        <f t="shared" si="8"/>
        <v>17771</v>
      </c>
      <c r="F65" s="1670">
        <f t="shared" si="8"/>
        <v>206082</v>
      </c>
      <c r="G65" s="1670">
        <f t="shared" si="8"/>
        <v>0</v>
      </c>
      <c r="H65" s="1670">
        <f t="shared" si="8"/>
        <v>614</v>
      </c>
      <c r="I65" s="1670">
        <f t="shared" si="8"/>
        <v>0</v>
      </c>
      <c r="J65" s="1670">
        <f t="shared" si="8"/>
        <v>0</v>
      </c>
      <c r="K65" s="1670">
        <f t="shared" si="8"/>
        <v>424850</v>
      </c>
      <c r="L65" s="1670">
        <f t="shared" si="8"/>
        <v>399350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v>2369</v>
      </c>
      <c r="G68" s="466"/>
      <c r="H68" s="466"/>
      <c r="I68" s="467"/>
      <c r="J68" s="467"/>
      <c r="K68" s="1672">
        <f>SUM(C68:J68)</f>
        <v>2369</v>
      </c>
      <c r="L68" s="466">
        <v>2400</v>
      </c>
      <c r="M68" s="609"/>
      <c r="N68" s="609"/>
    </row>
    <row r="69" spans="1:14" s="343" customFormat="1" x14ac:dyDescent="0.2">
      <c r="A69" s="1504" t="s">
        <v>1061</v>
      </c>
      <c r="B69" s="614">
        <v>2630</v>
      </c>
      <c r="C69" s="466">
        <v>20874</v>
      </c>
      <c r="D69" s="466"/>
      <c r="E69" s="466"/>
      <c r="F69" s="466">
        <v>19012</v>
      </c>
      <c r="G69" s="466"/>
      <c r="H69" s="466"/>
      <c r="I69" s="467"/>
      <c r="J69" s="467"/>
      <c r="K69" s="1672">
        <f>SUM(C69:J69)</f>
        <v>39886</v>
      </c>
      <c r="L69" s="466">
        <v>39080</v>
      </c>
      <c r="M69" s="609"/>
      <c r="N69" s="609"/>
    </row>
    <row r="70" spans="1:14" s="343" customFormat="1" x14ac:dyDescent="0.2">
      <c r="A70" s="1504" t="s">
        <v>403</v>
      </c>
      <c r="B70" s="614">
        <v>2640</v>
      </c>
      <c r="C70" s="466"/>
      <c r="D70" s="466"/>
      <c r="E70" s="466"/>
      <c r="F70" s="466">
        <v>12206</v>
      </c>
      <c r="G70" s="466"/>
      <c r="H70" s="466"/>
      <c r="I70" s="467"/>
      <c r="J70" s="467"/>
      <c r="K70" s="1672">
        <f>SUM(C70:J70)</f>
        <v>12206</v>
      </c>
      <c r="L70" s="466">
        <v>13700</v>
      </c>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20874</v>
      </c>
      <c r="D72" s="1670">
        <f t="shared" ref="D72:K72" si="9">SUM(D67:D71)</f>
        <v>0</v>
      </c>
      <c r="E72" s="1670">
        <f t="shared" si="9"/>
        <v>0</v>
      </c>
      <c r="F72" s="1670">
        <f t="shared" si="9"/>
        <v>33587</v>
      </c>
      <c r="G72" s="1670">
        <f t="shared" si="9"/>
        <v>0</v>
      </c>
      <c r="H72" s="1670">
        <f t="shared" si="9"/>
        <v>0</v>
      </c>
      <c r="I72" s="1670">
        <f t="shared" si="9"/>
        <v>0</v>
      </c>
      <c r="J72" s="1670">
        <f t="shared" si="9"/>
        <v>0</v>
      </c>
      <c r="K72" s="1670">
        <f t="shared" si="9"/>
        <v>54461</v>
      </c>
      <c r="L72" s="1670">
        <f>SUM(L67:L71)</f>
        <v>55180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2087733</v>
      </c>
      <c r="D74" s="1677">
        <f t="shared" ref="D74:K74" si="10">SUM(D42,D47,D53,D57,D65,D72,D73)</f>
        <v>284151</v>
      </c>
      <c r="E74" s="1677">
        <f t="shared" si="10"/>
        <v>315169</v>
      </c>
      <c r="F74" s="1677">
        <f t="shared" si="10"/>
        <v>293701</v>
      </c>
      <c r="G74" s="1677">
        <f t="shared" si="10"/>
        <v>116017</v>
      </c>
      <c r="H74" s="1677">
        <f t="shared" si="10"/>
        <v>23435</v>
      </c>
      <c r="I74" s="1677">
        <f t="shared" si="10"/>
        <v>0</v>
      </c>
      <c r="J74" s="1677">
        <f t="shared" si="10"/>
        <v>0</v>
      </c>
      <c r="K74" s="1677">
        <f t="shared" si="10"/>
        <v>3120206</v>
      </c>
      <c r="L74" s="1677">
        <f>SUM(L42,L47,L53,L57,L65,L72,L73)</f>
        <v>3126824</v>
      </c>
    </row>
    <row r="75" spans="1:14" s="259" customFormat="1" ht="15.75" customHeight="1" thickTop="1" thickBot="1" x14ac:dyDescent="0.25">
      <c r="A75" s="1610" t="s">
        <v>47</v>
      </c>
      <c r="B75" s="1611" t="s">
        <v>575</v>
      </c>
      <c r="C75" s="573">
        <v>208791</v>
      </c>
      <c r="D75" s="573">
        <v>22459</v>
      </c>
      <c r="E75" s="573">
        <v>4942</v>
      </c>
      <c r="F75" s="573">
        <v>27319</v>
      </c>
      <c r="G75" s="573"/>
      <c r="H75" s="573"/>
      <c r="I75" s="531"/>
      <c r="J75" s="531"/>
      <c r="K75" s="1670">
        <f>SUM(C75:J75)</f>
        <v>263511</v>
      </c>
      <c r="L75" s="576">
        <v>280100</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v>525959</v>
      </c>
      <c r="I79" s="477"/>
      <c r="J79" s="477"/>
      <c r="K79" s="1671">
        <f t="shared" si="11"/>
        <v>525959</v>
      </c>
      <c r="L79" s="466">
        <v>472182</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525959</v>
      </c>
      <c r="I84" s="477"/>
      <c r="J84" s="477"/>
      <c r="K84" s="1670">
        <f>SUM(K78:K83)</f>
        <v>525959</v>
      </c>
      <c r="L84" s="1670">
        <f>SUM(L78:L83)</f>
        <v>472182</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525959</v>
      </c>
      <c r="I102" s="477"/>
      <c r="J102" s="477"/>
      <c r="K102" s="1677">
        <f>SUM(K84,K92,K100,K101)</f>
        <v>525959</v>
      </c>
      <c r="L102" s="1677">
        <f>SUM(L84,L92,L100,L101)</f>
        <v>472182</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9073471</v>
      </c>
      <c r="D114" s="1670">
        <f t="shared" ref="D114:K114" si="13">SUM(D33,D74,D75,D102,D112,D113)</f>
        <v>985501</v>
      </c>
      <c r="E114" s="1670">
        <f t="shared" si="13"/>
        <v>387350</v>
      </c>
      <c r="F114" s="1670">
        <f t="shared" si="13"/>
        <v>595310</v>
      </c>
      <c r="G114" s="1670">
        <f t="shared" si="13"/>
        <v>183533</v>
      </c>
      <c r="H114" s="1670">
        <f>SUM(H33,H74,H75,H102,H112,H113)</f>
        <v>837370</v>
      </c>
      <c r="I114" s="1670">
        <f t="shared" si="13"/>
        <v>0</v>
      </c>
      <c r="J114" s="1670">
        <f t="shared" si="13"/>
        <v>0</v>
      </c>
      <c r="K114" s="1670">
        <f t="shared" si="13"/>
        <v>12062535</v>
      </c>
      <c r="L114" s="1670">
        <f>SUM(L33,L74,L75,L102,L112,L113)</f>
        <v>12155280</v>
      </c>
    </row>
    <row r="115" spans="1:14" ht="13.5" thickTop="1" x14ac:dyDescent="0.2">
      <c r="A115" s="2185" t="s">
        <v>996</v>
      </c>
      <c r="B115" s="2186"/>
      <c r="C115" s="618"/>
      <c r="D115" s="618"/>
      <c r="E115" s="618"/>
      <c r="F115" s="618"/>
      <c r="G115" s="618"/>
      <c r="H115" s="618"/>
      <c r="I115" s="618"/>
      <c r="J115" s="618"/>
      <c r="K115" s="1684">
        <f>'Revenues 9-14'!C268-'Expenditures 15-22'!K114</f>
        <v>-264688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317833</v>
      </c>
      <c r="D124" s="466">
        <v>55149</v>
      </c>
      <c r="E124" s="466">
        <v>290425</v>
      </c>
      <c r="F124" s="466">
        <v>424334</v>
      </c>
      <c r="G124" s="466">
        <v>19274</v>
      </c>
      <c r="H124" s="466">
        <v>82</v>
      </c>
      <c r="I124" s="467"/>
      <c r="J124" s="467"/>
      <c r="K124" s="1670">
        <f>SUM(C124:J124)</f>
        <v>1107097</v>
      </c>
      <c r="L124" s="466">
        <v>1080550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317833</v>
      </c>
      <c r="D127" s="1670">
        <f t="shared" ref="D127:L127" si="14">SUM(D122:D126)</f>
        <v>55149</v>
      </c>
      <c r="E127" s="1670">
        <f t="shared" si="14"/>
        <v>290425</v>
      </c>
      <c r="F127" s="1670">
        <f t="shared" si="14"/>
        <v>424334</v>
      </c>
      <c r="G127" s="1670">
        <f t="shared" si="14"/>
        <v>19274</v>
      </c>
      <c r="H127" s="1670">
        <f t="shared" si="14"/>
        <v>82</v>
      </c>
      <c r="I127" s="1670">
        <f t="shared" si="14"/>
        <v>0</v>
      </c>
      <c r="J127" s="1670">
        <f t="shared" si="14"/>
        <v>0</v>
      </c>
      <c r="K127" s="1670">
        <f t="shared" si="14"/>
        <v>1107097</v>
      </c>
      <c r="L127" s="1670">
        <f t="shared" si="14"/>
        <v>1080550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317833</v>
      </c>
      <c r="D129" s="1677">
        <f t="shared" ref="D129:L129" si="15">SUM(D120,D127,D128)</f>
        <v>55149</v>
      </c>
      <c r="E129" s="1677">
        <f t="shared" si="15"/>
        <v>290425</v>
      </c>
      <c r="F129" s="1677">
        <f t="shared" si="15"/>
        <v>424334</v>
      </c>
      <c r="G129" s="1677">
        <f t="shared" si="15"/>
        <v>19274</v>
      </c>
      <c r="H129" s="1677">
        <f t="shared" si="15"/>
        <v>82</v>
      </c>
      <c r="I129" s="1677">
        <f t="shared" si="15"/>
        <v>0</v>
      </c>
      <c r="J129" s="1677">
        <f t="shared" si="15"/>
        <v>0</v>
      </c>
      <c r="K129" s="1677">
        <f t="shared" si="15"/>
        <v>1107097</v>
      </c>
      <c r="L129" s="1677">
        <f t="shared" si="15"/>
        <v>1080550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7"/>
      <c r="C151" s="1670">
        <f>SUM(C129,C130,C139,C149,C150)</f>
        <v>317833</v>
      </c>
      <c r="D151" s="1670">
        <f t="shared" ref="D151:K151" si="16">SUM(D129,D130,D139,D149,D150)</f>
        <v>55149</v>
      </c>
      <c r="E151" s="1670">
        <f t="shared" si="16"/>
        <v>290425</v>
      </c>
      <c r="F151" s="1670">
        <f t="shared" si="16"/>
        <v>424334</v>
      </c>
      <c r="G151" s="1670">
        <f t="shared" si="16"/>
        <v>19274</v>
      </c>
      <c r="H151" s="1670">
        <f t="shared" si="16"/>
        <v>82</v>
      </c>
      <c r="I151" s="1670">
        <f t="shared" si="16"/>
        <v>0</v>
      </c>
      <c r="J151" s="1670">
        <f t="shared" si="16"/>
        <v>0</v>
      </c>
      <c r="K151" s="1670">
        <f t="shared" si="16"/>
        <v>1107097</v>
      </c>
      <c r="L151" s="1670">
        <f>SUM(L129,L130,L139,L149,L150)</f>
        <v>1080550</v>
      </c>
    </row>
    <row r="152" spans="1:14" ht="12.75" customHeight="1" thickTop="1" x14ac:dyDescent="0.2">
      <c r="A152" s="2178" t="s">
        <v>1178</v>
      </c>
      <c r="B152" s="2179"/>
      <c r="C152" s="618"/>
      <c r="D152" s="618"/>
      <c r="E152" s="618"/>
      <c r="F152" s="618"/>
      <c r="G152" s="618"/>
      <c r="H152" s="618"/>
      <c r="I152" s="618"/>
      <c r="J152" s="616"/>
      <c r="K152" s="1684">
        <f>'Revenues 9-14'!D268-'Expenditures 15-22'!K151</f>
        <v>-39700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413246</v>
      </c>
      <c r="I169" s="616"/>
      <c r="J169" s="616"/>
      <c r="K169" s="1671">
        <f>SUM(C169:H169)</f>
        <v>413246</v>
      </c>
      <c r="L169" s="656">
        <v>394970</v>
      </c>
    </row>
    <row r="170" spans="1:14" ht="33.75" customHeight="1" x14ac:dyDescent="0.2">
      <c r="A170" s="669" t="s">
        <v>1670</v>
      </c>
      <c r="B170" s="671" t="s">
        <v>31</v>
      </c>
      <c r="C170" s="616"/>
      <c r="D170" s="616"/>
      <c r="E170" s="616"/>
      <c r="F170" s="616"/>
      <c r="G170" s="616"/>
      <c r="H170" s="569">
        <v>660000</v>
      </c>
      <c r="I170" s="616"/>
      <c r="J170" s="616"/>
      <c r="K170" s="1671">
        <f>SUM(C170:J170)</f>
        <v>660000</v>
      </c>
      <c r="L170" s="569">
        <v>660000</v>
      </c>
    </row>
    <row r="171" spans="1:14" ht="15.75" customHeight="1" x14ac:dyDescent="0.2">
      <c r="A171" s="621" t="s">
        <v>766</v>
      </c>
      <c r="B171" s="672" t="s">
        <v>84</v>
      </c>
      <c r="C171" s="616"/>
      <c r="D171" s="616"/>
      <c r="E171" s="466"/>
      <c r="F171" s="616"/>
      <c r="G171" s="616"/>
      <c r="H171" s="569">
        <v>63716</v>
      </c>
      <c r="I171" s="477"/>
      <c r="J171" s="616"/>
      <c r="K171" s="1671">
        <f>SUM(C171:J171)</f>
        <v>63716</v>
      </c>
      <c r="L171" s="569"/>
    </row>
    <row r="172" spans="1:14" ht="12.75" customHeight="1" thickBot="1" x14ac:dyDescent="0.25">
      <c r="A172" s="1668" t="s">
        <v>638</v>
      </c>
      <c r="B172" s="1669" t="s">
        <v>492</v>
      </c>
      <c r="C172" s="616"/>
      <c r="D172" s="616"/>
      <c r="E172" s="1677">
        <f>SUM(E168,E169,E170,E171)</f>
        <v>0</v>
      </c>
      <c r="F172" s="616"/>
      <c r="G172" s="616"/>
      <c r="H172" s="1677">
        <f>SUM(H168,H169,H170,H171)</f>
        <v>1136962</v>
      </c>
      <c r="I172" s="638"/>
      <c r="J172" s="616"/>
      <c r="K172" s="1677">
        <f>SUM(K168,K169,K170,K171)</f>
        <v>1136962</v>
      </c>
      <c r="L172" s="1677">
        <f>SUM(L168,L169,L170,L171)</f>
        <v>1054970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1136962</v>
      </c>
      <c r="I174" s="638"/>
      <c r="J174" s="616"/>
      <c r="K174" s="1677">
        <f>SUM(K160,K172,K173)</f>
        <v>1136962</v>
      </c>
      <c r="L174" s="1677">
        <f>SUM(L160,L172,L173)</f>
        <v>1054970</v>
      </c>
    </row>
    <row r="175" spans="1:14" ht="13.5" thickTop="1" x14ac:dyDescent="0.2">
      <c r="A175" s="2185" t="s">
        <v>996</v>
      </c>
      <c r="B175" s="2186"/>
      <c r="C175" s="616"/>
      <c r="D175" s="616"/>
      <c r="E175" s="616"/>
      <c r="F175" s="616"/>
      <c r="G175" s="616"/>
      <c r="H175" s="618"/>
      <c r="I175" s="616"/>
      <c r="J175" s="616"/>
      <c r="K175" s="1684">
        <f>'Revenues 9-14'!E268-'Expenditures 15-22'!K174</f>
        <v>-314157</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300476</v>
      </c>
      <c r="D182" s="466">
        <v>20002</v>
      </c>
      <c r="E182" s="466">
        <v>174122</v>
      </c>
      <c r="F182" s="466">
        <v>63828</v>
      </c>
      <c r="G182" s="466">
        <v>189780</v>
      </c>
      <c r="H182" s="466">
        <v>5901</v>
      </c>
      <c r="I182" s="467"/>
      <c r="J182" s="467"/>
      <c r="K182" s="1671">
        <f>SUM(C182:J182)</f>
        <v>754109</v>
      </c>
      <c r="L182" s="466">
        <v>706980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300476</v>
      </c>
      <c r="D184" s="1677">
        <f t="shared" ref="D184:J184" si="17">SUM(D180,D182,D183)</f>
        <v>20002</v>
      </c>
      <c r="E184" s="1677">
        <f t="shared" si="17"/>
        <v>174122</v>
      </c>
      <c r="F184" s="1677">
        <f t="shared" si="17"/>
        <v>63828</v>
      </c>
      <c r="G184" s="1677">
        <f t="shared" si="17"/>
        <v>189780</v>
      </c>
      <c r="H184" s="1677">
        <f t="shared" si="17"/>
        <v>5901</v>
      </c>
      <c r="I184" s="1677">
        <f t="shared" si="17"/>
        <v>0</v>
      </c>
      <c r="J184" s="1677">
        <f t="shared" si="17"/>
        <v>0</v>
      </c>
      <c r="K184" s="1677">
        <f>SUM(K180,K182,K183)</f>
        <v>754109</v>
      </c>
      <c r="L184" s="1677">
        <f>SUM(L180, L182:L183)</f>
        <v>706980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300476</v>
      </c>
      <c r="D210" s="1670">
        <f>SUM(D184,D185)</f>
        <v>20002</v>
      </c>
      <c r="E210" s="1670">
        <f>SUM(E184,E185,E196)</f>
        <v>174122</v>
      </c>
      <c r="F210" s="1670">
        <f>SUM(F184,F185)</f>
        <v>63828</v>
      </c>
      <c r="G210" s="1670">
        <f>SUM(G184,G185)</f>
        <v>189780</v>
      </c>
      <c r="H210" s="1670">
        <f>SUM(H184,H185,H196,H208,H209)</f>
        <v>5901</v>
      </c>
      <c r="I210" s="1670">
        <f>SUM(I184,I185)</f>
        <v>0</v>
      </c>
      <c r="J210" s="1670">
        <f>SUM(J184,J185)</f>
        <v>0</v>
      </c>
      <c r="K210" s="1671">
        <f>SUM(K184,K185,K196,K208,K209)</f>
        <v>754109</v>
      </c>
      <c r="L210" s="1670">
        <f>SUM(L184,L185,L196,L208,L209)</f>
        <v>706980</v>
      </c>
    </row>
    <row r="211" spans="1:14" ht="13.5" thickTop="1" x14ac:dyDescent="0.2">
      <c r="A211" s="2185" t="s">
        <v>996</v>
      </c>
      <c r="B211" s="2186"/>
      <c r="C211" s="618"/>
      <c r="D211" s="618"/>
      <c r="E211" s="618"/>
      <c r="F211" s="618"/>
      <c r="G211" s="618"/>
      <c r="H211" s="618"/>
      <c r="I211" s="616"/>
      <c r="J211" s="616"/>
      <c r="K211" s="1684">
        <f>'Revenues 9-14'!F268-'Expenditures 15-22'!K210</f>
        <v>-91995</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80427</v>
      </c>
      <c r="E215" s="616"/>
      <c r="F215" s="616"/>
      <c r="G215" s="616"/>
      <c r="H215" s="616"/>
      <c r="I215" s="616"/>
      <c r="J215" s="616"/>
      <c r="K215" s="1671">
        <f>D215</f>
        <v>80427</v>
      </c>
      <c r="L215" s="466">
        <v>77450</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87258</v>
      </c>
      <c r="E217" s="616"/>
      <c r="F217" s="616"/>
      <c r="G217" s="616"/>
      <c r="H217" s="616"/>
      <c r="I217" s="616"/>
      <c r="J217" s="616"/>
      <c r="K217" s="1671">
        <f t="shared" si="19"/>
        <v>87258</v>
      </c>
      <c r="L217" s="466">
        <v>90000</v>
      </c>
    </row>
    <row r="218" spans="1:14" x14ac:dyDescent="0.2">
      <c r="A218" s="1504" t="s">
        <v>278</v>
      </c>
      <c r="B218" s="614" t="s">
        <v>968</v>
      </c>
      <c r="C218" s="616"/>
      <c r="D218" s="467">
        <v>2944</v>
      </c>
      <c r="E218" s="616"/>
      <c r="F218" s="616"/>
      <c r="G218" s="616"/>
      <c r="H218" s="616"/>
      <c r="I218" s="616"/>
      <c r="J218" s="616"/>
      <c r="K218" s="1671">
        <f t="shared" si="19"/>
        <v>2944</v>
      </c>
      <c r="L218" s="466">
        <v>5100</v>
      </c>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2815</v>
      </c>
      <c r="E223" s="616"/>
      <c r="F223" s="616"/>
      <c r="G223" s="616"/>
      <c r="H223" s="616"/>
      <c r="I223" s="616"/>
      <c r="J223" s="616"/>
      <c r="K223" s="1671">
        <f t="shared" si="19"/>
        <v>2815</v>
      </c>
      <c r="L223" s="466">
        <v>3050</v>
      </c>
    </row>
    <row r="224" spans="1:14" x14ac:dyDescent="0.2">
      <c r="A224" s="1504" t="s">
        <v>964</v>
      </c>
      <c r="B224" s="614">
        <v>1600</v>
      </c>
      <c r="C224" s="616"/>
      <c r="D224" s="466">
        <v>1191</v>
      </c>
      <c r="E224" s="616"/>
      <c r="F224" s="616"/>
      <c r="G224" s="616"/>
      <c r="H224" s="616"/>
      <c r="I224" s="616"/>
      <c r="J224" s="616"/>
      <c r="K224" s="1671">
        <f t="shared" si="19"/>
        <v>1191</v>
      </c>
      <c r="L224" s="466">
        <v>1850</v>
      </c>
    </row>
    <row r="225" spans="1:12" x14ac:dyDescent="0.2">
      <c r="A225" s="1504" t="s">
        <v>987</v>
      </c>
      <c r="B225" s="614">
        <v>1650</v>
      </c>
      <c r="C225" s="616"/>
      <c r="D225" s="466">
        <v>23</v>
      </c>
      <c r="E225" s="616"/>
      <c r="F225" s="616"/>
      <c r="G225" s="616"/>
      <c r="H225" s="616"/>
      <c r="I225" s="616"/>
      <c r="J225" s="616"/>
      <c r="K225" s="1671">
        <f t="shared" si="19"/>
        <v>23</v>
      </c>
      <c r="L225" s="466">
        <v>75</v>
      </c>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v>845</v>
      </c>
      <c r="E227" s="616"/>
      <c r="F227" s="616"/>
      <c r="G227" s="616"/>
      <c r="H227" s="616"/>
      <c r="I227" s="616"/>
      <c r="J227" s="616"/>
      <c r="K227" s="1671">
        <f t="shared" si="19"/>
        <v>845</v>
      </c>
      <c r="L227" s="466">
        <v>850</v>
      </c>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175503</v>
      </c>
      <c r="E229" s="616"/>
      <c r="F229" s="616"/>
      <c r="G229" s="616"/>
      <c r="H229" s="616"/>
      <c r="I229" s="616"/>
      <c r="J229" s="616"/>
      <c r="K229" s="1670">
        <f>SUM(K215:K228)</f>
        <v>175503</v>
      </c>
      <c r="L229" s="1670">
        <f>SUM(L215:L228)</f>
        <v>178375</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3224</v>
      </c>
      <c r="E232" s="616"/>
      <c r="F232" s="616"/>
      <c r="G232" s="616"/>
      <c r="H232" s="616"/>
      <c r="I232" s="616"/>
      <c r="J232" s="616"/>
      <c r="K232" s="1671">
        <f t="shared" ref="K232:K237" si="20">D232</f>
        <v>3224</v>
      </c>
      <c r="L232" s="466">
        <v>3200</v>
      </c>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v>5108</v>
      </c>
      <c r="E234" s="616"/>
      <c r="F234" s="616"/>
      <c r="G234" s="616"/>
      <c r="H234" s="616"/>
      <c r="I234" s="616"/>
      <c r="J234" s="616"/>
      <c r="K234" s="1671">
        <f t="shared" si="20"/>
        <v>5108</v>
      </c>
      <c r="L234" s="466">
        <v>5300</v>
      </c>
    </row>
    <row r="235" spans="1:12" x14ac:dyDescent="0.2">
      <c r="A235" s="1504" t="s">
        <v>199</v>
      </c>
      <c r="B235" s="614">
        <v>2140</v>
      </c>
      <c r="C235" s="616"/>
      <c r="D235" s="466">
        <v>1625</v>
      </c>
      <c r="E235" s="616"/>
      <c r="F235" s="616"/>
      <c r="G235" s="616"/>
      <c r="H235" s="616"/>
      <c r="I235" s="616"/>
      <c r="J235" s="616"/>
      <c r="K235" s="1671">
        <f t="shared" si="20"/>
        <v>1625</v>
      </c>
      <c r="L235" s="466">
        <v>1600</v>
      </c>
    </row>
    <row r="236" spans="1:12" x14ac:dyDescent="0.2">
      <c r="A236" s="1504" t="s">
        <v>200</v>
      </c>
      <c r="B236" s="614">
        <v>2150</v>
      </c>
      <c r="C236" s="616"/>
      <c r="D236" s="466">
        <v>2418</v>
      </c>
      <c r="E236" s="616"/>
      <c r="F236" s="616"/>
      <c r="G236" s="616"/>
      <c r="H236" s="616"/>
      <c r="I236" s="616"/>
      <c r="J236" s="616"/>
      <c r="K236" s="1671">
        <f t="shared" si="20"/>
        <v>2418</v>
      </c>
      <c r="L236" s="466">
        <v>2400</v>
      </c>
    </row>
    <row r="237" spans="1:12" x14ac:dyDescent="0.2">
      <c r="A237" s="1504" t="s">
        <v>165</v>
      </c>
      <c r="B237" s="614">
        <v>2190</v>
      </c>
      <c r="C237" s="616"/>
      <c r="D237" s="466">
        <v>220</v>
      </c>
      <c r="E237" s="616"/>
      <c r="F237" s="616"/>
      <c r="G237" s="616"/>
      <c r="H237" s="616"/>
      <c r="I237" s="616"/>
      <c r="J237" s="616"/>
      <c r="K237" s="1671">
        <f t="shared" si="20"/>
        <v>220</v>
      </c>
      <c r="L237" s="466">
        <v>250</v>
      </c>
    </row>
    <row r="238" spans="1:12" ht="12.75" customHeight="1" thickBot="1" x14ac:dyDescent="0.25">
      <c r="A238" s="1668" t="s">
        <v>560</v>
      </c>
      <c r="B238" s="1675" t="s">
        <v>716</v>
      </c>
      <c r="C238" s="616"/>
      <c r="D238" s="1670">
        <f>SUM(D232:D237)</f>
        <v>12595</v>
      </c>
      <c r="E238" s="616"/>
      <c r="F238" s="616"/>
      <c r="G238" s="616"/>
      <c r="H238" s="616"/>
      <c r="I238" s="616"/>
      <c r="J238" s="616"/>
      <c r="K238" s="1670">
        <f>SUM(K232:K237)</f>
        <v>12595</v>
      </c>
      <c r="L238" s="1670">
        <f>SUM(L232:L237)</f>
        <v>12750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1368</v>
      </c>
      <c r="E240" s="616"/>
      <c r="F240" s="616"/>
      <c r="G240" s="616"/>
      <c r="H240" s="616"/>
      <c r="I240" s="616"/>
      <c r="J240" s="616"/>
      <c r="K240" s="1672">
        <f>D240</f>
        <v>1368</v>
      </c>
      <c r="L240" s="481">
        <v>1400</v>
      </c>
    </row>
    <row r="241" spans="1:12" x14ac:dyDescent="0.2">
      <c r="A241" s="1504" t="s">
        <v>815</v>
      </c>
      <c r="B241" s="614">
        <v>2220</v>
      </c>
      <c r="C241" s="616"/>
      <c r="D241" s="466">
        <v>30903</v>
      </c>
      <c r="E241" s="616"/>
      <c r="F241" s="616"/>
      <c r="G241" s="616"/>
      <c r="H241" s="616"/>
      <c r="I241" s="616"/>
      <c r="J241" s="616"/>
      <c r="K241" s="1672">
        <f>D241</f>
        <v>30903</v>
      </c>
      <c r="L241" s="466">
        <v>30190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32271</v>
      </c>
      <c r="E243" s="616"/>
      <c r="F243" s="616"/>
      <c r="G243" s="616"/>
      <c r="H243" s="616"/>
      <c r="I243" s="616"/>
      <c r="J243" s="616"/>
      <c r="K243" s="1670">
        <f>SUM(K240:K242)</f>
        <v>32271</v>
      </c>
      <c r="L243" s="1670">
        <f>SUM(L240:L242)</f>
        <v>31590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v>460</v>
      </c>
    </row>
    <row r="246" spans="1:12" x14ac:dyDescent="0.2">
      <c r="A246" s="1504" t="s">
        <v>818</v>
      </c>
      <c r="B246" s="614">
        <v>2320</v>
      </c>
      <c r="C246" s="616"/>
      <c r="D246" s="466">
        <v>14333</v>
      </c>
      <c r="E246" s="616"/>
      <c r="F246" s="616"/>
      <c r="G246" s="616"/>
      <c r="H246" s="616"/>
      <c r="I246" s="616"/>
      <c r="J246" s="616"/>
      <c r="K246" s="1672">
        <f t="shared" ref="K246:K256" si="21">D246</f>
        <v>14333</v>
      </c>
      <c r="L246" s="466">
        <v>13524</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14333</v>
      </c>
      <c r="E257" s="616"/>
      <c r="F257" s="616"/>
      <c r="G257" s="616"/>
      <c r="H257" s="616"/>
      <c r="I257" s="616"/>
      <c r="J257" s="616"/>
      <c r="K257" s="1670">
        <f>SUM(K245:K256)</f>
        <v>14333</v>
      </c>
      <c r="L257" s="1670">
        <f>SUM(L245:L256)</f>
        <v>13984</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36282</v>
      </c>
      <c r="E259" s="616"/>
      <c r="F259" s="616"/>
      <c r="G259" s="616"/>
      <c r="H259" s="616"/>
      <c r="I259" s="616"/>
      <c r="J259" s="616"/>
      <c r="K259" s="1672">
        <f>D259</f>
        <v>36282</v>
      </c>
      <c r="L259" s="481">
        <v>39500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36282</v>
      </c>
      <c r="E261" s="616"/>
      <c r="F261" s="616"/>
      <c r="G261" s="616"/>
      <c r="H261" s="616"/>
      <c r="I261" s="616"/>
      <c r="J261" s="616"/>
      <c r="K261" s="1670">
        <f>SUM(K259:K260)</f>
        <v>36282</v>
      </c>
      <c r="L261" s="1670">
        <f>SUM(L259:L260)</f>
        <v>39500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25807</v>
      </c>
      <c r="E264" s="616"/>
      <c r="F264" s="616"/>
      <c r="G264" s="616"/>
      <c r="H264" s="616"/>
      <c r="I264" s="616"/>
      <c r="J264" s="616"/>
      <c r="K264" s="1672">
        <f t="shared" ref="K264:K269" si="22">D264</f>
        <v>25807</v>
      </c>
      <c r="L264" s="466">
        <v>26000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55187</v>
      </c>
      <c r="E266" s="616"/>
      <c r="F266" s="616"/>
      <c r="G266" s="616"/>
      <c r="H266" s="616"/>
      <c r="I266" s="616"/>
      <c r="J266" s="616"/>
      <c r="K266" s="1672">
        <f t="shared" si="22"/>
        <v>55187</v>
      </c>
      <c r="L266" s="466">
        <v>57000</v>
      </c>
    </row>
    <row r="267" spans="1:14" x14ac:dyDescent="0.2">
      <c r="A267" s="1504" t="s">
        <v>953</v>
      </c>
      <c r="B267" s="614">
        <v>2550</v>
      </c>
      <c r="C267" s="616"/>
      <c r="D267" s="466">
        <v>53291</v>
      </c>
      <c r="E267" s="616"/>
      <c r="F267" s="616"/>
      <c r="G267" s="616"/>
      <c r="H267" s="616"/>
      <c r="I267" s="616"/>
      <c r="J267" s="616"/>
      <c r="K267" s="1672">
        <f t="shared" si="22"/>
        <v>53291</v>
      </c>
      <c r="L267" s="466">
        <v>53000</v>
      </c>
    </row>
    <row r="268" spans="1:14" x14ac:dyDescent="0.2">
      <c r="A268" s="1504" t="s">
        <v>100</v>
      </c>
      <c r="B268" s="614">
        <v>2560</v>
      </c>
      <c r="C268" s="616"/>
      <c r="D268" s="466">
        <v>5524</v>
      </c>
      <c r="E268" s="616"/>
      <c r="F268" s="616"/>
      <c r="G268" s="616"/>
      <c r="H268" s="616"/>
      <c r="I268" s="616"/>
      <c r="J268" s="616"/>
      <c r="K268" s="1672">
        <f t="shared" si="22"/>
        <v>5524</v>
      </c>
      <c r="L268" s="466">
        <v>1450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139809</v>
      </c>
      <c r="E270" s="616"/>
      <c r="F270" s="616"/>
      <c r="G270" s="616"/>
      <c r="H270" s="616"/>
      <c r="I270" s="616"/>
      <c r="J270" s="616"/>
      <c r="K270" s="1670">
        <f>SUM(K263:K269)</f>
        <v>139809</v>
      </c>
      <c r="L270" s="1670">
        <f>SUM(L263:L269)</f>
        <v>137450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235290</v>
      </c>
      <c r="E279" s="616"/>
      <c r="F279" s="616"/>
      <c r="G279" s="616"/>
      <c r="H279" s="616"/>
      <c r="I279" s="616"/>
      <c r="J279" s="616"/>
      <c r="K279" s="1677">
        <f>SUM(K238,K243,K257,K261,K270,K277,K278)</f>
        <v>235290</v>
      </c>
      <c r="L279" s="1677">
        <f>SUM(L238,L243,L257,L261,L270,L277,L278)</f>
        <v>235274</v>
      </c>
    </row>
    <row r="280" spans="1:12" ht="15.75" customHeight="1" thickTop="1" thickBot="1" x14ac:dyDescent="0.25">
      <c r="A280" s="1624" t="s">
        <v>875</v>
      </c>
      <c r="B280" s="1613">
        <v>3000</v>
      </c>
      <c r="C280" s="616"/>
      <c r="D280" s="576">
        <v>35355</v>
      </c>
      <c r="E280" s="616"/>
      <c r="F280" s="616"/>
      <c r="G280" s="616"/>
      <c r="H280" s="616"/>
      <c r="I280" s="616"/>
      <c r="J280" s="616"/>
      <c r="K280" s="1679">
        <f>D280</f>
        <v>35355</v>
      </c>
      <c r="L280" s="576">
        <v>38700</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446148</v>
      </c>
      <c r="E295" s="616"/>
      <c r="F295" s="616"/>
      <c r="G295" s="616"/>
      <c r="H295" s="1670">
        <f>H293</f>
        <v>0</v>
      </c>
      <c r="I295" s="616"/>
      <c r="J295" s="616"/>
      <c r="K295" s="1670">
        <f>SUM(K229,K279,K280,K285,K293,K294)</f>
        <v>446148</v>
      </c>
      <c r="L295" s="1670">
        <f>SUM(L229,L279,L280,L285,L293,L294)</f>
        <v>452349</v>
      </c>
    </row>
    <row r="296" spans="1:14" ht="13.5" thickTop="1" x14ac:dyDescent="0.2">
      <c r="A296" s="2185" t="s">
        <v>996</v>
      </c>
      <c r="B296" s="2186"/>
      <c r="C296" s="616"/>
      <c r="D296" s="618"/>
      <c r="E296" s="616"/>
      <c r="F296" s="616"/>
      <c r="G296" s="616"/>
      <c r="H296" s="687"/>
      <c r="I296" s="616"/>
      <c r="J296" s="616"/>
      <c r="K296" s="1684">
        <f>'Revenues 9-14'!G268-'Expenditures 15-22'!K295</f>
        <v>38681</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v>7418969</v>
      </c>
      <c r="F301" s="466"/>
      <c r="G301" s="466">
        <v>89264</v>
      </c>
      <c r="H301" s="466"/>
      <c r="I301" s="467"/>
      <c r="J301" s="467"/>
      <c r="K301" s="1671">
        <f>SUM(C301:J301)</f>
        <v>7508233</v>
      </c>
      <c r="L301" s="467">
        <v>8335982</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7418969</v>
      </c>
      <c r="F303" s="1677">
        <f t="shared" si="23"/>
        <v>0</v>
      </c>
      <c r="G303" s="1677">
        <f t="shared" si="23"/>
        <v>89264</v>
      </c>
      <c r="H303" s="1677">
        <f t="shared" si="23"/>
        <v>0</v>
      </c>
      <c r="I303" s="1677">
        <f t="shared" si="23"/>
        <v>0</v>
      </c>
      <c r="J303" s="1677">
        <f t="shared" si="23"/>
        <v>0</v>
      </c>
      <c r="K303" s="1677">
        <f t="shared" si="23"/>
        <v>7508233</v>
      </c>
      <c r="L303" s="1677">
        <f t="shared" si="23"/>
        <v>8335982</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7418969</v>
      </c>
      <c r="F312" s="1670">
        <f>SUM(F303)</f>
        <v>0</v>
      </c>
      <c r="G312" s="1670">
        <f>SUM(G303)</f>
        <v>89264</v>
      </c>
      <c r="H312" s="1670">
        <f>SUM(H303,H310)</f>
        <v>0</v>
      </c>
      <c r="I312" s="1670">
        <f>SUM(I303)</f>
        <v>0</v>
      </c>
      <c r="J312" s="1670">
        <f>SUM(J303)</f>
        <v>0</v>
      </c>
      <c r="K312" s="1670">
        <f>SUM(K303,K310,K311)</f>
        <v>7508233</v>
      </c>
      <c r="L312" s="1670">
        <f>SUM(L303,L310,L311)</f>
        <v>8335982</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-7379554</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SUM(L330,L334,L340,L341)</f>
        <v>0</v>
      </c>
    </row>
    <row r="343" spans="1:14" ht="12.75" customHeight="1" thickTop="1" x14ac:dyDescent="0.2">
      <c r="A343" s="2171" t="s">
        <v>996</v>
      </c>
      <c r="B343" s="2172"/>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5" t="s">
        <v>996</v>
      </c>
      <c r="B368" s="2186"/>
      <c r="C368" s="654"/>
      <c r="D368" s="654"/>
      <c r="E368" s="626"/>
      <c r="F368" s="626"/>
      <c r="G368" s="626"/>
      <c r="H368" s="626"/>
      <c r="I368" s="626"/>
      <c r="J368" s="623"/>
      <c r="K368" s="1671">
        <f>'Revenues 9-14'!K268-'Expenditures 15-22'!K367</f>
        <v>0</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4"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www.w3.org/XML/1998/namespace"/>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schemas.microsoft.com/sharepoint/v3"/>
    <ds:schemaRef ds:uri="4d435f69-8686-490b-bd6d-b153bf22ab50"/>
    <ds:schemaRef ds:uri="d21dc803-237d-4c68-8692-8d731fd29118"/>
    <ds:schemaRef ds:uri="6ce3111e-7420-4802-b50a-75d4e9a0b980"/>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2019-10-31T18:27:45Z</cp:lastPrinted>
  <dcterms:created xsi:type="dcterms:W3CDTF">2003-10-29T19:06:34Z</dcterms:created>
  <dcterms:modified xsi:type="dcterms:W3CDTF">2019-12-27T15:01:42Z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