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774F931-F5A4-48E4-A9E0-4683D779D384}"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9" i="179" l="1"/>
  <c r="L18" i="179"/>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6" i="106"/>
  <c r="D7802"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78" i="36"/>
  <c r="K75" i="29"/>
  <c r="F52" i="34" s="1"/>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B2977" i="106" s="1"/>
  <c r="D2977" i="106" s="1"/>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G26" i="108"/>
  <c r="D27" i="108"/>
  <c r="E27" i="108"/>
  <c r="F27" i="108"/>
  <c r="G27" i="108"/>
  <c r="F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L5" i="11"/>
  <c r="B2056" i="106" s="1"/>
  <c r="D2056" i="106" s="1"/>
  <c r="D9" i="7"/>
  <c r="B1767" i="106" s="1"/>
  <c r="D1767" i="106" s="1"/>
  <c r="B5752" i="106"/>
  <c r="D5752" i="106" s="1"/>
  <c r="D17" i="7"/>
  <c r="B4104" i="106" s="1"/>
  <c r="D4104" i="106" s="1"/>
  <c r="D24" i="37" l="1"/>
  <c r="B4270" i="106" s="1"/>
  <c r="D4270" i="106" s="1"/>
  <c r="H33" i="118"/>
  <c r="L342" i="29"/>
  <c r="F49" i="34"/>
  <c r="F44" i="34"/>
  <c r="D52" i="36"/>
  <c r="B7235" i="106"/>
  <c r="D7235" i="106" s="1"/>
  <c r="J41" i="3"/>
  <c r="D6103" i="106"/>
  <c r="B3647" i="106"/>
  <c r="D3647" i="106" s="1"/>
  <c r="K76" i="4"/>
  <c r="B3586" i="106" s="1"/>
  <c r="D3586" i="106" s="1"/>
  <c r="I24" i="12"/>
  <c r="G210" i="29"/>
  <c r="B1365" i="106" s="1"/>
  <c r="D1365" i="106" s="1"/>
  <c r="B1308" i="106"/>
  <c r="D1308" i="106" s="1"/>
  <c r="E174" i="29"/>
  <c r="B1309" i="106" s="1"/>
  <c r="D1309" i="106" s="1"/>
  <c r="G15" i="145"/>
  <c r="D54" i="36"/>
  <c r="L13" i="11"/>
  <c r="B2060" i="106" s="1"/>
  <c r="D2060" i="106" s="1"/>
  <c r="L15" i="11"/>
  <c r="B3459" i="106" s="1"/>
  <c r="D3459" i="106" s="1"/>
  <c r="D69" i="36"/>
  <c r="N22" i="3"/>
  <c r="B283" i="106" s="1"/>
  <c r="D283" i="106" s="1"/>
  <c r="D68" i="36"/>
  <c r="F19" i="7"/>
  <c r="B1807" i="106" s="1"/>
  <c r="D1807" i="106" s="1"/>
  <c r="E29" i="108"/>
  <c r="F64" i="34"/>
  <c r="F77" i="4"/>
  <c r="B3255" i="106" s="1"/>
  <c r="D3255" i="106" s="1"/>
  <c r="F65" i="34"/>
  <c r="K184" i="29"/>
  <c r="F13" i="4" s="1"/>
  <c r="B2596" i="106" s="1"/>
  <c r="D2596" i="106" s="1"/>
  <c r="G29" i="108"/>
  <c r="G39" i="108"/>
  <c r="E28" i="108"/>
  <c r="D11" i="37"/>
  <c r="D31" i="36"/>
  <c r="H29" i="118"/>
  <c r="K28" i="118" s="1"/>
  <c r="O27" i="118" s="1"/>
  <c r="O29" i="118"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I26" i="12"/>
  <c r="B7741" i="106" s="1"/>
  <c r="D7741" i="106" s="1"/>
  <c r="B1996" i="106"/>
  <c r="D1996" i="106" s="1"/>
  <c r="L16" i="11"/>
  <c r="B2061" i="106" s="1"/>
  <c r="D2061" i="106" s="1"/>
  <c r="B1317" i="106"/>
  <c r="D1317" i="106" s="1"/>
  <c r="B1381" i="106"/>
  <c r="D1381" i="106" s="1"/>
  <c r="F174" i="34"/>
  <c r="C114" i="29"/>
  <c r="B757" i="106" s="1"/>
  <c r="D757" i="106" s="1"/>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<sst xmlns="http://schemas.openxmlformats.org/spreadsheetml/2006/main" count="5271" uniqueCount="2177">
  <si>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</si>
  <si>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</si>
  <si>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</si>
  <si>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</si>
  <si>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</si>
  <si>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</si>
  <si>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</si>
  <si>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</si>
  <si>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</si>
  <si>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</si>
  <si>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</si>
  <si>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</si>
  <si>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</si>
  <si>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</si>
  <si>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</si>
  <si>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</si>
  <si>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</si>
  <si>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</si>
  <si>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</si>
  <si>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</si>
  <si>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</si>
  <si>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</si>
  <si>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</si>
  <si>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</si>
  <si>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</si>
  <si>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</si>
  <si>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</si>
  <si>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</si>
  <si>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</si>
  <si>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</si>
  <si>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</si>
  <si>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</si>
  <si>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</si>
  <si>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</si>
  <si>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</si>
  <si>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</si>
  <si>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</si>
  <si>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</si>
  <si>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</si>
  <si>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</si>
  <si>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</si>
  <si>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</si>
  <si>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</si>
  <si>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</si>
  <si>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</si>
  <si>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</si>
  <si>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</si>
  <si>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</si>
  <si>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</si>
  <si>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</si>
  <si>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</si>
  <si>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</si>
  <si>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</si>
  <si>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</si>
  <si>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</si>
  <si>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</si>
  <si>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</si>
  <si>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</si>
  <si>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</si>
  <si>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</si>
  <si>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</si>
  <si>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</si>
  <si>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</si>
  <si>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</si>
  <si>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</si>
  <si>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</si>
  <si>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</si>
  <si>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</si>
  <si>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</si>
  <si>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</si>
  <si>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</si>
  <si>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</si>
  <si>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</si>
  <si>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</si>
  <si>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</si>
  <si>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</si>
  <si>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</si>
  <si>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</si>
  <si>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</si>
  <si>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</si>
  <si>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</si>
  <si>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</si>
  <si>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</si>
  <si>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</si>
  <si>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</si>
  <si>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</si>
  <si>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</si>
  <si>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</si>
  <si>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</si>
  <si>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</si>
  <si>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</si>
  <si>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</si>
  <si>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</si>
  <si>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</si>
  <si>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</si>
  <si>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</si>
  <si>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</si>
  <si>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</si>
  <si>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</si>
  <si>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</si>
  <si>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</si>
  <si>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</si>
  <si>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</si>
  <si>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</si>
  <si>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</si>
  <si>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</si>
  <si>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</si>
  <si>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</si>
  <si>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</si>
  <si>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</si>
  <si>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</si>
  <si>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</si>
  <si>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</si>
  <si>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</si>
  <si>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</si>
  <si>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</si>
  <si>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</si>
  <si>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</si>
  <si>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</si>
  <si>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</si>
  <si>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</si>
  <si>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</si>
  <si>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</si>
  <si>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</si>
  <si>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</si>
  <si>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</si>
  <si>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</si>
  <si>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</si>
  <si>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</si>
  <si>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</si>
  <si>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</si>
  <si>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</si>
  <si>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</si>
  <si>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</si>
  <si>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</si>
  <si>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</si>
  <si>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</si>
  <si>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</si>
  <si>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</si>
  <si>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</si>
  <si>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</si>
  <si>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</si>
  <si>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</si>
  <si>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</si>
  <si>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</si>
  <si>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</si>
  <si>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</si>
  <si>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</si>
  <si>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</si>
  <si>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</si>
  <si>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</si>
  <si>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</si>
  <si>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</si>
  <si>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</si>
  <si>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</si>
  <si>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</si>
  <si>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</si>
  <si>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</si>
  <si>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</si>
  <si>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</si>
  <si>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</si>
  <si>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</si>
  <si>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</si>
  <si>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</si>
  <si>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</si>
  <si>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</si>
  <si>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</si>
  <si>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</si>
  <si>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</si>
  <si>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</si>
  <si>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</si>
  <si>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</si>
  <si>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</si>
  <si>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</si>
  <si>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</si>
  <si>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</si>
  <si>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</si>
  <si>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</si>
  <si>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</si>
  <si>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</si>
  <si>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</si>
  <si>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</si>
  <si>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</si>
  <si>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</si>
  <si>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</si>
  <si>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</si>
  <si>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</si>
  <si>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</si>
  <si>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</si>
  <si>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</si>
  <si>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</si>
  <si>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</si>
  <si>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</si>
  <si>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</si>
  <si>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</si>
  <si>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</si>
  <si>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</si>
  <si>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</si>
  <si>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</si>
  <si>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</si>
  <si>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</si>
  <si>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</si>
  <si>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</si>
  <si>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</si>
  <si>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</si>
  <si>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</si>
  <si>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</si>
  <si>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</si>
  <si>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</si>
  <si>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</si>
  <si>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</si>
  <si>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</si>
  <si>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</si>
  <si>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</si>
  <si>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</si>
  <si>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</si>
  <si>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</si>
  <si>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</si>
  <si>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</si>
  <si>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</si>
  <si>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</si>
  <si>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</si>
  <si>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</si>
  <si>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</si>
  <si>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</si>
  <si>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</si>
  <si>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</si>
  <si>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</si>
  <si>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</si>
  <si>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</si>
  <si>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</si>
  <si>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</si>
  <si>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</si>
  <si>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</si>
  <si>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</si>
  <si>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</si>
  <si>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</si>
  <si>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</si>
  <si>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</si>
  <si>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</si>
  <si>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</si>
  <si>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</si>
  <si>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</si>
  <si>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</si>
  <si>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</si>
  <si>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</si>
  <si>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</si>
  <si>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</si>
  <si>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</si>
  <si>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</si>
  <si>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</si>
  <si>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</si>
  <si>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</si>
  <si>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</si>
  <si>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</si>
  <si>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</si>
  <si>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</si>
  <si>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</si>
  <si>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</si>
  <si>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</si>
  <si>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</si>
  <si>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</si>
  <si>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</si>
  <si>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</si>
  <si>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</si>
  <si>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</si>
  <si>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</si>
  <si>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</si>
  <si>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</si>
  <si>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</si>
  <si>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</si>
  <si>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</si>
  <si>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</si>
  <si>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</si>
  <si>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</si>
  <si>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</si>
  <si>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</si>
  <si>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</si>
  <si>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</si>
  <si>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</si>
  <si>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</si>
  <si>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</si>
  <si>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</si>
  <si>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</si>
  <si>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</si>
  <si>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</si>
  <si>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</si>
  <si>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</si>
  <si>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</si>
  <si>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</si>
  <si>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</si>
  <si>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</si>
  <si>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</si>
  <si>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</si>
  <si>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</si>
  <si>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</si>
  <si>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</si>
  <si>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</si>
  <si>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</si>
  <si>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</si>
  <si>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</si>
  <si>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</si>
  <si>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</si>
  <si>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</si>
  <si>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</si>
  <si>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</si>
  <si>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</si>
  <si>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</si>
  <si>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</si>
  <si>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</si>
  <si>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</si>
  <si>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</si>
  <si>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</si>
  <si>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</si>
  <si>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</si>
  <si>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</si>
  <si>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</si>
  <si>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</si>
  <si>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</si>
  <si>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</si>
  <si>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</si>
  <si>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</si>
  <si>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</si>
  <si>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</si>
  <si>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</si>
  <si>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</si>
  <si>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</si>
  <si>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</si>
  <si>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</si>
  <si>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</si>
  <si>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</si>
  <si>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</si>
  <si>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</si>
  <si>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</si>
  <si>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</si>
  <si>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</si>
  <si>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</si>
  <si>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</si>
  <si>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</si>
  <si>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</si>
  <si>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</si>
  <si>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</si>
  <si>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</si>
  <si>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</si>
  <si>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</si>
  <si>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</si>
  <si>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</si>
  <si>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</si>
  <si>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</si>
  <si>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</si>
  <si>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</si>
  <si>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</si>
  <si>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</si>
  <si>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</si>
  <si>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</si>
  <si>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</si>
  <si>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</si>
  <si>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</si>
  <si>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</si>
  <si>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</si>
  <si>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</si>
  <si>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</si>
  <si>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</si>
  <si>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</si>
  <si>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</si>
  <si>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</si>
  <si>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</si>
  <si>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</si>
  <si>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</si>
  <si>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</si>
  <si>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</si>
  <si>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</si>
  <si>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</si>
  <si>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</si>
  <si>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</si>
  <si>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</si>
  <si>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</si>
  <si>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</si>
  <si>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</si>
  <si>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</si>
  <si>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</si>
  <si>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</si>
  <si>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</si>
  <si>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</si>
  <si>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</si>
  <si>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</si>
  <si>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</si>
  <si>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</si>
  <si>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</si>
  <si>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</si>
  <si>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</si>
  <si>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</si>
  <si>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</si>
  <si>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</si>
  <si>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</si>
  <si>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</si>
  <si>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</si>
  <si>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</si>
  <si>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</si>
  <si>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</si>
  <si>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</si>
  <si>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</si>
  <si>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</si>
  <si>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</si>
  <si>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</si>
  <si>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</si>
  <si>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</si>
  <si>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</si>
  <si>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</si>
  <si>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</si>
  <si>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</si>
  <si>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</si>
  <si>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</si>
  <si>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</si>
  <si>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</si>
  <si>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</si>
  <si>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</si>
  <si>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</si>
  <si>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</si>
  <si>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</si>
  <si>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</si>
  <si>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</si>
  <si>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</si>
  <si>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</si>
  <si>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</si>
  <si>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</si>
  <si>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</si>
  <si>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</si>
  <si>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</si>
  <si>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</si>
  <si>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</si>
  <si>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</si>
  <si>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</si>
  <si>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</si>
  <si>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</si>
  <si>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</si>
  <si>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</si>
  <si>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</si>
  <si>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</si>
  <si>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</si>
  <si>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</si>
  <si>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</si>
  <si>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</si>
  <si>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</si>
  <si>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</si>
  <si>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</si>
  <si>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</si>
  <si>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</si>
  <si>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</si>
  <si>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</si>
  <si>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</si>
  <si>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</si>
  <si>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</si>
  <si>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</si>
  <si>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</si>
  <si>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</si>
  <si>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</si>
  <si>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</si>
  <si>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</si>
  <si>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</si>
  <si>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</si>
  <si>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</si>
  <si>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</si>
  <si>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</si>
  <si>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</si>
  <si>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</si>
  <si>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</si>
  <si>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</si>
  <si>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</si>
  <si>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</si>
  <si>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</si>
  <si>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</si>
  <si>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</si>
  <si>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</si>
  <si>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</si>
  <si>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</si>
  <si>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</si>
  <si>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</si>
  <si>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</si>
  <si>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</si>
  <si>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</si>
  <si>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</si>
  <si>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</si>
  <si>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</si>
  <si>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</si>
  <si>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</si>
  <si>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</si>
  <si>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</si>
  <si>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</si>
  <si>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</si>
  <si>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</si>
  <si>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</si>
  <si>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</si>
  <si>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</si>
  <si>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</si>
  <si>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</si>
  <si>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</si>
  <si>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</si>
  <si>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</si>
  <si>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</si>
  <si>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</si>
  <si>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</si>
  <si>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</si>
  <si>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</si>
  <si>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</si>
  <si>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</si>
  <si>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</si>
  <si>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</si>
  <si>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</si>
  <si>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</si>
  <si>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</si>
  <si>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</si>
  <si>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</si>
  <si>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</si>
  <si>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</si>
  <si>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</si>
  <si>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</si>
  <si>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</si>
  <si>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</si>
  <si>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</si>
  <si>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</si>
  <si>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</si>
  <si>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</si>
  <si>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</si>
  <si>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</si>
  <si>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</si>
  <si>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</si>
  <si>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</si>
  <si>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</si>
  <si>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</si>
  <si>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</si>
  <si>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</si>
  <si>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</si>
  <si>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</si>
  <si>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</si>
  <si>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</si>
  <si>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</si>
  <si>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</si>
  <si>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</si>
  <si>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</si>
  <si>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</si>
  <si>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</si>
  <si>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</si>
  <si>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</si>
  <si>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</si>
  <si>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</si>
  <si>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</si>
  <si>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</si>
  <si>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</si>
  <si>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</si>
  <si>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</si>
  <si>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</si>
  <si>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</si>
  <si>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</si>
  <si>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</si>
  <si>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</si>
  <si>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</si>
  <si>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</si>
  <si>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</si>
  <si>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</si>
  <si>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</si>
  <si>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</si>
  <si>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</si>
  <si>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</si>
  <si>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</si>
  <si>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</si>
  <si>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</si>
  <si>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</si>
  <si>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</si>
  <si>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</si>
  <si>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</si>
  <si>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</si>
  <si>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</si>
  <si>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</si>
  <si>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</si>
  <si>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</si>
  <si>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</si>
  <si>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</si>
  <si>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</si>
  <si>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</si>
  <si>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</si>
  <si>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</si>
  <si>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</si>
  <si>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</si>
  <si>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</si>
  <si>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</si>
  <si>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</si>
  <si>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</si>
  <si>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</si>
  <si>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</si>
  <si>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</si>
  <si>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</si>
  <si>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</si>
  <si>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</si>
  <si>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</si>
  <si>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</si>
  <si>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</si>
  <si>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</si>
  <si>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</si>
  <si>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</si>
  <si>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</si>
  <si>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</si>
  <si>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</si>
  <si>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</si>
  <si>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</si>
  <si>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</si>
  <si>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</si>
  <si>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</si>
  <si>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</si>
  <si>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</si>
  <si>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</si>
  <si>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</si>
  <si>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</si>
  <si>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</si>
  <si>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</si>
  <si>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</si>
  <si>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</si>
  <si>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</si>
  <si>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</si>
  <si>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</si>
  <si>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</si>
  <si>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</si>
  <si>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</si>
  <si>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</si>
  <si>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</si>
  <si>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</si>
  <si>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</si>
  <si>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</si>
  <si>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</si>
  <si>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</si>
  <si>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</si>
  <si>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</si>
  <si>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</si>
  <si>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</si>
  <si>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</si>
  <si>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</si>
  <si>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</si>
  <si>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</si>
  <si>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</si>
  <si>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</si>
  <si>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</si>
  <si>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</si>
  <si>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</si>
  <si>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</si>
  <si>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</si>
  <si>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</si>
  <si>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</si>
  <si>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</si>
  <si>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</si>
  <si>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</si>
  <si>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</si>
  <si>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</si>
  <si>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</si>
  <si>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</si>
  <si>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</si>
  <si>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</si>
  <si>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</si>
  <si>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</si>
  <si>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</si>
  <si>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</si>
  <si>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</si>
  <si>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</si>
  <si>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</si>
  <si>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</si>
  <si>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</si>
  <si>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</si>
  <si>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</si>
  <si>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</si>
  <si>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</si>
  <si>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</si>
  <si>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</si>
  <si>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</si>
  <si>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</si>
  <si>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</si>
  <si>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</si>
  <si>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</si>
  <si>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</si>
  <si>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</si>
  <si>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</si>
  <si>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</si>
  <si>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</si>
  <si>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</si>
  <si>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</si>
  <si>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</si>
  <si>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</si>
  <si>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</si>
  <si>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</si>
  <si>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</si>
  <si>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</si>
  <si>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</si>
  <si>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</si>
  <si>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</si>
  <si>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</si>
  <si>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</si>
  <si>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</si>
  <si>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</si>
  <si>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</si>
  <si>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</si>
  <si>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</si>
  <si>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</si>
  <si>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</si>
  <si>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</si>
  <si>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</si>
  <si>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</si>
  <si>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</si>
  <si>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</si>
  <si>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</si>
  <si>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</si>
  <si>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</si>
  <si>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</si>
  <si>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</si>
  <si>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</si>
  <si>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</si>
  <si>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</si>
  <si>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</si>
  <si>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</si>
  <si>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</si>
  <si>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</si>
  <si>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</si>
  <si>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</si>
  <si>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</si>
  <si>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</si>
  <si>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</si>
  <si>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</si>
  <si>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</si>
  <si>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</si>
  <si>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</si>
  <si>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</si>
  <si>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</si>
  <si>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</si>
  <si>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</si>
  <si>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</si>
  <si>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</si>
  <si>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</si>
  <si>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</si>
  <si>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</si>
  <si>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</si>
  <si>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</si>
  <si>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</si>
  <si>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</si>
  <si>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</si>
  <si>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</si>
  <si>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</si>
  <si>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</si>
  <si>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</si>
  <si>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</si>
  <si>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</si>
  <si>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</si>
  <si>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</si>
  <si>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</si>
  <si>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</si>
  <si>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</si>
  <si>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</si>
  <si>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</si>
  <si>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</si>
  <si>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</si>
  <si>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</si>
  <si>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</si>
  <si>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</si>
  <si>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</si>
  <si>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</si>
  <si>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</si>
  <si>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</si>
  <si>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</si>
  <si>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</si>
  <si>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</si>
  <si>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</si>
  <si>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</si>
  <si>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</si>
  <si>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</si>
  <si>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</si>
  <si>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</si>
  <si>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</si>
  <si>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</si>
  <si>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</si>
  <si>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</si>
  <si>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</si>
  <si>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</si>
  <si>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</si>
  <si>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</si>
  <si>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</si>
  <si>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</si>
  <si>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</si>
  <si>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</si>
  <si>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</si>
  <si>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</si>
  <si>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</si>
  <si>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</si>
  <si>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</si>
  <si>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</si>
  <si>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</si>
  <si>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</si>
  <si>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</si>
  <si>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</si>
  <si>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</si>
  <si>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</si>
  <si>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</si>
  <si>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</si>
  <si>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</si>
  <si>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</si>
  <si>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</si>
  <si>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</si>
  <si>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</si>
  <si>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</si>
  <si>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</si>
  <si>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</si>
  <si>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</si>
  <si>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</si>
  <si>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</si>
  <si>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</si>
  <si>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</si>
  <si>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</si>
  <si>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</si>
  <si>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</si>
  <si>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</si>
  <si>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</si>
  <si>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</si>
  <si>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</si>
  <si>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</si>
  <si>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</si>
  <si>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</si>
  <si>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</si>
  <si>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</si>
  <si>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</si>
  <si>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</si>
  <si>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</si>
  <si>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</si>
  <si>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</si>
  <si>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</si>
  <si>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</si>
  <si>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</si>
  <si>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</si>
  <si>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</si>
  <si>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</si>
  <si>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</si>
  <si>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</si>
  <si>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</si>
  <si>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</si>
  <si>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</si>
  <si>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</si>
  <si>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</si>
  <si>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</si>
  <si>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</si>
  <si>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</si>
  <si>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</si>
  <si>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</si>
  <si>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</si>
  <si>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</si>
  <si>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</si>
  <si>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</si>
  <si>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</si>
  <si>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</si>
  <si>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</si>
  <si>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</si>
  <si>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</si>
  <si>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</si>
  <si>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</si>
  <si>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</si>
  <si>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</si>
  <si>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</si>
  <si>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</si>
  <si>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</si>
  <si>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</si>
  <si>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</si>
  <si>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</si>
  <si>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</si>
  <si>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</si>
  <si>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</si>
  <si>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</si>
  <si>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</si>
  <si>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</si>
  <si>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</si>
  <si>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</si>
  <si>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</si>
  <si>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</si>
  <si>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</si>
  <si>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</si>
  <si>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</si>
  <si>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</si>
  <si>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</si>
  <si>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</si>
  <si>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</si>
  <si>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</si>
  <si>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</si>
  <si>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</si>
  <si>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</si>
  <si>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</si>
  <si>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</si>
  <si>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</si>
  <si>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</si>
  <si>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</si>
  <si>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</si>
  <si>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</si>
  <si>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</si>
  <si>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</si>
  <si>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</si>
  <si>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</si>
  <si>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</si>
  <si>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</si>
  <si>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</si>
  <si>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</si>
  <si>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</si>
  <si>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</si>
  <si>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</si>
  <si>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</si>
  <si>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</si>
  <si>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</si>
  <si>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</si>
  <si>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</si>
  <si>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</si>
  <si>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</si>
  <si>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</si>
  <si>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</si>
  <si>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</si>
  <si>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</si>
  <si>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</si>
  <si>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</si>
  <si>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</si>
  <si>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</si>
  <si>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</si>
  <si>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</si>
  <si>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</si>
  <si>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</si>
  <si>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</si>
  <si>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</si>
  <si>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</si>
  <si>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</si>
  <si>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</si>
  <si>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</si>
  <si>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</si>
  <si>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</si>
  <si>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</si>
  <si>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</si>
  <si>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</si>
  <si>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</si>
  <si>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</si>
  <si>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</si>
  <si>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</si>
  <si>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</si>
  <si>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</si>
  <si>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</si>
  <si>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</si>
  <si>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</si>
  <si>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</si>
  <si>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</si>
  <si>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</si>
  <si>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</si>
  <si>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</si>
  <si>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</si>
  <si>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</si>
  <si>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</si>
  <si>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</si>
  <si>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</si>
  <si>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</si>
  <si>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</si>
  <si>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</si>
  <si>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</si>
  <si>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</si>
  <si>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</si>
  <si>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</si>
  <si>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</si>
  <si>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</si>
  <si>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</si>
  <si>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</si>
  <si>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</si>
  <si>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</si>
  <si>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</si>
  <si>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</si>
  <si>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</si>
  <si>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</si>
  <si>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</si>
  <si>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</si>
  <si>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</si>
  <si>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</si>
  <si>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</si>
  <si>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</si>
  <si>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</si>
  <si>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</si>
  <si>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</si>
  <si>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</si>
  <si>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</si>
  <si>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</si>
  <si>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</si>
  <si>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</si>
  <si>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</si>
  <si>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</si>
  <si>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</si>
  <si>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</si>
  <si>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</si>
  <si>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</si>
  <si>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</si>
  <si>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</si>
  <si>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</si>
  <si>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</si>
  <si>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</si>
  <si>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</si>
  <si>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</si>
  <si>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</si>
  <si>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</si>
  <si>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</si>
  <si>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</si>
  <si>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</si>
  <si>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</si>
  <si>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</si>
  <si>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</si>
  <si>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</si>
  <si>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</si>
  <si>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</si>
  <si>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</si>
  <si>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</si>
  <si>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</si>
  <si>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</si>
  <si>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</si>
  <si>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</si>
  <si>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</si>
  <si>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</si>
  <si>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</si>
  <si>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</si>
  <si>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</si>
  <si>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</si>
  <si>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</si>
  <si>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</si>
  <si>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</si>
  <si>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</si>
  <si>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</si>
  <si>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</si>
  <si>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</si>
  <si>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</si>
  <si>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</si>
  <si>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</si>
  <si>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</si>
  <si>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</si>
  <si>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</si>
  <si>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</si>
  <si>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</si>
  <si>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</si>
  <si>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</si>
  <si>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</si>
  <si>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</si>
  <si>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</si>
  <si>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</si>
  <si>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</si>
  <si>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</si>
  <si>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</si>
  <si>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</si>
  <si>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</si>
  <si>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</si>
  <si>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</si>
  <si>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</si>
  <si>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</si>
  <si>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</si>
  <si>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</si>
  <si>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</si>
  <si>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</si>
  <si>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</si>
  <si>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</si>
  <si>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</si>
  <si>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</si>
  <si>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</si>
  <si>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</si>
  <si>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</si>
  <si>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</si>
  <si>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</si>
  <si>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</si>
  <si>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</si>
  <si>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</si>
  <si>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</si>
  <si>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</si>
  <si>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</si>
  <si>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</si>
  <si>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</si>
  <si>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</si>
  <si>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</si>
  <si>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</si>
  <si>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</si>
  <si>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</si>
  <si>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</si>
  <si>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</si>
  <si>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</si>
  <si>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</si>
  <si>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</si>
  <si>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</si>
  <si>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</si>
  <si>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</si>
  <si>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</si>
  <si>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</si>
  <si>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</si>
  <si>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</si>
  <si>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</si>
  <si>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</si>
  <si>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</si>
  <si>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</si>
  <si>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</si>
  <si>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</si>
  <si>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</si>
  <si>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</si>
  <si>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</si>
  <si>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</si>
  <si>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</si>
  <si>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</si>
  <si>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</si>
  <si>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</si>
  <si>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</si>
  <si>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</si>
  <si>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</si>
  <si>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</si>
  <si>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</si>
  <si>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</si>
  <si>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</si>
  <si>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</si>
  <si>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</si>
  <si>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</si>
  <si>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</si>
  <si>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</si>
  <si>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</si>
  <si>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</si>
  <si>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</si>
  <si>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</si>
  <si>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</si>
  <si>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</si>
  <si>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</si>
  <si>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</si>
  <si>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</si>
  <si>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</si>
  <si>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</si>
  <si>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</si>
  <si>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</si>
  <si>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</si>
  <si>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</si>
  <si>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</si>
  <si>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</si>
  <si>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</si>
  <si>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</si>
  <si>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</si>
  <si>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</si>
  <si>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</si>
  <si>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</si>
  <si>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</si>
  <si>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</si>
  <si>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</si>
  <si>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</si>
  <si>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</si>
  <si>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</si>
  <si>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</si>
  <si>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</si>
  <si>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</si>
  <si>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</si>
  <si>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</si>
  <si>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</si>
  <si>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</si>
  <si>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</si>
  <si>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</si>
  <si>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</si>
  <si>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</si>
  <si>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</si>
  <si>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</si>
  <si>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</si>
  <si>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</si>
  <si>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</si>
  <si>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</si>
  <si>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</si>
  <si>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</si>
  <si>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</si>
  <si>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</si>
  <si>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</si>
  <si>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</si>
  <si>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</si>
  <si>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</si>
  <si>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</si>
  <si>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</si>
  <si>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</si>
  <si>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</si>
  <si>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</si>
  <si>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</si>
  <si>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</si>
  <si>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</si>
  <si>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</si>
  <si>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</si>
  <si>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</si>
  <si>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</si>
  <si>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</si>
  <si>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</si>
  <si>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</si>
  <si>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</si>
  <si>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</si>
  <si>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</si>
  <si>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</si>
  <si>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</si>
  <si>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</si>
  <si>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</si>
  <si>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</si>
  <si>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</si>
  <si>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</si>
  <si>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</si>
  <si>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</si>
  <si>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</si>
  <si>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</si>
  <si>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</si>
  <si>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</si>
  <si>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</si>
  <si>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</si>
  <si>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</si>
  <si>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</si>
  <si>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</si>
  <si>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</si>
  <si>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</si>
  <si>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</si>
  <si>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</si>
  <si>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</si>
  <si>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</si>
  <si>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</si>
  <si>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</si>
  <si>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</si>
  <si>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</si>
  <si>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</si>
  <si>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</si>
  <si>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</si>
  <si>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</si>
  <si>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</si>
  <si>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</si>
  <si>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</si>
  <si>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</si>
  <si>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</si>
  <si>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</si>
  <si>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</si>
  <si>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</si>
  <si>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</si>
  <si>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</si>
  <si>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</si>
  <si>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</si>
  <si>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</si>
  <si>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</si>
  <si>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</si>
  <si>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</si>
  <si>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</si>
  <si>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</si>
  <si>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</si>
  <si>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</si>
  <si>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</si>
  <si>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</si>
  <si>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</si>
  <si>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</si>
  <si>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</si>
  <si>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</si>
  <si>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</si>
  <si>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</si>
  <si>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</si>
  <si>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</si>
  <si>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</si>
  <si>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</si>
  <si>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</si>
  <si>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</si>
  <si>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</si>
  <si>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</si>
  <si>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</si>
  <si>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</si>
  <si>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</si>
  <si>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</si>
  <si>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</si>
  <si>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</si>
  <si>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</si>
  <si>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</si>
  <si>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</si>
  <si>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</si>
  <si>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</si>
  <si>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</si>
  <si>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</si>
  <si>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</si>
  <si>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</si>
  <si>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</si>
  <si>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</si>
  <si>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</si>
  <si>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</si>
  <si>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</si>
  <si>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</si>
  <si>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</si>
  <si>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</si>
  <si>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</si>
  <si>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</si>
  <si>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</si>
  <si>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</si>
  <si>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</si>
  <si>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</si>
  <si>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</si>
  <si>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</si>
  <si>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</si>
  <si>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</si>
  <si>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</si>
  <si>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</si>
  <si>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</si>
  <si>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</si>
  <si>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</si>
  <si>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</si>
  <si>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</si>
  <si>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</si>
  <si>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</si>
  <si>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</si>
  <si>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</si>
  <si>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</si>
  <si>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</si>
  <si>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</si>
  <si>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</si>
  <si>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</si>
  <si>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</si>
  <si>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</si>
  <si>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</si>
  <si>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</si>
  <si>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</si>
  <si>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</si>
  <si>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</si>
  <si>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</si>
  <si>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</si>
  <si>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</si>
  <si>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</si>
  <si>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</si>
  <si>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</si>
  <si>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</si>
  <si>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</si>
  <si>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</si>
  <si>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</si>
  <si>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</si>
  <si>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</si>
  <si>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</si>
  <si>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</si>
  <si>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</si>
  <si>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</si>
  <si>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</si>
  <si>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</si>
  <si>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</si>
  <si>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</si>
  <si>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</si>
  <si>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</si>
  <si>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</si>
  <si>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</si>
  <si>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</si>
  <si>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</si>
  <si>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</si>
  <si>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</si>
  <si>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</si>
  <si>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</si>
  <si>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</si>
  <si>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</si>
  <si>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</si>
  <si>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</si>
  <si>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</si>
  <si>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</si>
  <si>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</si>
  <si>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</si>
  <si>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</si>
  <si>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</si>
  <si>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</si>
  <si>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</si>
  <si>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</si>
  <si>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</si>
  <si>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</si>
  <si>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</si>
  <si>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</si>
  <si>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</si>
  <si>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</si>
  <si>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</si>
  <si>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</si>
  <si>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</si>
  <si>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</si>
  <si>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</si>
  <si>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</si>
  <si>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</si>
  <si>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</si>
  <si>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</si>
  <si>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</si>
  <si>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</si>
  <si>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</si>
  <si>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</si>
  <si>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</si>
  <si>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</si>
  <si>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</si>
  <si>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</si>
  <si>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</si>
  <si>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</si>
  <si>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</si>
  <si>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</si>
  <si>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</si>
  <si>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</si>
  <si>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</si>
  <si>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</si>
  <si>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</si>
  <si>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</si>
  <si>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</si>
  <si>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</si>
  <si>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</si>
  <si>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</si>
  <si>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</si>
  <si>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</si>
  <si>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</si>
  <si>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</si>
  <si>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</si>
  <si>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</si>
  <si>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</si>
  <si>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</si>
  <si>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</si>
  <si>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</si>
  <si>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</si>
  <si>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</si>
  <si>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</si>
  <si>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</si>
  <si>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</si>
  <si>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</si>
  <si>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</si>
  <si>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</si>
  <si>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</si>
  <si>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</si>
  <si>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</si>
  <si>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</si>
  <si>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</si>
  <si>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</si>
  <si>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</si>
  <si>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</si>
  <si>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</si>
  <si>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</si>
  <si>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</si>
  <si>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</si>
  <si>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</si>
  <si>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</si>
  <si>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</si>
  <si>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</si>
  <si>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</si>
  <si>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</si>
  <si>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</si>
  <si>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</si>
  <si>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</si>
  <si>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</si>
  <si>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</si>
  <si>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</si>
  <si>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</si>
  <si>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</si>
  <si>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</si>
  <si>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</si>
  <si>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</si>
  <si>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</si>
  <si>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</si>
  <si>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</si>
  <si>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</si>
  <si>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</si>
  <si>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</si>
  <si>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</si>
  <si>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</si>
  <si>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</si>
  <si>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</si>
  <si>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</si>
  <si>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</si>
  <si>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</si>
  <si>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</si>
  <si>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</si>
  <si>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</si>
  <si>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</si>
  <si>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</si>
  <si>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</si>
  <si>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</si>
  <si>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</si>
  <si>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</si>
  <si>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</si>
  <si>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</si>
  <si>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</si>
  <si>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</si>
  <si>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</si>
  <si>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</si>
  <si>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</si>
  <si>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</si>
  <si>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</si>
  <si>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</si>
  <si>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</si>
  <si>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</si>
  <si>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</si>
  <si>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</si>
  <si>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</si>
  <si>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</si>
  <si>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</si>
  <si>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</si>
  <si>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</si>
  <si>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</si>
  <si>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</si>
  <si>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</si>
  <si>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</si>
  <si>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</si>
  <si>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</si>
  <si>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</si>
  <si>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</si>
  <si>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</si>
  <si>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</si>
  <si>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</si>
  <si>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</si>
  <si>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</si>
  <si>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</si>
  <si>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</si>
  <si>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</si>
  <si>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</si>
  <si>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</si>
  <si>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</si>
  <si>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</si>
  <si>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</si>
  <si>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</si>
  <si>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</si>
  <si>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</si>
  <si>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</si>
  <si>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</si>
  <si>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</si>
  <si>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</si>
  <si>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</si>
  <si>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</si>
  <si>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</si>
  <si>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</si>
  <si>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</si>
  <si>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</si>
  <si>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</si>
  <si>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</si>
  <si>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</si>
  <si>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</si>
  <si>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</si>
  <si>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</si>
  <si>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</si>
  <si>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</si>
  <si>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</si>
  <si>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</si>
  <si>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</si>
  <si>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</si>
  <si>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</si>
  <si>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</si>
  <si>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</si>
  <si>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</si>
  <si>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</si>
  <si>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</si>
  <si>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</si>
  <si>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</si>
  <si>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</si>
  <si>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</si>
  <si>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</si>
  <si>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</si>
  <si>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</si>
  <si>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</si>
  <si>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</si>
  <si>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</si>
  <si>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</si>
  <si>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</si>
  <si>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</si>
  <si>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</si>
  <si>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</si>
  <si>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</si>
  <si>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</si>
  <si>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</si>
  <si>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</si>
  <si>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</si>
  <si>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</si>
  <si>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</si>
  <si>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</si>
  <si>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</si>
  <si>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</si>
  <si>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</si>
  <si>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</si>
  <si>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</si>
  <si>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</si>
  <si>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</si>
  <si>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</si>
  <si>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</si>
  <si>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</si>
  <si>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</si>
  <si>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</si>
  <si>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</si>
  <si>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</si>
  <si>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</si>
  <si>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</si>
  <si>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</si>
  <si>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</si>
  <si>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</si>
  <si>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</si>
  <si>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</si>
  <si>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</si>
  <si>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</si>
  <si>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</si>
  <si>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</si>
  <si>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</si>
  <si>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</si>
  <si>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</si>
  <si>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</si>
  <si>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</si>
  <si>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</si>
  <si>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</si>
  <si>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</si>
  <si>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</si>
  <si>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</si>
  <si>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</si>
  <si>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</si>
  <si>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</si>
  <si>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</si>
  <si>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</si>
  <si>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</si>
  <si>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</si>
  <si>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</si>
  <si>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</si>
  <si>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</si>
  <si>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</si>
  <si>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</si>
  <si>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</si>
  <si>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</si>
  <si>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</si>
  <si>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</si>
  <si>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</si>
  <si>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</si>
  <si>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</si>
  <si>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</si>
  <si>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</si>
  <si>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</si>
  <si>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</si>
  <si>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</si>
  <si>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</si>
  <si>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</si>
  <si>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</si>
  <si>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</si>
  <si>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</si>
  <si>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</si>
  <si>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</si>
  <si>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</si>
  <si>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</si>
  <si>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</si>
  <si>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</si>
  <si>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</si>
  <si>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</si>
  <si>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</si>
  <si>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</si>
  <si>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</si>
  <si>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</si>
  <si>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</si>
  <si>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</si>
  <si>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</si>
  <si>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</si>
  <si>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</si>
  <si>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</si>
  <si>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</si>
  <si>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</si>
  <si>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</si>
  <si>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</si>
  <si>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</si>
  <si>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</si>
  <si>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</si>
  <si>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</si>
  <si>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</si>
  <si>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</si>
  <si>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</si>
  <si>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</si>
  <si>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</si>
  <si>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</si>
  <si>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</si>
  <si>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</si>
  <si>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</si>
  <si>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</si>
  <si>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</si>
  <si>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</si>
  <si>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</si>
  <si>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</si>
  <si>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</si>
  <si>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</si>
  <si>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</si>
  <si>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</si>
  <si>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</si>
  <si>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</si>
  <si>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</si>
  <si>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</si>
  <si>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</si>
  <si>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</si>
  <si>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</si>
  <si>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</si>
  <si>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</si>
  <si>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</si>
  <si>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</si>
  <si>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</si>
  <si>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</si>
  <si>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</si>
  <si>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</si>
  <si>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</si>
  <si>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</si>
  <si>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</si>
  <si>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</si>
  <si>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</si>
  <si>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</si>
  <si>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</si>
  <si>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</si>
  <si>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</si>
  <si>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</si>
  <si>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</si>
  <si>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</si>
  <si>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</si>
  <si>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</si>
  <si>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</si>
  <si>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</si>
  <si>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</si>
  <si>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</si>
  <si>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</si>
  <si>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</si>
  <si>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</si>
  <si>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</si>
  <si>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</si>
  <si>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</si>
  <si>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</si>
  <si>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</si>
  <si>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</si>
  <si>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</si>
  <si>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</si>
  <si>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</si>
  <si>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</si>
  <si>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</si>
  <si>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</si>
  <si>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</si>
  <si>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</si>
  <si>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</si>
  <si>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</si>
  <si>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</si>
  <si>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</si>
  <si>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</si>
  <si>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</si>
  <si>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</si>
  <si>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</si>
  <si>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</si>
  <si>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</si>
  <si>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</si>
  <si>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</si>
  <si>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</si>
  <si>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</si>
  <si>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</si>
  <si>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</si>
  <si>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</si>
  <si>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</si>
  <si>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</si>
  <si>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</si>
  <si>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</si>
  <si>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</si>
  <si>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</si>
  <si>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</si>
  <si>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</si>
  <si>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</si>
  <si>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</si>
  <si>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</si>
  <si>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</si>
  <si>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</si>
  <si>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</si>
  <si>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</si>
  <si>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</si>
  <si>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</si>
  <si>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</si>
  <si>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</si>
  <si>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</si>
  <si>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</si>
  <si>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</si>
  <si>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</si>
  <si>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</si>
  <si>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</si>
  <si>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</si>
  <si>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</si>
  <si>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</si>
  <si>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</si>
  <si>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</si>
  <si>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</si>
  <si>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</si>
  <si>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</si>
  <si>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</si>
  <si>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</si>
  <si>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</si>
  <si>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</si>
  <si>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</si>
  <si>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</si>
  <si>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</si>
  <si>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</si>
  <si>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</si>
  <si>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</si>
  <si>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</si>
  <si>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</si>
  <si>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</si>
  <si>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</si>
  <si>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</si>
  <si>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</si>
  <si>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</si>
  <si>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</si>
  <si>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</si>
  <si>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</si>
  <si>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</si>
  <si>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</si>
  <si>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</si>
  <si>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</si>
  <si>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</si>
  <si>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</si>
  <si>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</si>
  <si>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</si>
  <si>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</si>
  <si>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</si>
  <si>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</si>
  <si>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</si>
  <si>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</si>
  <si>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</si>
  <si>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</si>
  <si>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</si>
  <si>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</si>
  <si>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</si>
  <si>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</si>
  <si>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</si>
  <si>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</si>
  <si>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</si>
  <si>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</si>
  <si>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</si>
  <si>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</si>
  <si>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</si>
  <si>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</si>
  <si>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</si>
  <si>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</si>
  <si>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</si>
  <si>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</si>
  <si>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</si>
  <si>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</si>
  <si>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</si>
  <si>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</si>
  <si>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</si>
  <si>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</si>
  <si>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</si>
  <si>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</si>
  <si>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</si>
  <si>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</si>
  <si>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</si>
  <si>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</si>
  <si>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</si>
  <si>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</si>
  <si>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</si>
  <si>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</si>
  <si>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</si>
  <si>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</si>
  <si>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</si>
  <si>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</si>
  <si>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</si>
  <si>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</si>
  <si>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</si>
  <si>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</si>
  <si>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</si>
  <si>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</si>
  <si>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</si>
  <si>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</si>
  <si>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</si>
  <si>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</si>
  <si>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</si>
  <si>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</si>
  <si>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</si>
  <si>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</si>
  <si>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</si>
  <si>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</si>
  <si>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</si>
  <si>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</si>
  <si>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</si>
  <si>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</si>
  <si>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</si>
  <si>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</si>
  <si>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</si>
  <si>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</si>
  <si>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</si>
  <si>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</si>
  <si>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</si>
  <si>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</si>
  <si>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</si>
  <si>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</si>
  <si>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</si>
  <si>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</si>
  <si>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</si>
  <si>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</si>
  <si>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</si>
  <si>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</si>
  <si>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</si>
  <si>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</si>
  <si>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</si>
  <si>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</si>
  <si>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</si>
  <si>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</si>
  <si>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</si>
  <si>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</si>
  <si>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</si>
  <si>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</si>
  <si>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</si>
  <si>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</si>
  <si>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</si>
  <si>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</si>
  <si>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</si>
  <si>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</si>
  <si>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</si>
  <si>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</si>
  <si>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</si>
  <si>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</si>
  <si>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</si>
  <si>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</si>
  <si>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</si>
  <si>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</si>
  <si>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</si>
  <si>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</si>
  <si>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</si>
  <si>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</si>
  <si>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</si>
  <si>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</si>
  <si>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</si>
  <si>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</si>
  <si>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</si>
  <si>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</si>
  <si>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</si>
  <si>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</si>
  <si>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</si>
  <si>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</si>
  <si>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</si>
  <si>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</si>
  <si>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</si>
  <si>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</si>
  <si>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</si>
  <si>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</si>
  <si>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</si>
  <si>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</si>
  <si>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</si>
  <si>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</si>
  <si>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</si>
  <si>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</si>
  <si>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</si>
  <si>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</si>
  <si>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</si>
  <si>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</si>
  <si>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</si>
  <si>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</si>
  <si>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</si>
  <si>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</si>
  <si>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</si>
  <si>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</si>
  <si>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</si>
  <si>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</si>
  <si>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</si>
  <si>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</si>
  <si>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</si>
  <si>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</si>
  <si>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</si>
  <si>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</si>
  <si>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</si>
  <si>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</si>
  <si>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</si>
  <si>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</si>
  <si>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</si>
  <si>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</si>
  <si>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</si>
  <si>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</si>
  <si>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</si>
  <si>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</si>
  <si>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</si>
  <si>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</si>
  <si>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</si>
  <si>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</si>
  <si>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</si>
  <si>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</si>
  <si>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</si>
  <si>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</si>
  <si>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</si>
  <si>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</si>
  <si>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</si>
  <si>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</si>
  <si>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</si>
  <si>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</si>
  <si>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</si>
  <si>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</si>
  <si>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</si>
  <si>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</si>
  <si>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</si>
  <si>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</si>
  <si>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</si>
  <si>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</si>
  <si>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</si>
  <si>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</si>
  <si>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</si>
  <si>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</si>
  <si>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</si>
  <si>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</si>
  <si>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</si>
  <si>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</si>
  <si>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</si>
  <si>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</si>
  <si>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</si>
  <si>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</si>
  <si>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</si>
  <si>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</si>
  <si>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</si>
  <si>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</si>
  <si>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</si>
  <si>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</si>
  <si>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</si>
  <si>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</si>
  <si>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</si>
  <si>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</si>
  <si>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</si>
  <si>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</si>
  <si>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</si>
  <si>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</si>
  <si>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</si>
  <si>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</si>
  <si>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</si>
  <si>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</si>
  <si>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</si>
  <si>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</si>
  <si>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</si>
  <si>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</si>
  <si>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</si>
  <si>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</si>
  <si>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</si>
  <si>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</si>
  <si>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</si>
  <si>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</si>
  <si>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</si>
  <si>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</si>
  <si>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</si>
  <si>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</si>
  <si>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</si>
  <si>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</si>
  <si>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</si>
  <si>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</si>
  <si>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</si>
  <si>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</si>
  <si>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</si>
  <si>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</si>
  <si>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</si>
  <si>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</si>
  <si>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</si>
  <si>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</si>
  <si>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</si>
  <si>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</si>
  <si>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</si>
  <si>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</si>
  <si>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</si>
  <si>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</si>
  <si>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</si>
  <si>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</si>
  <si>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</si>
  <si>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</si>
  <si>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</si>
  <si>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</si>
  <si>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</si>
  <si>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</si>
  <si>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</si>
  <si>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</si>
  <si>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</si>
  <si>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</si>
  <si>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</si>
  <si>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</si>
  <si>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</si>
  <si>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</si>
  <si>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</si>
  <si>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</si>
  <si>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</si>
  <si>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</si>
  <si>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</si>
  <si>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</si>
  <si>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</si>
  <si>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</si>
  <si>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</si>
  <si>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</si>
  <si>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</si>
  <si>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</si>
  <si>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</si>
  <si>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</si>
  <si>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</si>
  <si>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</si>
  <si>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</si>
  <si>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</si>
  <si>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DUPAGE</t>
  </si>
  <si>
    <t>8502 BAILEY ROAD</t>
  </si>
  <si>
    <t>DARIEN</t>
  </si>
  <si>
    <t>WWW.CASSD63.ORG</t>
  </si>
  <si>
    <t>DR. KERRY FODERARO</t>
  </si>
  <si>
    <t>KFODERARO@CASSD63.ORG</t>
  </si>
  <si>
    <t>331-481-4000</t>
  </si>
  <si>
    <t>331-481-4001</t>
  </si>
  <si>
    <t>EVOY, KAMSCHULTE, JACOBS &amp; CO. LLP</t>
  </si>
  <si>
    <t>2122 YEOMAN STREET</t>
  </si>
  <si>
    <t>WAUKEGAN</t>
  </si>
  <si>
    <t>IL</t>
  </si>
  <si>
    <t>847-662-8305</t>
  </si>
  <si>
    <t>847-662-8300</t>
  </si>
  <si>
    <t>066-003289</t>
  </si>
  <si>
    <t>JHENRY@EKJLLP.COM</t>
  </si>
  <si>
    <t>Page 11, Line 106-Other Local Fees-Education Fund-"Before and After School" Program Fees-$119,422</t>
  </si>
  <si>
    <t>Arts and Foreign Language-$68,635</t>
  </si>
  <si>
    <t>Page 12, Line 168, Other Restricted Revenue from State Sources-Education Fund-State Library Grant-$750, IL Arts Council Grant for</t>
  </si>
  <si>
    <t>1996 - C - WORKING CASH FUND BONDS</t>
  </si>
  <si>
    <t>2001 - A &amp; B - BUILDING BONDS</t>
  </si>
  <si>
    <t>2006 - A &amp; B - BUILDING BONDS</t>
  </si>
  <si>
    <t>2013 - A - WORKING CASH AND REFUNDING BONDS</t>
  </si>
  <si>
    <t>2016 - A - REFUNDING BONDS</t>
  </si>
  <si>
    <t>2006 - C - REFUNDING BONDS (Alternate Revenue Source)</t>
  </si>
  <si>
    <t>2013 - B - REFUNDING BONDS (Alternate Revenue Source)</t>
  </si>
  <si>
    <t>2016 - B - REFUNDING AND BUILDING BONDS (Alternate Revenue Source)</t>
  </si>
  <si>
    <t>CAPITAL LEASES - EQUIPMENT</t>
  </si>
  <si>
    <t>CAPITAL LEASES - BUSES</t>
  </si>
  <si>
    <t>VARIOUS</t>
  </si>
  <si>
    <t>1 and 3</t>
  </si>
  <si>
    <t>3 and 6</t>
  </si>
  <si>
    <t>Equipment Leases</t>
  </si>
  <si>
    <t>Bus Leases</t>
  </si>
  <si>
    <t>Illinois School District Liquid Asset Fund (ISDLAF)</t>
  </si>
  <si>
    <t>Special Association for Special Education in DuPage County (SASED)</t>
  </si>
  <si>
    <t>Page 7, Line 43, Other Sources, Education Fund-Proceeds of new Equipment Lease/Purchase-$150,796, Transporation Fund-Proceeds</t>
  </si>
  <si>
    <t>of new Bus Lease/Purchase-$161,958</t>
  </si>
  <si>
    <t>NOTE</t>
  </si>
  <si>
    <t>Although a Single Audit is not required, as indicated on the cover page, the SEFA pages within this AFR have been completed, for information</t>
  </si>
  <si>
    <t>purposes, to demonstrate that federal expenditures were below the $750,000 threshhold, even though federal revenues exceeded $750,000.</t>
  </si>
  <si>
    <t>The Audit Check page indicates an "error" in connection with Long-Term Debt issued as shown on page 24. The long term debt issued as</t>
  </si>
  <si>
    <t>shown on page 24 AGREES with the amount of proceeds from new capital leases as shown on page 7, line 43, as described in item 3 above.</t>
  </si>
  <si>
    <t>The Audit Check page indicates an "error" in connection with Long-Term Debt retired as shown on page 24. The long term debt retired as</t>
  </si>
  <si>
    <t>shown on page 24 AGREES with the sum of the long term debt retired as shown on page 18, line 170 (Debt Service Fund), PLUS long term debt</t>
  </si>
  <si>
    <t>retired as shown on page 20, line 206 (Transportation Fund).</t>
  </si>
  <si>
    <t>U S DEPARTMENT OF EDUCATION</t>
  </si>
  <si>
    <t>U S DEPARTMENT OF AGRICULTURE</t>
  </si>
  <si>
    <t>Passed Through IL State Board of Education</t>
  </si>
  <si>
    <t xml:space="preserve">  Child Nutrition Cluster</t>
  </si>
  <si>
    <t xml:space="preserve">    National School Lunch Program</t>
  </si>
  <si>
    <t>2019-4210</t>
  </si>
  <si>
    <t>2018-4210</t>
  </si>
  <si>
    <t xml:space="preserve">    USDA Food Commodities-Non-Cash</t>
  </si>
  <si>
    <t xml:space="preserve">    DoD Fruits and Vegetables-Non-Cash</t>
  </si>
  <si>
    <t xml:space="preserve">  Total Child Nutrition Cluster</t>
  </si>
  <si>
    <t>TOTAL U S DEPARTMENT OF AGRICULTURE</t>
  </si>
  <si>
    <t xml:space="preserve">    Federal Impact Aid, Section 8002, Title VIII, ESEA</t>
  </si>
  <si>
    <t>2019-4001</t>
  </si>
  <si>
    <t>2018-4001</t>
  </si>
  <si>
    <t>2017-4001</t>
  </si>
  <si>
    <t>Direct From Federal Government</t>
  </si>
  <si>
    <t>Total Direct From Federal Government</t>
  </si>
  <si>
    <t>U S DEPARTMENT OF EDUCATION (continued)</t>
  </si>
  <si>
    <t xml:space="preserve">    Title I, Low-Income</t>
  </si>
  <si>
    <t>2019-4300</t>
  </si>
  <si>
    <t>2018-4300</t>
  </si>
  <si>
    <t xml:space="preserve">    Title IV, Student Support &amp; Academic Achievement</t>
  </si>
  <si>
    <t>2019-4400</t>
  </si>
  <si>
    <t xml:space="preserve">    Title II, Teacher Quality</t>
  </si>
  <si>
    <t>2019-4932</t>
  </si>
  <si>
    <t>2018-4932</t>
  </si>
  <si>
    <t xml:space="preserve">    Federal Special Education - IDEA - Room and Board Reimbursement</t>
  </si>
  <si>
    <t>2018-4625</t>
  </si>
  <si>
    <t>Passed Through ISBE through Special Assoc for Special Education in DuPage County (SASED)</t>
  </si>
  <si>
    <t xml:space="preserve">    Federal Special Education - IDEA - Pre-School Flow-Through</t>
  </si>
  <si>
    <t>2019-4600</t>
  </si>
  <si>
    <t>2018-4600</t>
  </si>
  <si>
    <t xml:space="preserve">    Federal Special Education - IDEA - Flow-Through</t>
  </si>
  <si>
    <t>2019-4620</t>
  </si>
  <si>
    <t>2018-4620</t>
  </si>
  <si>
    <t xml:space="preserve">  Special Education Cluster (IDEA)</t>
  </si>
  <si>
    <t xml:space="preserve">  Total Special Education Cluster (IDEA)</t>
  </si>
  <si>
    <t>TOTAL U S DEPARTMENT OF EDUCATION</t>
  </si>
  <si>
    <t>U S DEPARTMENT OF HEALTH AND HUMAN SERVICES</t>
  </si>
  <si>
    <t>Passed Through IL Department of Healthcare and Family Services through SASED</t>
  </si>
  <si>
    <t xml:space="preserve">    Medicaid Medical Assistance Program-Administrative Claim</t>
  </si>
  <si>
    <t>2019-4991</t>
  </si>
  <si>
    <t>2018-4991</t>
  </si>
  <si>
    <t>TOTAL U S DEPARTMENT OF HEALTH AND HUMAN SERVICES</t>
  </si>
  <si>
    <t>TOTAL FEDERAL FINANCIAL ASSISTANCE</t>
  </si>
  <si>
    <t>ED-Food Service-Purch Svc</t>
  </si>
  <si>
    <t>10-2560-300</t>
  </si>
  <si>
    <t>Aramark</t>
  </si>
  <si>
    <t>ED-Technology-Purch Svc</t>
  </si>
  <si>
    <t>Comcast</t>
  </si>
  <si>
    <t>10-2200-300</t>
  </si>
  <si>
    <t>ED-Board of Ed-Purch Svc</t>
  </si>
  <si>
    <t>Employers Preferred Ins Co</t>
  </si>
  <si>
    <t>10-2300-300</t>
  </si>
  <si>
    <t>O&amp;M-Oper &amp; Maint-Purch Svc</t>
  </si>
  <si>
    <t>20-2540-300</t>
  </si>
  <si>
    <t>Imperial Service Systems Inc</t>
  </si>
  <si>
    <t>ED-Oper &amp; Maint-Purch Svc</t>
  </si>
  <si>
    <t>10-2540-300</t>
  </si>
  <si>
    <t>Liberty Mutual Insurance</t>
  </si>
  <si>
    <t>Oak Brook Mechanical Services Inc</t>
  </si>
  <si>
    <t>Wayne Ostrowski</t>
  </si>
  <si>
    <t>Single Path</t>
  </si>
  <si>
    <t>ED-Exec Admin-Purch Svc</t>
  </si>
  <si>
    <t>Robert Strande</t>
  </si>
  <si>
    <t>JAMES HENRY, CPA</t>
  </si>
  <si>
    <t>Cass SD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</si>
</sst>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904875</xdr:colOff>
          <xdr:row>5</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5" t="s">
        <v>404</v>
      </c>
      <c r="J1" s="2016"/>
      <c r="K1" s="2016"/>
      <c r="L1" s="2016"/>
      <c r="M1" s="2016"/>
      <c r="N1" s="2016"/>
      <c r="O1" s="2016"/>
      <c r="P1" s="2016"/>
      <c r="Q1" s="2016"/>
      <c r="R1" s="2016"/>
      <c r="S1" s="2016"/>
    </row>
    <row r="2" spans="1:28" ht="12" customHeight="1" x14ac:dyDescent="0.2">
      <c r="A2" s="47" t="s">
        <v>1992</v>
      </c>
      <c r="D2" s="48"/>
      <c r="I2" s="2017" t="s">
        <v>978</v>
      </c>
      <c r="J2" s="2016"/>
      <c r="K2" s="2016"/>
      <c r="L2" s="2016"/>
      <c r="M2" s="2016"/>
      <c r="N2" s="2016"/>
      <c r="O2" s="2016"/>
      <c r="P2" s="2016"/>
      <c r="Q2" s="2016"/>
      <c r="R2" s="2016"/>
      <c r="S2" s="2016"/>
    </row>
    <row r="3" spans="1:28" ht="12" customHeight="1" x14ac:dyDescent="0.2">
      <c r="A3" s="155" t="s">
        <v>1944</v>
      </c>
      <c r="B3" s="156"/>
      <c r="C3" s="156"/>
      <c r="D3" s="157"/>
      <c r="I3" s="2017" t="s">
        <v>52</v>
      </c>
      <c r="J3" s="2016"/>
      <c r="K3" s="2016"/>
      <c r="L3" s="2016"/>
      <c r="M3" s="2016"/>
      <c r="N3" s="2016"/>
      <c r="O3" s="2016"/>
      <c r="P3" s="2016"/>
      <c r="Q3" s="2016"/>
      <c r="R3" s="2016"/>
      <c r="S3" s="2016"/>
    </row>
    <row r="4" spans="1:28" ht="12" customHeight="1" x14ac:dyDescent="0.2">
      <c r="A4" s="37"/>
      <c r="I4" s="2017" t="s">
        <v>523</v>
      </c>
      <c r="J4" s="2016"/>
      <c r="K4" s="2016"/>
      <c r="L4" s="2016"/>
      <c r="M4" s="2016"/>
      <c r="N4" s="2016"/>
      <c r="O4" s="2016"/>
      <c r="P4" s="2016"/>
      <c r="Q4" s="2016"/>
      <c r="R4" s="2016"/>
      <c r="S4" s="2016"/>
    </row>
    <row r="5" spans="1:28" ht="14.1" customHeight="1" x14ac:dyDescent="0.2">
      <c r="B5" s="104" t="s">
        <v>2063</v>
      </c>
      <c r="C5" s="26" t="s">
        <v>909</v>
      </c>
      <c r="D5" s="84"/>
      <c r="E5" s="84"/>
      <c r="H5" s="38"/>
      <c r="I5" s="2024" t="s">
        <v>679</v>
      </c>
      <c r="J5" s="1969"/>
      <c r="K5" s="1969"/>
      <c r="L5" s="1969"/>
      <c r="M5" s="1969"/>
      <c r="N5" s="1969"/>
      <c r="O5" s="1969"/>
      <c r="P5" s="1969"/>
      <c r="Q5" s="1969"/>
      <c r="R5" s="1969"/>
      <c r="S5" s="1969"/>
    </row>
    <row r="6" spans="1:28" ht="14.1" customHeight="1" x14ac:dyDescent="0.2">
      <c r="B6" s="104"/>
      <c r="C6" s="26" t="s">
        <v>910</v>
      </c>
      <c r="D6" s="84"/>
      <c r="E6" s="84"/>
      <c r="I6" s="2023" t="s">
        <v>882</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673</v>
      </c>
      <c r="J9" s="2021"/>
      <c r="K9" s="2021"/>
      <c r="L9" s="2021"/>
      <c r="M9" s="2021"/>
      <c r="N9" s="2021"/>
      <c r="O9" s="2021"/>
      <c r="P9" s="2021"/>
      <c r="Q9" s="2021"/>
      <c r="R9" s="2021"/>
      <c r="S9" s="2022"/>
      <c r="T9" s="1965" t="s">
        <v>532</v>
      </c>
      <c r="U9" s="1966"/>
      <c r="V9" s="1966"/>
      <c r="W9" s="1966"/>
      <c r="X9" s="1966"/>
      <c r="Y9" s="1966"/>
      <c r="Z9" s="1966"/>
      <c r="AA9" s="1967"/>
    </row>
    <row r="10" spans="1:28" ht="13.5" customHeight="1" x14ac:dyDescent="0.2">
      <c r="A10" s="1974" t="s">
        <v>674</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954</v>
      </c>
      <c r="B11" s="1978"/>
      <c r="C11" s="1978"/>
      <c r="D11" s="1978"/>
      <c r="E11" s="1978"/>
      <c r="F11" s="1978"/>
      <c r="G11" s="1978"/>
      <c r="H11" s="1979"/>
      <c r="I11" s="27"/>
      <c r="J11" s="74"/>
      <c r="K11" s="27"/>
      <c r="O11" s="148" t="s">
        <v>2063</v>
      </c>
      <c r="P11" s="100" t="s">
        <v>201</v>
      </c>
      <c r="Q11" s="30"/>
      <c r="R11" s="28"/>
      <c r="S11" s="27"/>
      <c r="T11" s="1971"/>
      <c r="U11" s="1972"/>
      <c r="V11" s="1972"/>
      <c r="W11" s="1972"/>
      <c r="X11" s="1972"/>
      <c r="Y11" s="1972"/>
      <c r="Z11" s="1972"/>
      <c r="AA11" s="1973"/>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85">
        <v>19022063002</v>
      </c>
      <c r="B13" s="1986"/>
      <c r="C13" s="1986"/>
      <c r="D13" s="1986"/>
      <c r="E13" s="1986"/>
      <c r="F13" s="1986"/>
      <c r="G13" s="1986"/>
      <c r="H13" s="1987"/>
      <c r="I13" s="31"/>
      <c r="J13" s="30"/>
      <c r="K13" s="28"/>
      <c r="L13" s="30"/>
      <c r="M13" s="30"/>
      <c r="N13" s="30"/>
      <c r="O13" s="30"/>
      <c r="P13" s="30"/>
      <c r="Q13" s="30"/>
      <c r="R13" s="30"/>
      <c r="S13" s="30"/>
      <c r="T13" s="1990" t="s">
        <v>2072</v>
      </c>
      <c r="U13" s="1991"/>
      <c r="V13" s="1991"/>
      <c r="W13" s="1991"/>
      <c r="X13" s="1991"/>
      <c r="Y13" s="1992"/>
      <c r="Z13" s="1992"/>
      <c r="AA13" s="199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3" t="s">
        <v>2064</v>
      </c>
      <c r="B15" s="1988"/>
      <c r="C15" s="1988"/>
      <c r="D15" s="1988"/>
      <c r="E15" s="1988"/>
      <c r="F15" s="1988"/>
      <c r="G15" s="1988"/>
      <c r="H15" s="1989"/>
      <c r="T15" s="1951" t="s">
        <v>2175</v>
      </c>
      <c r="U15" s="1952"/>
      <c r="V15" s="1952"/>
      <c r="W15" s="1952"/>
      <c r="X15" s="1952"/>
      <c r="Y15" s="1994"/>
      <c r="Z15" s="1994"/>
      <c r="AA15" s="199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3" t="s">
        <v>2176</v>
      </c>
      <c r="B17" s="2013"/>
      <c r="C17" s="2013"/>
      <c r="D17" s="2013"/>
      <c r="E17" s="2013"/>
      <c r="F17" s="2013"/>
      <c r="G17" s="2013"/>
      <c r="H17" s="2014"/>
      <c r="T17" s="2000" t="s">
        <v>2073</v>
      </c>
      <c r="U17" s="2001"/>
      <c r="V17" s="2001"/>
      <c r="W17" s="2001"/>
      <c r="X17" s="2001"/>
      <c r="Y17" s="2001"/>
      <c r="Z17" s="2001"/>
      <c r="AA17" s="2002"/>
    </row>
    <row r="18" spans="1:27" ht="13.5" customHeight="1" x14ac:dyDescent="0.2">
      <c r="A18" s="85" t="s">
        <v>529</v>
      </c>
      <c r="B18" s="76"/>
      <c r="C18" s="72"/>
      <c r="D18" s="76"/>
      <c r="E18" s="76"/>
      <c r="F18" s="76"/>
      <c r="G18" s="76"/>
      <c r="H18" s="56"/>
      <c r="I18" s="2010" t="s">
        <v>675</v>
      </c>
      <c r="J18" s="2011"/>
      <c r="K18" s="2011"/>
      <c r="L18" s="2011"/>
      <c r="M18" s="2011"/>
      <c r="N18" s="2011"/>
      <c r="O18" s="2011"/>
      <c r="P18" s="2011"/>
      <c r="Q18" s="2011"/>
      <c r="R18" s="2011"/>
      <c r="S18" s="2012"/>
      <c r="T18" s="85" t="s">
        <v>710</v>
      </c>
      <c r="U18" s="51"/>
      <c r="V18" s="72"/>
      <c r="W18" s="50"/>
      <c r="X18" s="85" t="s">
        <v>265</v>
      </c>
      <c r="Y18" s="81"/>
      <c r="Z18" s="159" t="s">
        <v>676</v>
      </c>
      <c r="AA18" s="46"/>
    </row>
    <row r="19" spans="1:27" ht="13.5" customHeight="1" x14ac:dyDescent="0.2">
      <c r="A19" s="1983" t="s">
        <v>2065</v>
      </c>
      <c r="B19" s="1984"/>
      <c r="C19" s="1984"/>
      <c r="D19" s="1984"/>
      <c r="E19" s="1984"/>
      <c r="F19" s="1984"/>
      <c r="G19" s="1984"/>
      <c r="H19" s="1982"/>
      <c r="I19" s="30"/>
      <c r="J19" s="99"/>
      <c r="K19" s="40"/>
      <c r="L19" s="38"/>
      <c r="M19" s="112" t="s">
        <v>314</v>
      </c>
      <c r="P19" s="27"/>
      <c r="Q19" s="27"/>
      <c r="R19" s="27"/>
      <c r="S19" s="31"/>
      <c r="T19" s="1983" t="s">
        <v>2074</v>
      </c>
      <c r="U19" s="1981"/>
      <c r="V19" s="1981"/>
      <c r="W19" s="1982"/>
      <c r="X19" s="1998" t="s">
        <v>2075</v>
      </c>
      <c r="Y19" s="1999"/>
      <c r="Z19" s="1996">
        <v>60087</v>
      </c>
      <c r="AA19" s="199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0" t="s">
        <v>2066</v>
      </c>
      <c r="B21" s="1981"/>
      <c r="C21" s="1981"/>
      <c r="D21" s="1981"/>
      <c r="E21" s="1981"/>
      <c r="F21" s="1981"/>
      <c r="G21" s="1981"/>
      <c r="H21" s="1982"/>
      <c r="I21" s="2006" t="s">
        <v>677</v>
      </c>
      <c r="J21" s="1969"/>
      <c r="K21" s="1969"/>
      <c r="L21" s="1969"/>
      <c r="M21" s="1969"/>
      <c r="N21" s="1969"/>
      <c r="O21" s="1969"/>
      <c r="P21" s="1969"/>
      <c r="Q21" s="1969"/>
      <c r="R21" s="1969"/>
      <c r="S21" s="1970"/>
      <c r="T21" s="1948" t="s">
        <v>2077</v>
      </c>
      <c r="U21" s="1949"/>
      <c r="V21" s="1949"/>
      <c r="W21" s="1949"/>
      <c r="X21" s="1962" t="s">
        <v>2076</v>
      </c>
      <c r="Y21" s="1963"/>
      <c r="Z21" s="1963"/>
      <c r="AA21" s="1964"/>
    </row>
    <row r="22" spans="1:27" ht="13.5" customHeight="1" x14ac:dyDescent="0.2">
      <c r="A22" s="87" t="s">
        <v>530</v>
      </c>
      <c r="B22" s="59"/>
      <c r="C22" s="59"/>
      <c r="D22" s="59"/>
      <c r="E22" s="59"/>
      <c r="F22" s="59"/>
      <c r="G22" s="59"/>
      <c r="H22" s="60"/>
      <c r="I22" s="2007" t="s">
        <v>1428</v>
      </c>
      <c r="J22" s="2008"/>
      <c r="K22" s="2008"/>
      <c r="L22" s="2008"/>
      <c r="M22" s="2008"/>
      <c r="N22" s="2008"/>
      <c r="O22" s="2008"/>
      <c r="P22" s="2008"/>
      <c r="Q22" s="2008"/>
      <c r="R22" s="2008"/>
      <c r="S22" s="2009"/>
      <c r="T22" s="85" t="s">
        <v>1515</v>
      </c>
      <c r="U22" s="51"/>
      <c r="V22" s="72"/>
      <c r="W22" s="51"/>
      <c r="X22" s="160" t="s">
        <v>1317</v>
      </c>
      <c r="Z22" s="45"/>
      <c r="AA22" s="46"/>
    </row>
    <row r="23" spans="1:27" ht="13.5" customHeight="1" x14ac:dyDescent="0.2">
      <c r="A23" s="2003" t="s">
        <v>2067</v>
      </c>
      <c r="B23" s="2004"/>
      <c r="C23" s="2004"/>
      <c r="D23" s="2004"/>
      <c r="E23" s="2004"/>
      <c r="F23" s="2004"/>
      <c r="G23" s="2004"/>
      <c r="H23" s="2005"/>
      <c r="T23" s="1943" t="s">
        <v>2078</v>
      </c>
      <c r="U23" s="1944"/>
      <c r="V23" s="1944"/>
      <c r="W23" s="1944"/>
      <c r="X23" s="1959">
        <v>44530</v>
      </c>
      <c r="Y23" s="1960"/>
      <c r="Z23" s="1960"/>
      <c r="AA23" s="1961"/>
    </row>
    <row r="24" spans="1:27" ht="14.1" customHeight="1" x14ac:dyDescent="0.2">
      <c r="A24" s="88" t="s">
        <v>676</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530</v>
      </c>
      <c r="U24" s="106"/>
      <c r="V24" s="106"/>
      <c r="W24" s="106"/>
      <c r="X24" s="107"/>
      <c r="Y24" s="107"/>
      <c r="Z24" s="107"/>
      <c r="AA24" s="108"/>
    </row>
    <row r="25" spans="1:27" ht="14.1" customHeight="1" x14ac:dyDescent="0.2">
      <c r="A25" s="1980">
        <v>60561</v>
      </c>
      <c r="B25" s="1981"/>
      <c r="C25" s="1981"/>
      <c r="D25" s="1981"/>
      <c r="E25" s="1981"/>
      <c r="F25" s="1981"/>
      <c r="G25" s="1981"/>
      <c r="H25" s="1982"/>
      <c r="I25" s="113"/>
      <c r="J25" s="2047"/>
      <c r="K25" s="2047"/>
      <c r="L25" s="2047"/>
      <c r="M25" s="2047"/>
      <c r="N25" s="2047"/>
      <c r="O25" s="2047"/>
      <c r="P25" s="2047"/>
      <c r="Q25" s="2047"/>
      <c r="R25" s="2047"/>
      <c r="S25" s="2048"/>
      <c r="T25" s="1940" t="s">
        <v>2079</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8" t="s">
        <v>1510</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02"/>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3" t="s">
        <v>2068</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530</v>
      </c>
      <c r="B39" s="2037"/>
      <c r="C39" s="72"/>
      <c r="D39" s="69"/>
      <c r="E39" s="69"/>
      <c r="F39" s="79"/>
      <c r="G39" s="69"/>
      <c r="H39" s="56"/>
      <c r="I39" s="2036" t="s">
        <v>530</v>
      </c>
      <c r="J39" s="2037"/>
      <c r="K39" s="2037"/>
      <c r="L39" s="2037"/>
      <c r="M39" s="2037"/>
      <c r="N39" s="67"/>
      <c r="O39" s="72"/>
      <c r="P39" s="72"/>
      <c r="Q39" s="78"/>
      <c r="R39" s="72"/>
      <c r="S39" s="56"/>
      <c r="T39" s="72" t="s">
        <v>530</v>
      </c>
      <c r="U39" s="51"/>
      <c r="V39" s="72"/>
      <c r="W39" s="50"/>
      <c r="X39" s="78"/>
      <c r="Y39" s="45"/>
      <c r="Z39" s="45"/>
      <c r="AA39" s="46"/>
    </row>
    <row r="40" spans="1:27" ht="13.5" customHeight="1" x14ac:dyDescent="0.2">
      <c r="A40" s="2039" t="s">
        <v>2069</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29" t="s">
        <v>2070</v>
      </c>
      <c r="B42" s="2030"/>
      <c r="C42" s="2031"/>
      <c r="D42" s="2044" t="s">
        <v>2071</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5" sqref="E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1801</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1154</v>
      </c>
      <c r="B4" s="1749">
        <f>'Revenues 9-14'!C5</f>
        <v>7540862</v>
      </c>
      <c r="C4" s="1524">
        <v>3979913</v>
      </c>
      <c r="D4" s="1752">
        <f>B4-C4</f>
        <v>3560949</v>
      </c>
      <c r="E4" s="1524">
        <v>7726039</v>
      </c>
      <c r="F4" s="1752">
        <f>E4-C4</f>
        <v>3746126</v>
      </c>
    </row>
    <row r="5" spans="1:6" ht="13.7" customHeight="1" x14ac:dyDescent="0.2">
      <c r="A5" s="715" t="s">
        <v>869</v>
      </c>
      <c r="B5" s="1750">
        <f>'Revenues 9-14'!D5</f>
        <v>914782</v>
      </c>
      <c r="C5" s="585">
        <v>482857</v>
      </c>
      <c r="D5" s="1753">
        <f t="shared" ref="D5:D18" si="0">B5-C5</f>
        <v>431925</v>
      </c>
      <c r="E5" s="585">
        <v>937352</v>
      </c>
      <c r="F5" s="1753">
        <f>E5-C5</f>
        <v>454495</v>
      </c>
    </row>
    <row r="6" spans="1:6" ht="13.7" customHeight="1" x14ac:dyDescent="0.2">
      <c r="A6" s="715" t="s">
        <v>410</v>
      </c>
      <c r="B6" s="1750">
        <f>'Revenues 9-14'!E5</f>
        <v>322980</v>
      </c>
      <c r="C6" s="585">
        <v>170305</v>
      </c>
      <c r="D6" s="1753">
        <f t="shared" si="0"/>
        <v>152675</v>
      </c>
      <c r="E6" s="585">
        <v>330605</v>
      </c>
      <c r="F6" s="1753">
        <f t="shared" ref="F6:F18" si="1">E6-C6</f>
        <v>160300</v>
      </c>
    </row>
    <row r="7" spans="1:6" ht="13.7" customHeight="1" x14ac:dyDescent="0.2">
      <c r="A7" s="715" t="s">
        <v>155</v>
      </c>
      <c r="B7" s="1750">
        <f>'Revenues 9-14'!F5</f>
        <v>159664</v>
      </c>
      <c r="C7" s="585">
        <v>84348</v>
      </c>
      <c r="D7" s="1753">
        <f t="shared" si="0"/>
        <v>75316</v>
      </c>
      <c r="E7" s="585">
        <v>163742</v>
      </c>
      <c r="F7" s="1753">
        <f t="shared" si="1"/>
        <v>79394</v>
      </c>
    </row>
    <row r="8" spans="1:6" ht="13.7" customHeight="1" x14ac:dyDescent="0.2">
      <c r="A8" s="715" t="s">
        <v>1178</v>
      </c>
      <c r="B8" s="1750">
        <f>'Revenues 9-14'!G5</f>
        <v>132295</v>
      </c>
      <c r="C8" s="585">
        <v>69873</v>
      </c>
      <c r="D8" s="1753">
        <f t="shared" si="0"/>
        <v>62422</v>
      </c>
      <c r="E8" s="585">
        <v>135642</v>
      </c>
      <c r="F8" s="1753">
        <f t="shared" si="1"/>
        <v>65769</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0</v>
      </c>
      <c r="C10" s="585"/>
      <c r="D10" s="1753">
        <f t="shared" si="0"/>
        <v>0</v>
      </c>
      <c r="E10" s="585"/>
      <c r="F10" s="1753">
        <f t="shared" si="1"/>
        <v>0</v>
      </c>
    </row>
    <row r="11" spans="1:6" x14ac:dyDescent="0.2">
      <c r="A11" s="715" t="s">
        <v>408</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935</v>
      </c>
      <c r="B13" s="1750">
        <f>SUM('Revenues 9-14'!C6:D6)</f>
        <v>0</v>
      </c>
      <c r="C13" s="585"/>
      <c r="D13" s="1753">
        <f t="shared" si="0"/>
        <v>0</v>
      </c>
      <c r="E13" s="585"/>
      <c r="F13" s="1753">
        <f t="shared" si="1"/>
        <v>0</v>
      </c>
    </row>
    <row r="14" spans="1:6" ht="13.7" customHeight="1" x14ac:dyDescent="0.2">
      <c r="A14" s="715" t="s">
        <v>409</v>
      </c>
      <c r="B14" s="1750">
        <f>SUM('Revenues 9-14'!C7:D7,'Revenues 9-14'!F7:H7)</f>
        <v>74378</v>
      </c>
      <c r="C14" s="585">
        <v>39315</v>
      </c>
      <c r="D14" s="1753">
        <f t="shared" si="0"/>
        <v>35063</v>
      </c>
      <c r="E14" s="585">
        <v>76320</v>
      </c>
      <c r="F14" s="1753">
        <f t="shared" si="1"/>
        <v>37005</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162351</v>
      </c>
      <c r="C16" s="585">
        <v>85778</v>
      </c>
      <c r="D16" s="1753">
        <f t="shared" si="0"/>
        <v>76573</v>
      </c>
      <c r="E16" s="585">
        <v>166517</v>
      </c>
      <c r="F16" s="1753">
        <f t="shared" si="1"/>
        <v>80739</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9307312</v>
      </c>
      <c r="C19" s="1751">
        <f>SUM(C4:C18)</f>
        <v>4912389</v>
      </c>
      <c r="D19" s="1751">
        <f>SUM(D4:D18)</f>
        <v>4394923</v>
      </c>
      <c r="E19" s="1751">
        <f>SUM(E4:E18)</f>
        <v>9536217</v>
      </c>
      <c r="F19" s="1751">
        <f>SUM(F4:F18)</f>
        <v>4623828</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4" colorId="8" zoomScale="110" zoomScaleNormal="110" workbookViewId="0">
      <selection activeCell="J36" sqref="J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628</v>
      </c>
      <c r="B1" s="2189"/>
      <c r="C1" s="721"/>
    </row>
    <row r="2" spans="1:7" ht="33.75" x14ac:dyDescent="0.2">
      <c r="A2" s="2197" t="s">
        <v>1801</v>
      </c>
      <c r="B2" s="2198"/>
      <c r="C2" s="1884" t="s">
        <v>1955</v>
      </c>
      <c r="D2" s="723" t="s">
        <v>1956</v>
      </c>
      <c r="E2" s="723" t="s">
        <v>1957</v>
      </c>
      <c r="F2" s="1884" t="s">
        <v>1958</v>
      </c>
    </row>
    <row r="3" spans="1:7" ht="15.75" customHeight="1" x14ac:dyDescent="0.2">
      <c r="A3" s="2201" t="s">
        <v>1113</v>
      </c>
      <c r="B3" s="2202"/>
      <c r="C3" s="2190"/>
      <c r="D3" s="2191"/>
      <c r="E3" s="2191"/>
      <c r="F3" s="2192"/>
    </row>
    <row r="4" spans="1:7" ht="12.75" customHeight="1" thickBot="1" x14ac:dyDescent="0.25">
      <c r="A4" s="2199" t="s">
        <v>629</v>
      </c>
      <c r="B4" s="2200"/>
      <c r="C4" s="581"/>
      <c r="D4" s="581"/>
      <c r="E4" s="581"/>
      <c r="F4" s="1755">
        <f>SUM(C4+D4)-E4</f>
        <v>0</v>
      </c>
    </row>
    <row r="5" spans="1:7" ht="15.75" customHeight="1" thickTop="1" x14ac:dyDescent="0.2">
      <c r="A5" s="2184" t="s">
        <v>1109</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86" t="s">
        <v>630</v>
      </c>
      <c r="B15" s="2187"/>
      <c r="C15" s="1755">
        <f>SUM(C6:C14)</f>
        <v>0</v>
      </c>
      <c r="D15" s="1755">
        <f>SUM(D6:D14)</f>
        <v>0</v>
      </c>
      <c r="E15" s="1755">
        <f>SUM(E6:E14)</f>
        <v>0</v>
      </c>
      <c r="F15" s="1755">
        <f>SUM(F6:F14)</f>
        <v>0</v>
      </c>
      <c r="G15" s="552"/>
    </row>
    <row r="16" spans="1:7" s="202" customFormat="1" ht="15.75" customHeight="1" thickTop="1" x14ac:dyDescent="0.2">
      <c r="A16" s="2196" t="s">
        <v>1110</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387</v>
      </c>
      <c r="B19" s="2210"/>
      <c r="C19" s="726"/>
      <c r="D19" s="585"/>
      <c r="E19" s="726"/>
      <c r="F19" s="1755">
        <f>SUM(C19+D19)-E19</f>
        <v>0</v>
      </c>
    </row>
    <row r="20" spans="1:11" ht="12.75" customHeight="1" thickTop="1" thickBot="1" x14ac:dyDescent="0.25">
      <c r="A20" s="2209" t="s">
        <v>447</v>
      </c>
      <c r="B20" s="2210"/>
      <c r="C20" s="726"/>
      <c r="D20" s="585"/>
      <c r="E20" s="726"/>
      <c r="F20" s="1755">
        <f>SUM(C20+D20)-E20</f>
        <v>0</v>
      </c>
    </row>
    <row r="21" spans="1:11" ht="14.25" thickTop="1" thickBot="1" x14ac:dyDescent="0.25">
      <c r="A21" s="2186" t="s">
        <v>631</v>
      </c>
      <c r="B21" s="2187"/>
      <c r="C21" s="1755">
        <f>SUM(C17:C20)</f>
        <v>0</v>
      </c>
      <c r="D21" s="1755">
        <f>SUM(D17:D20)</f>
        <v>0</v>
      </c>
      <c r="E21" s="1755">
        <f>SUM(E17:E20)</f>
        <v>0</v>
      </c>
      <c r="F21" s="1755">
        <f>SUM(F17:F20)</f>
        <v>0</v>
      </c>
      <c r="G21" s="552"/>
    </row>
    <row r="22" spans="1:11" ht="15.75" customHeight="1" thickTop="1" x14ac:dyDescent="0.2">
      <c r="A22" s="2211" t="s">
        <v>1111</v>
      </c>
      <c r="B22" s="2185"/>
      <c r="C22" s="2193"/>
      <c r="D22" s="2194"/>
      <c r="E22" s="2194"/>
      <c r="F22" s="2195"/>
    </row>
    <row r="23" spans="1:11" ht="13.5" thickBot="1" x14ac:dyDescent="0.25">
      <c r="A23" s="2199" t="s">
        <v>632</v>
      </c>
      <c r="B23" s="2200"/>
      <c r="C23" s="581"/>
      <c r="D23" s="581"/>
      <c r="E23" s="581"/>
      <c r="F23" s="1755">
        <f>SUM(C23+D23)-E23</f>
        <v>0</v>
      </c>
      <c r="G23" s="552"/>
    </row>
    <row r="24" spans="1:11" ht="15.75" customHeight="1" thickTop="1" x14ac:dyDescent="0.2">
      <c r="A24" s="2211" t="s">
        <v>1112</v>
      </c>
      <c r="B24" s="2185"/>
      <c r="C24" s="2193"/>
      <c r="D24" s="2194"/>
      <c r="E24" s="2194"/>
      <c r="F24" s="2195"/>
    </row>
    <row r="25" spans="1:11" ht="13.5" thickBot="1" x14ac:dyDescent="0.25">
      <c r="A25" s="2199" t="s">
        <v>633</v>
      </c>
      <c r="B25" s="2200"/>
      <c r="C25" s="581"/>
      <c r="D25" s="581"/>
      <c r="E25" s="581"/>
      <c r="F25" s="1755">
        <f>SUM(C25+D25)-E25</f>
        <v>0</v>
      </c>
      <c r="G25" s="552"/>
    </row>
    <row r="26" spans="1:11" ht="15.75" customHeight="1" thickTop="1" x14ac:dyDescent="0.2">
      <c r="A26" s="2184" t="s">
        <v>656</v>
      </c>
      <c r="B26" s="2185"/>
      <c r="C26" s="727"/>
      <c r="D26" s="727"/>
      <c r="E26" s="727"/>
      <c r="F26" s="728"/>
    </row>
    <row r="27" spans="1:11" ht="13.5" thickBot="1" x14ac:dyDescent="0.25">
      <c r="A27" s="2186" t="s">
        <v>1069</v>
      </c>
      <c r="B27" s="2187"/>
      <c r="C27" s="585"/>
      <c r="D27" s="585"/>
      <c r="E27" s="585"/>
      <c r="F27" s="1755">
        <f>SUM(C27+D27)-E27</f>
        <v>0</v>
      </c>
      <c r="G27" s="552"/>
    </row>
    <row r="28" spans="1:11" ht="7.5" customHeight="1" thickTop="1" x14ac:dyDescent="0.2">
      <c r="A28" s="593"/>
    </row>
    <row r="29" spans="1:11" ht="23.25" customHeight="1" x14ac:dyDescent="0.2">
      <c r="A29" s="2212" t="s">
        <v>581</v>
      </c>
      <c r="B29" s="2189"/>
      <c r="C29" s="729"/>
      <c r="D29" s="729"/>
      <c r="E29" s="729"/>
      <c r="F29" s="729"/>
      <c r="G29" s="729"/>
      <c r="H29" s="729"/>
      <c r="I29" s="729"/>
      <c r="J29" s="729"/>
    </row>
    <row r="30" spans="1:11" ht="33.75" x14ac:dyDescent="0.2">
      <c r="A30" s="1529" t="s">
        <v>1070</v>
      </c>
      <c r="B30" s="730" t="s">
        <v>1123</v>
      </c>
      <c r="C30" s="1885" t="s">
        <v>582</v>
      </c>
      <c r="D30" s="1885" t="s">
        <v>1672</v>
      </c>
      <c r="E30" s="1885" t="s">
        <v>1959</v>
      </c>
      <c r="F30" s="1885" t="s">
        <v>1960</v>
      </c>
      <c r="G30" s="1885" t="s">
        <v>1910</v>
      </c>
      <c r="H30" s="1885" t="s">
        <v>1961</v>
      </c>
      <c r="I30" s="1885" t="s">
        <v>1962</v>
      </c>
      <c r="J30" s="1886" t="s">
        <v>2</v>
      </c>
      <c r="K30" s="731"/>
    </row>
    <row r="31" spans="1:11" ht="12" customHeight="1" x14ac:dyDescent="0.2">
      <c r="A31" s="732" t="s">
        <v>2083</v>
      </c>
      <c r="B31" s="733">
        <v>35200</v>
      </c>
      <c r="C31" s="734">
        <v>896701</v>
      </c>
      <c r="D31" s="735">
        <v>1</v>
      </c>
      <c r="E31" s="734"/>
      <c r="F31" s="734"/>
      <c r="G31" s="734"/>
      <c r="H31" s="734"/>
      <c r="I31" s="1756">
        <f>((E31+F31)-H31)+G31</f>
        <v>0</v>
      </c>
      <c r="J31" s="734">
        <v>-42787</v>
      </c>
      <c r="K31" s="736"/>
    </row>
    <row r="32" spans="1:11" ht="12" customHeight="1" x14ac:dyDescent="0.2">
      <c r="A32" s="732" t="s">
        <v>2084</v>
      </c>
      <c r="B32" s="733">
        <v>36982</v>
      </c>
      <c r="C32" s="734">
        <v>1966270</v>
      </c>
      <c r="D32" s="735">
        <v>6</v>
      </c>
      <c r="E32" s="734">
        <v>242312</v>
      </c>
      <c r="F32" s="734"/>
      <c r="G32" s="734"/>
      <c r="H32" s="734">
        <v>83162</v>
      </c>
      <c r="I32" s="1756">
        <f>((E32+F32)-H32)+G32</f>
        <v>159150</v>
      </c>
      <c r="J32" s="734">
        <v>40314</v>
      </c>
      <c r="K32" s="736"/>
    </row>
    <row r="33" spans="1:11" ht="12" customHeight="1" x14ac:dyDescent="0.2">
      <c r="A33" s="732" t="s">
        <v>2085</v>
      </c>
      <c r="B33" s="733">
        <v>35217</v>
      </c>
      <c r="C33" s="734">
        <v>956305</v>
      </c>
      <c r="D33" s="735">
        <v>6</v>
      </c>
      <c r="E33" s="734"/>
      <c r="F33" s="734"/>
      <c r="G33" s="734"/>
      <c r="H33" s="734"/>
      <c r="I33" s="1756">
        <f t="shared" ref="I33:I48" si="1">((E33+F33)-H33)+G33</f>
        <v>0</v>
      </c>
      <c r="J33" s="734"/>
      <c r="K33" s="736"/>
    </row>
    <row r="34" spans="1:11" ht="12" customHeight="1" x14ac:dyDescent="0.2">
      <c r="A34" s="732" t="s">
        <v>2086</v>
      </c>
      <c r="B34" s="733">
        <v>41564</v>
      </c>
      <c r="C34" s="734">
        <v>2270000</v>
      </c>
      <c r="D34" s="735" t="s">
        <v>2094</v>
      </c>
      <c r="E34" s="734">
        <v>2270000</v>
      </c>
      <c r="F34" s="734"/>
      <c r="G34" s="734"/>
      <c r="H34" s="734"/>
      <c r="I34" s="1756">
        <f t="shared" si="1"/>
        <v>2270000</v>
      </c>
      <c r="J34" s="734">
        <v>2270000</v>
      </c>
      <c r="K34" s="737"/>
    </row>
    <row r="35" spans="1:11" ht="12" customHeight="1" x14ac:dyDescent="0.2">
      <c r="A35" s="732" t="s">
        <v>2087</v>
      </c>
      <c r="B35" s="733">
        <v>42705</v>
      </c>
      <c r="C35" s="738">
        <v>1150000</v>
      </c>
      <c r="D35" s="735">
        <v>3</v>
      </c>
      <c r="E35" s="738">
        <v>1150000</v>
      </c>
      <c r="F35" s="738"/>
      <c r="G35" s="738"/>
      <c r="H35" s="738"/>
      <c r="I35" s="1756">
        <f t="shared" si="1"/>
        <v>1150000</v>
      </c>
      <c r="J35" s="738">
        <v>1149890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t="s">
        <v>2088</v>
      </c>
      <c r="B37" s="733">
        <v>38869</v>
      </c>
      <c r="C37" s="467">
        <v>1865000</v>
      </c>
      <c r="D37" s="740">
        <v>3</v>
      </c>
      <c r="E37" s="467"/>
      <c r="F37" s="467"/>
      <c r="G37" s="467"/>
      <c r="H37" s="467"/>
      <c r="I37" s="1756">
        <f t="shared" si="1"/>
        <v>0</v>
      </c>
      <c r="J37" s="467"/>
      <c r="K37" s="737"/>
    </row>
    <row r="38" spans="1:11" ht="12" customHeight="1" x14ac:dyDescent="0.2">
      <c r="A38" s="732" t="s">
        <v>2089</v>
      </c>
      <c r="B38" s="733">
        <v>41564</v>
      </c>
      <c r="C38" s="734">
        <v>755000</v>
      </c>
      <c r="D38" s="741">
        <v>3</v>
      </c>
      <c r="E38" s="742">
        <v>245000</v>
      </c>
      <c r="F38" s="742"/>
      <c r="G38" s="742"/>
      <c r="H38" s="742">
        <v>80000</v>
      </c>
      <c r="I38" s="1756">
        <f t="shared" si="1"/>
        <v>165000</v>
      </c>
      <c r="J38" s="743">
        <v>165000</v>
      </c>
      <c r="K38" s="744"/>
    </row>
    <row r="39" spans="1:11" ht="12" customHeight="1" x14ac:dyDescent="0.2">
      <c r="A39" s="732" t="s">
        <v>2090</v>
      </c>
      <c r="B39" s="733">
        <v>42705</v>
      </c>
      <c r="C39" s="734">
        <v>3130000</v>
      </c>
      <c r="D39" s="741" t="s">
        <v>2095</v>
      </c>
      <c r="E39" s="742">
        <v>2920000</v>
      </c>
      <c r="F39" s="742"/>
      <c r="G39" s="742"/>
      <c r="H39" s="742">
        <v>210000</v>
      </c>
      <c r="I39" s="1756">
        <f t="shared" si="1"/>
        <v>2710000</v>
      </c>
      <c r="J39" s="743">
        <v>2710000</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t="s">
        <v>2091</v>
      </c>
      <c r="B41" s="733" t="s">
        <v>2093</v>
      </c>
      <c r="C41" s="734">
        <v>350014</v>
      </c>
      <c r="D41" s="741">
        <v>7</v>
      </c>
      <c r="E41" s="742">
        <v>133761</v>
      </c>
      <c r="F41" s="742">
        <v>150796</v>
      </c>
      <c r="G41" s="742"/>
      <c r="H41" s="742">
        <v>104083</v>
      </c>
      <c r="I41" s="1756">
        <f t="shared" si="1"/>
        <v>180474</v>
      </c>
      <c r="J41" s="743">
        <v>180474</v>
      </c>
      <c r="K41" s="744"/>
    </row>
    <row r="42" spans="1:11" ht="12" customHeight="1" x14ac:dyDescent="0.2">
      <c r="A42" s="732" t="s">
        <v>2092</v>
      </c>
      <c r="B42" s="733" t="s">
        <v>2093</v>
      </c>
      <c r="C42" s="734">
        <v>127741</v>
      </c>
      <c r="D42" s="741">
        <v>8</v>
      </c>
      <c r="E42" s="742">
        <v>189489</v>
      </c>
      <c r="F42" s="742">
        <v>161958</v>
      </c>
      <c r="G42" s="742"/>
      <c r="H42" s="742">
        <v>93490</v>
      </c>
      <c r="I42" s="1756">
        <f t="shared" si="1"/>
        <v>257957</v>
      </c>
      <c r="J42" s="743">
        <v>257957</v>
      </c>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13467031</v>
      </c>
      <c r="D49" s="745"/>
      <c r="E49" s="1756">
        <f t="shared" ref="E49:J49" si="2">SUM(E31:E48)</f>
        <v>7150562</v>
      </c>
      <c r="F49" s="1756">
        <f t="shared" si="2"/>
        <v>312754</v>
      </c>
      <c r="G49" s="1756">
        <f t="shared" si="2"/>
        <v>0</v>
      </c>
      <c r="H49" s="1756">
        <f t="shared" si="2"/>
        <v>570735</v>
      </c>
      <c r="I49" s="1756">
        <f t="shared" si="2"/>
        <v>6892581</v>
      </c>
      <c r="J49" s="1756">
        <f t="shared" si="2"/>
        <v>6730848</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203" t="s">
        <v>583</v>
      </c>
      <c r="C52" s="2204"/>
      <c r="D52" s="2204"/>
      <c r="E52" s="749" t="s">
        <v>844</v>
      </c>
      <c r="F52" s="2205" t="s">
        <v>2096</v>
      </c>
      <c r="G52" s="2206"/>
      <c r="H52" s="736"/>
      <c r="I52" s="736"/>
      <c r="J52" s="746"/>
    </row>
    <row r="53" spans="1:11" ht="11.25" customHeight="1" x14ac:dyDescent="0.2">
      <c r="A53" s="750" t="s">
        <v>912</v>
      </c>
      <c r="B53" s="751" t="s">
        <v>950</v>
      </c>
      <c r="C53" s="746"/>
      <c r="D53" s="737"/>
      <c r="E53" s="749" t="s">
        <v>496</v>
      </c>
      <c r="F53" s="2207" t="s">
        <v>2097</v>
      </c>
      <c r="G53" s="2208"/>
      <c r="H53" s="736"/>
      <c r="I53" s="736"/>
      <c r="J53" s="746"/>
    </row>
    <row r="54" spans="1:11" ht="11.25" customHeight="1" x14ac:dyDescent="0.2">
      <c r="A54" s="752" t="s">
        <v>913</v>
      </c>
      <c r="B54" s="747" t="s">
        <v>951</v>
      </c>
      <c r="C54" s="746"/>
      <c r="D54" s="737"/>
      <c r="E54" s="749" t="s">
        <v>497</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2" colorId="8" zoomScale="110" zoomScaleNormal="110" workbookViewId="0">
      <selection activeCell="F38" sqref="F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855</v>
      </c>
      <c r="B1" s="2238"/>
      <c r="C1" s="2238"/>
      <c r="D1" s="2238"/>
      <c r="E1" s="2238"/>
      <c r="F1" s="2238"/>
      <c r="G1" s="2239"/>
      <c r="H1" s="1530"/>
      <c r="I1" s="760"/>
      <c r="J1" s="433"/>
    </row>
    <row r="2" spans="1:11" ht="26.25" x14ac:dyDescent="0.2">
      <c r="A2" s="2216" t="s">
        <v>1676</v>
      </c>
      <c r="B2" s="2217"/>
      <c r="C2" s="2217"/>
      <c r="D2" s="2217"/>
      <c r="E2" s="2218"/>
      <c r="F2" s="761" t="s">
        <v>903</v>
      </c>
      <c r="G2" s="762" t="s">
        <v>1673</v>
      </c>
      <c r="H2" s="762" t="s">
        <v>409</v>
      </c>
      <c r="I2" s="762" t="s">
        <v>1157</v>
      </c>
      <c r="J2" s="762" t="s">
        <v>1811</v>
      </c>
      <c r="K2" s="762" t="s">
        <v>138</v>
      </c>
    </row>
    <row r="3" spans="1:11" x14ac:dyDescent="0.2">
      <c r="A3" s="2219" t="s">
        <v>1963</v>
      </c>
      <c r="B3" s="2220"/>
      <c r="C3" s="2220"/>
      <c r="D3" s="2220"/>
      <c r="E3" s="2221"/>
      <c r="F3" s="763"/>
      <c r="G3" s="764"/>
      <c r="H3" s="764">
        <v>0</v>
      </c>
      <c r="I3" s="764"/>
      <c r="J3" s="765"/>
      <c r="K3" s="765"/>
    </row>
    <row r="4" spans="1:11" x14ac:dyDescent="0.2">
      <c r="A4" s="2222" t="s">
        <v>368</v>
      </c>
      <c r="B4" s="2223"/>
      <c r="C4" s="2223"/>
      <c r="D4" s="2223"/>
      <c r="E4" s="2204"/>
      <c r="F4" s="766"/>
      <c r="G4" s="767"/>
      <c r="H4" s="768"/>
      <c r="I4" s="767"/>
      <c r="J4" s="769"/>
      <c r="K4" s="769"/>
    </row>
    <row r="5" spans="1:11" x14ac:dyDescent="0.2">
      <c r="A5" s="2240" t="s">
        <v>1068</v>
      </c>
      <c r="B5" s="2213"/>
      <c r="C5" s="2213"/>
      <c r="D5" s="2213"/>
      <c r="E5" s="2241"/>
      <c r="F5" s="770" t="s">
        <v>847</v>
      </c>
      <c r="G5" s="771"/>
      <c r="H5" s="764">
        <v>74378</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40" t="s">
        <v>1812</v>
      </c>
      <c r="B10" s="2213"/>
      <c r="C10" s="2213"/>
      <c r="D10" s="2213"/>
      <c r="E10" s="2242"/>
      <c r="F10" s="783" t="s">
        <v>861</v>
      </c>
      <c r="G10" s="782"/>
      <c r="H10" s="784"/>
      <c r="I10" s="764"/>
      <c r="J10" s="765"/>
      <c r="K10" s="765"/>
    </row>
    <row r="11" spans="1:11" x14ac:dyDescent="0.2">
      <c r="A11" s="2240" t="s">
        <v>160</v>
      </c>
      <c r="B11" s="2213"/>
      <c r="C11" s="2213"/>
      <c r="D11" s="2213"/>
      <c r="E11" s="2241"/>
      <c r="F11" s="770" t="s">
        <v>851</v>
      </c>
      <c r="G11" s="771"/>
      <c r="H11" s="764"/>
      <c r="I11" s="764"/>
      <c r="J11" s="765"/>
      <c r="K11" s="773"/>
    </row>
    <row r="12" spans="1:11" ht="13.5" thickBot="1" x14ac:dyDescent="0.25">
      <c r="A12" s="2230" t="s">
        <v>904</v>
      </c>
      <c r="B12" s="2231"/>
      <c r="C12" s="2231"/>
      <c r="D12" s="2231"/>
      <c r="E12" s="2232"/>
      <c r="F12" s="1757"/>
      <c r="G12" s="1758">
        <f>SUM(G5:G11)</f>
        <v>0</v>
      </c>
      <c r="H12" s="1758">
        <f>SUM(H5:H11)</f>
        <v>74378</v>
      </c>
      <c r="I12" s="1758">
        <f>SUM(I5:I11)</f>
        <v>0</v>
      </c>
      <c r="J12" s="1758">
        <f>SUM(J5:J11)</f>
        <v>0</v>
      </c>
      <c r="K12" s="1758">
        <f>SUM(K5:K11)</f>
        <v>0</v>
      </c>
    </row>
    <row r="13" spans="1:11" ht="13.5" thickTop="1" x14ac:dyDescent="0.2">
      <c r="A13" s="2224" t="s">
        <v>369</v>
      </c>
      <c r="B13" s="2225"/>
      <c r="C13" s="2225"/>
      <c r="D13" s="2225"/>
      <c r="E13" s="2226"/>
      <c r="F13" s="785"/>
      <c r="G13" s="786"/>
      <c r="H13" s="787"/>
      <c r="I13" s="788"/>
      <c r="J13" s="788"/>
      <c r="K13" s="788"/>
    </row>
    <row r="14" spans="1:11" x14ac:dyDescent="0.2">
      <c r="A14" s="2246" t="s">
        <v>455</v>
      </c>
      <c r="B14" s="2246"/>
      <c r="C14" s="2246"/>
      <c r="D14" s="2246"/>
      <c r="E14" s="2247"/>
      <c r="F14" s="789" t="s">
        <v>853</v>
      </c>
      <c r="G14" s="782"/>
      <c r="H14" s="764">
        <v>74378</v>
      </c>
      <c r="I14" s="771"/>
      <c r="J14" s="773"/>
      <c r="K14" s="765"/>
    </row>
    <row r="15" spans="1:11" x14ac:dyDescent="0.2">
      <c r="A15" s="2213" t="s">
        <v>4</v>
      </c>
      <c r="B15" s="2213"/>
      <c r="C15" s="2213"/>
      <c r="D15" s="2213"/>
      <c r="E15" s="2241"/>
      <c r="F15" s="789" t="s">
        <v>854</v>
      </c>
      <c r="G15" s="771"/>
      <c r="H15" s="764"/>
      <c r="I15" s="764"/>
      <c r="J15" s="765"/>
      <c r="K15" s="765"/>
    </row>
    <row r="16" spans="1:11" x14ac:dyDescent="0.2">
      <c r="A16" s="2213" t="s">
        <v>297</v>
      </c>
      <c r="B16" s="2213"/>
      <c r="C16" s="2213"/>
      <c r="D16" s="2213"/>
      <c r="E16" s="2241"/>
      <c r="F16" s="789" t="s">
        <v>922</v>
      </c>
      <c r="G16" s="772"/>
      <c r="H16" s="767"/>
      <c r="I16" s="767"/>
      <c r="J16" s="769"/>
      <c r="K16" s="769"/>
    </row>
    <row r="17" spans="1:11" x14ac:dyDescent="0.2">
      <c r="A17" s="2235" t="s">
        <v>934</v>
      </c>
      <c r="B17" s="2235"/>
      <c r="C17" s="2235"/>
      <c r="D17" s="2235"/>
      <c r="E17" s="2236"/>
      <c r="F17" s="790"/>
      <c r="G17" s="791"/>
      <c r="H17" s="792"/>
      <c r="I17" s="792"/>
      <c r="J17" s="793"/>
      <c r="K17" s="794"/>
    </row>
    <row r="18" spans="1:11" x14ac:dyDescent="0.2">
      <c r="A18" s="2227" t="s">
        <v>367</v>
      </c>
      <c r="B18" s="2228"/>
      <c r="C18" s="2228"/>
      <c r="D18" s="2228"/>
      <c r="E18" s="2229"/>
      <c r="F18" s="789" t="s">
        <v>931</v>
      </c>
      <c r="G18" s="782"/>
      <c r="H18" s="782"/>
      <c r="I18" s="782"/>
      <c r="J18" s="765"/>
      <c r="K18" s="795"/>
    </row>
    <row r="19" spans="1:11" ht="21.75" customHeight="1" x14ac:dyDescent="0.2">
      <c r="A19" s="2248" t="s">
        <v>1808</v>
      </c>
      <c r="B19" s="2248"/>
      <c r="C19" s="2248"/>
      <c r="D19" s="2248"/>
      <c r="E19" s="2249"/>
      <c r="F19" s="789" t="s">
        <v>932</v>
      </c>
      <c r="G19" s="782"/>
      <c r="H19" s="782"/>
      <c r="I19" s="782"/>
      <c r="J19" s="765"/>
      <c r="K19" s="795"/>
    </row>
    <row r="20" spans="1:11" x14ac:dyDescent="0.2">
      <c r="A20" s="2227" t="s">
        <v>1813</v>
      </c>
      <c r="B20" s="2228"/>
      <c r="C20" s="2228"/>
      <c r="D20" s="2228"/>
      <c r="E20" s="2229"/>
      <c r="F20" s="789" t="s">
        <v>933</v>
      </c>
      <c r="G20" s="782"/>
      <c r="H20" s="782"/>
      <c r="I20" s="782"/>
      <c r="J20" s="765"/>
      <c r="K20" s="795"/>
    </row>
    <row r="21" spans="1:11" ht="13.5" thickBot="1" x14ac:dyDescent="0.25">
      <c r="A21" s="2233" t="s">
        <v>637</v>
      </c>
      <c r="B21" s="2233"/>
      <c r="C21" s="2233"/>
      <c r="D21" s="2233"/>
      <c r="E21" s="2233"/>
      <c r="F21" s="1759"/>
      <c r="G21" s="792"/>
      <c r="H21" s="796"/>
      <c r="I21" s="796"/>
      <c r="J21" s="1760">
        <f>SUM(J18:J20)</f>
        <v>0</v>
      </c>
      <c r="K21" s="793"/>
    </row>
    <row r="22" spans="1:11" ht="13.5" thickTop="1" x14ac:dyDescent="0.2">
      <c r="A22" s="2213" t="s">
        <v>1814</v>
      </c>
      <c r="B22" s="2213"/>
      <c r="C22" s="2213"/>
      <c r="D22" s="2213"/>
      <c r="E22" s="2241"/>
      <c r="F22" s="789" t="s">
        <v>861</v>
      </c>
      <c r="G22" s="782"/>
      <c r="H22" s="764"/>
      <c r="I22" s="764"/>
      <c r="J22" s="797"/>
      <c r="K22" s="765"/>
    </row>
    <row r="23" spans="1:11" ht="13.5" thickBot="1" x14ac:dyDescent="0.25">
      <c r="A23" s="2234" t="s">
        <v>905</v>
      </c>
      <c r="B23" s="2233"/>
      <c r="C23" s="2233"/>
      <c r="D23" s="2233"/>
      <c r="E23" s="2233"/>
      <c r="F23" s="1761"/>
      <c r="G23" s="1758">
        <f>SUM(G14:G16,G21,G22)</f>
        <v>0</v>
      </c>
      <c r="H23" s="1758">
        <f>SUM(H14:H16,H21,H22)</f>
        <v>74378</v>
      </c>
      <c r="I23" s="1758">
        <f>SUM(I14:I16,I21,I22)</f>
        <v>0</v>
      </c>
      <c r="J23" s="1758">
        <f>SUM(J14:J16,J21,J22)</f>
        <v>0</v>
      </c>
      <c r="K23" s="1758">
        <f>SUM(K14:K16,K21,K22)</f>
        <v>0</v>
      </c>
    </row>
    <row r="24" spans="1:11" ht="14.25" thickTop="1" thickBot="1" x14ac:dyDescent="0.25">
      <c r="A24" s="2234" t="s">
        <v>1964</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2063</v>
      </c>
      <c r="E30" s="808" t="s">
        <v>767</v>
      </c>
      <c r="F30" s="202"/>
      <c r="G30" s="805"/>
    </row>
    <row r="31" spans="1:11" x14ac:dyDescent="0.2">
      <c r="A31" s="809"/>
      <c r="D31" s="237"/>
      <c r="E31" s="810" t="s">
        <v>768</v>
      </c>
      <c r="F31" s="811" t="s">
        <v>538</v>
      </c>
      <c r="G31" s="764"/>
      <c r="H31" s="2243"/>
      <c r="I31" s="2244"/>
      <c r="J31" s="2244"/>
      <c r="K31" s="2244"/>
    </row>
    <row r="32" spans="1:11" x14ac:dyDescent="0.2">
      <c r="A32" s="809"/>
      <c r="B32" s="237"/>
      <c r="C32" s="237"/>
      <c r="D32" s="237"/>
      <c r="E32" s="805"/>
      <c r="F32" s="811" t="s">
        <v>539</v>
      </c>
      <c r="G32" s="764"/>
      <c r="H32" s="2245"/>
      <c r="I32" s="2244"/>
      <c r="J32" s="2244"/>
      <c r="K32" s="2244"/>
    </row>
    <row r="33" spans="1:11" ht="1.5" customHeight="1" x14ac:dyDescent="0.2">
      <c r="A33" s="812" t="s">
        <v>1168</v>
      </c>
      <c r="B33" s="364"/>
      <c r="C33" s="364"/>
      <c r="D33" s="364"/>
      <c r="E33" s="364"/>
      <c r="F33" s="364"/>
      <c r="G33" s="813"/>
      <c r="H33" s="2245"/>
      <c r="I33" s="2244"/>
      <c r="J33" s="2244"/>
      <c r="K33" s="2244"/>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v>28054</v>
      </c>
    </row>
    <row r="37" spans="1:11" x14ac:dyDescent="0.2">
      <c r="A37" s="820" t="s">
        <v>895</v>
      </c>
      <c r="B37" s="818"/>
      <c r="C37" s="818"/>
      <c r="D37" s="818"/>
      <c r="E37" s="818"/>
      <c r="F37" s="819"/>
      <c r="G37" s="765">
        <v>1977</v>
      </c>
    </row>
    <row r="38" spans="1:11" x14ac:dyDescent="0.2">
      <c r="A38" s="820" t="s">
        <v>992</v>
      </c>
      <c r="B38" s="818"/>
      <c r="C38" s="818"/>
      <c r="D38" s="818"/>
      <c r="E38" s="818"/>
      <c r="F38" s="819"/>
      <c r="G38" s="765">
        <v>67210</v>
      </c>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3" t="s">
        <v>540</v>
      </c>
      <c r="B41" s="2214"/>
      <c r="C41" s="2214"/>
      <c r="D41" s="2214"/>
      <c r="E41" s="2214"/>
      <c r="F41" s="2215"/>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49573</v>
      </c>
      <c r="D5" s="841"/>
      <c r="E5" s="841"/>
      <c r="F5" s="1760">
        <f>(C5+D5)-E5</f>
        <v>49573</v>
      </c>
      <c r="G5" s="837"/>
      <c r="H5" s="842"/>
      <c r="I5" s="842"/>
      <c r="J5" s="842"/>
      <c r="K5" s="793"/>
      <c r="L5" s="1769">
        <f>F5-K5</f>
        <v>49573</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12318659</v>
      </c>
      <c r="D8" s="844">
        <v>2066492</v>
      </c>
      <c r="E8" s="844"/>
      <c r="F8" s="1760">
        <f>(C8+D8)-E8</f>
        <v>14385151</v>
      </c>
      <c r="G8" s="843">
        <v>50</v>
      </c>
      <c r="H8" s="765">
        <v>8135767</v>
      </c>
      <c r="I8" s="765">
        <v>421548</v>
      </c>
      <c r="J8" s="765"/>
      <c r="K8" s="1769">
        <f>(H8+I8)-J8</f>
        <v>8557315</v>
      </c>
      <c r="L8" s="1769">
        <f>F8-K8</f>
        <v>5827836</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564901</v>
      </c>
      <c r="D10" s="846">
        <v>88348</v>
      </c>
      <c r="E10" s="846"/>
      <c r="F10" s="1764">
        <f>(C10+D10)-E10</f>
        <v>653249</v>
      </c>
      <c r="G10" s="843">
        <v>20</v>
      </c>
      <c r="H10" s="847">
        <v>442084</v>
      </c>
      <c r="I10" s="847">
        <v>14201</v>
      </c>
      <c r="J10" s="847"/>
      <c r="K10" s="1769">
        <f>(H10+I10)-J10</f>
        <v>456285</v>
      </c>
      <c r="L10" s="1769">
        <f>F10-K10</f>
        <v>196964</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5122831</v>
      </c>
      <c r="D12" s="844">
        <v>189661</v>
      </c>
      <c r="E12" s="844"/>
      <c r="F12" s="1760">
        <f>(C12+D12)-E12</f>
        <v>5312492</v>
      </c>
      <c r="G12" s="843">
        <v>10</v>
      </c>
      <c r="H12" s="765">
        <v>4436799</v>
      </c>
      <c r="I12" s="765">
        <v>249639</v>
      </c>
      <c r="J12" s="765"/>
      <c r="K12" s="1769">
        <f>(H12+I12)-J12</f>
        <v>4686438</v>
      </c>
      <c r="L12" s="1769">
        <f>F12-K12</f>
        <v>626054</v>
      </c>
    </row>
    <row r="13" spans="1:14" ht="14.25" thickTop="1" thickBot="1" x14ac:dyDescent="0.25">
      <c r="A13" s="848" t="s">
        <v>1121</v>
      </c>
      <c r="B13" s="840">
        <v>252</v>
      </c>
      <c r="C13" s="844">
        <v>743892</v>
      </c>
      <c r="D13" s="844">
        <v>161958</v>
      </c>
      <c r="E13" s="844"/>
      <c r="F13" s="1760">
        <f>(C13+D13)-E13</f>
        <v>905850</v>
      </c>
      <c r="G13" s="843">
        <v>5</v>
      </c>
      <c r="H13" s="765">
        <v>506030</v>
      </c>
      <c r="I13" s="765">
        <v>87899</v>
      </c>
      <c r="J13" s="765"/>
      <c r="K13" s="1769">
        <f>(H13+I13)-J13</f>
        <v>593929</v>
      </c>
      <c r="L13" s="1769">
        <f>F13-K13</f>
        <v>311921</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1126273</v>
      </c>
      <c r="D15" s="844">
        <v>752001</v>
      </c>
      <c r="E15" s="844">
        <v>1878274</v>
      </c>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19926129</v>
      </c>
      <c r="D16" s="1760">
        <f>SUM(D3,D5:D6,D8:D10,D12:D15)</f>
        <v>3258460</v>
      </c>
      <c r="E16" s="1760">
        <f>SUM(E3,E5:E6,E8:E10,E12:E15)</f>
        <v>1878274</v>
      </c>
      <c r="F16" s="1760">
        <f>SUM(F3,F5:F6,F8:F10,F12:F15)</f>
        <v>21306315</v>
      </c>
      <c r="G16" s="843"/>
      <c r="H16" s="1760">
        <f>SUM(H3,H6,H8:H10,H12:H14,)</f>
        <v>13520680</v>
      </c>
      <c r="I16" s="1760">
        <f>SUM(I3,I6,I8:I10,I12:I14,)</f>
        <v>773287</v>
      </c>
      <c r="J16" s="1760">
        <f>SUM(J3,J6,J8:J10,J12:J14,)</f>
        <v>0</v>
      </c>
      <c r="K16" s="1760">
        <f>(H16+I16)-J16</f>
        <v>14293967</v>
      </c>
      <c r="L16" s="1760">
        <f>F16-K16</f>
        <v>7012348</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773287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57" activePane="bottomLeft" state="frozen"/>
      <selection activeCell="A47" sqref="A47"/>
      <selection pane="bottomLeft" activeCell="H172" sqref="H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476</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4"/>
      <c r="B5" s="2265"/>
      <c r="C5" s="2265"/>
      <c r="D5" s="2265"/>
      <c r="E5" s="2265"/>
      <c r="F5" s="2265"/>
    </row>
    <row r="6" spans="1:7" ht="13.5" customHeight="1" thickBot="1" x14ac:dyDescent="0.25">
      <c r="A6" s="2255" t="s">
        <v>1103</v>
      </c>
      <c r="B6" s="2256"/>
      <c r="C6" s="2256"/>
      <c r="D6" s="2256"/>
      <c r="E6" s="2256"/>
      <c r="F6" s="2257"/>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9007274</v>
      </c>
      <c r="G8" s="865"/>
    </row>
    <row r="9" spans="1:7" x14ac:dyDescent="0.2">
      <c r="A9" s="869" t="s">
        <v>459</v>
      </c>
      <c r="B9" s="870" t="s">
        <v>1876</v>
      </c>
      <c r="C9" s="871"/>
      <c r="D9" s="869" t="s">
        <v>500</v>
      </c>
      <c r="E9" s="868"/>
      <c r="F9" s="1909">
        <f>'Expenditures 15-22'!K151</f>
        <v>1317746</v>
      </c>
      <c r="G9" s="872"/>
    </row>
    <row r="10" spans="1:7" x14ac:dyDescent="0.2">
      <c r="A10" s="869" t="s">
        <v>498</v>
      </c>
      <c r="B10" s="870" t="s">
        <v>1877</v>
      </c>
      <c r="C10" s="871"/>
      <c r="D10" s="869" t="s">
        <v>500</v>
      </c>
      <c r="E10" s="868"/>
      <c r="F10" s="1909">
        <f>'Expenditures 15-22'!K174</f>
        <v>730272</v>
      </c>
      <c r="G10" s="872"/>
    </row>
    <row r="11" spans="1:7" x14ac:dyDescent="0.2">
      <c r="A11" s="869" t="s">
        <v>460</v>
      </c>
      <c r="B11" s="870" t="s">
        <v>1878</v>
      </c>
      <c r="C11" s="871"/>
      <c r="D11" s="869" t="s">
        <v>500</v>
      </c>
      <c r="E11" s="868"/>
      <c r="F11" s="1909">
        <f>'Expenditures 15-22'!K210</f>
        <v>598033</v>
      </c>
      <c r="G11" s="872"/>
    </row>
    <row r="12" spans="1:7" x14ac:dyDescent="0.2">
      <c r="A12" s="869" t="s">
        <v>461</v>
      </c>
      <c r="B12" s="870" t="s">
        <v>1879</v>
      </c>
      <c r="C12" s="871"/>
      <c r="D12" s="869" t="s">
        <v>500</v>
      </c>
      <c r="E12" s="868"/>
      <c r="F12" s="1909">
        <f>'Expenditures 15-22'!K295</f>
        <v>307662</v>
      </c>
      <c r="G12" s="872"/>
    </row>
    <row r="13" spans="1:7" x14ac:dyDescent="0.2">
      <c r="A13" s="869" t="s">
        <v>106</v>
      </c>
      <c r="B13" s="870" t="s">
        <v>1880</v>
      </c>
      <c r="C13" s="871"/>
      <c r="D13" s="869" t="s">
        <v>500</v>
      </c>
      <c r="E13" s="868"/>
      <c r="F13" s="1909">
        <f>'Expenditures 15-22'!K342</f>
        <v>0</v>
      </c>
      <c r="G13" s="873"/>
    </row>
    <row r="14" spans="1:7" ht="12" customHeight="1" thickBot="1" x14ac:dyDescent="0.25">
      <c r="A14" s="1770"/>
      <c r="B14" s="1771"/>
      <c r="C14" s="1772"/>
      <c r="D14" s="1773" t="s">
        <v>500</v>
      </c>
      <c r="E14" s="1774" t="s">
        <v>957</v>
      </c>
      <c r="F14" s="1775">
        <f>SUM(F8:F13)</f>
        <v>11960987</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1055</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4">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2001</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53743</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66195</v>
      </c>
      <c r="G52" s="865"/>
    </row>
    <row r="53" spans="1:7" x14ac:dyDescent="0.2">
      <c r="A53" s="869" t="s">
        <v>458</v>
      </c>
      <c r="B53" s="869" t="s">
        <v>1474</v>
      </c>
      <c r="C53" s="889">
        <f>'Expenditures 15-22'!B102</f>
        <v>4000</v>
      </c>
      <c r="D53" s="888" t="str">
        <f>'Expenditures 15-22'!A102</f>
        <v>Total Payments to Other Govt Units</v>
      </c>
      <c r="E53" s="868"/>
      <c r="F53" s="1913">
        <f>'Expenditures 15-22'!K102</f>
        <v>970594</v>
      </c>
      <c r="G53" s="865"/>
    </row>
    <row r="54" spans="1:7" x14ac:dyDescent="0.2">
      <c r="A54" s="869" t="s">
        <v>458</v>
      </c>
      <c r="B54" s="869" t="s">
        <v>1475</v>
      </c>
      <c r="C54" s="889" t="s">
        <v>981</v>
      </c>
      <c r="D54" s="885" t="s">
        <v>1094</v>
      </c>
      <c r="E54" s="868"/>
      <c r="F54" s="1913">
        <f>'Expenditures 15-22'!G114</f>
        <v>189661</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3">
        <f>'Expenditures 15-22'!K139</f>
        <v>0</v>
      </c>
      <c r="G57" s="865"/>
    </row>
    <row r="58" spans="1:7" x14ac:dyDescent="0.2">
      <c r="A58" s="869" t="s">
        <v>459</v>
      </c>
      <c r="B58" s="869" t="s">
        <v>1882</v>
      </c>
      <c r="C58" s="886" t="s">
        <v>981</v>
      </c>
      <c r="D58" s="885" t="s">
        <v>1094</v>
      </c>
      <c r="E58" s="868"/>
      <c r="F58" s="1915">
        <f>'Expenditures 15-22'!G151</f>
        <v>381708</v>
      </c>
      <c r="G58" s="865"/>
    </row>
    <row r="59" spans="1:7" x14ac:dyDescent="0.2">
      <c r="A59" s="893" t="s">
        <v>459</v>
      </c>
      <c r="B59" s="856" t="s">
        <v>1883</v>
      </c>
      <c r="C59" s="894" t="s">
        <v>981</v>
      </c>
      <c r="D59" s="856" t="s">
        <v>290</v>
      </c>
      <c r="F59" s="1916">
        <f>'Expenditures 15-22'!I151</f>
        <v>0</v>
      </c>
      <c r="G59" s="865"/>
    </row>
    <row r="60" spans="1:7" x14ac:dyDescent="0.2">
      <c r="A60" s="893" t="s">
        <v>498</v>
      </c>
      <c r="B60" s="856" t="s">
        <v>1884</v>
      </c>
      <c r="C60" s="894">
        <v>4000</v>
      </c>
      <c r="D60" s="856" t="s">
        <v>311</v>
      </c>
      <c r="F60" s="1914">
        <f>'Expenditures 15-22'!K160</f>
        <v>0</v>
      </c>
      <c r="G60" s="865"/>
    </row>
    <row r="61" spans="1:7" x14ac:dyDescent="0.2">
      <c r="A61" s="895" t="s">
        <v>498</v>
      </c>
      <c r="B61" s="895" t="s">
        <v>1885</v>
      </c>
      <c r="C61" s="896" t="str">
        <f>'Expenditures 15-22'!B170</f>
        <v>5300</v>
      </c>
      <c r="D61" s="897" t="s">
        <v>310</v>
      </c>
      <c r="E61" s="879"/>
      <c r="F61" s="1913">
        <f>'Expenditures 15-22'!K170</f>
        <v>477245</v>
      </c>
      <c r="G61" s="865"/>
    </row>
    <row r="62" spans="1:7" x14ac:dyDescent="0.2">
      <c r="A62" s="869" t="s">
        <v>460</v>
      </c>
      <c r="B62" s="869" t="s">
        <v>1886</v>
      </c>
      <c r="C62" s="886">
        <f>'Expenditures 15-22'!B185</f>
        <v>3000</v>
      </c>
      <c r="D62" s="876" t="s">
        <v>448</v>
      </c>
      <c r="E62" s="868"/>
      <c r="F62" s="1913">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1888</v>
      </c>
      <c r="C64" s="896" t="str">
        <f>'Expenditures 15-22'!B206</f>
        <v>5300</v>
      </c>
      <c r="D64" s="892" t="s">
        <v>310</v>
      </c>
      <c r="E64" s="868"/>
      <c r="F64" s="1913">
        <f>'Expenditures 15-22'!K206</f>
        <v>93490</v>
      </c>
      <c r="G64" s="865"/>
    </row>
    <row r="65" spans="1:8" x14ac:dyDescent="0.2">
      <c r="A65" s="869" t="s">
        <v>460</v>
      </c>
      <c r="B65" s="869" t="s">
        <v>1889</v>
      </c>
      <c r="C65" s="886" t="s">
        <v>981</v>
      </c>
      <c r="D65" s="885" t="s">
        <v>1094</v>
      </c>
      <c r="E65" s="868"/>
      <c r="F65" s="1913">
        <f>'Expenditures 15-22'!G210</f>
        <v>161958</v>
      </c>
      <c r="G65" s="865"/>
    </row>
    <row r="66" spans="1:8" x14ac:dyDescent="0.2">
      <c r="A66" s="869" t="s">
        <v>460</v>
      </c>
      <c r="B66" s="869" t="s">
        <v>1890</v>
      </c>
      <c r="C66" s="886" t="s">
        <v>981</v>
      </c>
      <c r="D66" s="885" t="s">
        <v>290</v>
      </c>
      <c r="E66" s="868"/>
      <c r="F66" s="1913">
        <f>'Expenditures 15-22'!I210</f>
        <v>0</v>
      </c>
      <c r="G66" s="865"/>
    </row>
    <row r="67" spans="1:8" x14ac:dyDescent="0.2">
      <c r="A67" s="869" t="s">
        <v>461</v>
      </c>
      <c r="B67" s="869" t="s">
        <v>1891</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1893</v>
      </c>
      <c r="C70" s="886">
        <f>'Expenditures 15-22'!B221</f>
        <v>1300</v>
      </c>
      <c r="D70" s="887" t="str">
        <f>'Expenditures 15-22'!A221</f>
        <v>Adult/Continuing Education Programs</v>
      </c>
      <c r="E70" s="868"/>
      <c r="F70" s="1913">
        <f>'Expenditures 15-22'!K221</f>
        <v>0</v>
      </c>
      <c r="G70" s="865"/>
    </row>
    <row r="71" spans="1:8" x14ac:dyDescent="0.2">
      <c r="A71" s="869" t="s">
        <v>461</v>
      </c>
      <c r="B71" s="869" t="s">
        <v>1894</v>
      </c>
      <c r="C71" s="886">
        <f>'Expenditures 15-22'!B224</f>
        <v>1600</v>
      </c>
      <c r="D71" s="887" t="str">
        <f>'Expenditures 15-22'!A224</f>
        <v>Summer School Programs</v>
      </c>
      <c r="E71" s="868"/>
      <c r="F71" s="1913">
        <f>'Expenditures 15-22'!K224</f>
        <v>0</v>
      </c>
      <c r="G71" s="865"/>
    </row>
    <row r="72" spans="1:8" x14ac:dyDescent="0.2">
      <c r="A72" s="869" t="s">
        <v>461</v>
      </c>
      <c r="B72" s="869" t="s">
        <v>1895</v>
      </c>
      <c r="C72" s="886">
        <f>'Expenditures 15-22'!B280</f>
        <v>3000</v>
      </c>
      <c r="D72" s="876" t="s">
        <v>448</v>
      </c>
      <c r="E72" s="868"/>
      <c r="F72" s="1913">
        <f>'Expenditures 15-22'!K280</f>
        <v>8083</v>
      </c>
      <c r="G72" s="865"/>
    </row>
    <row r="73" spans="1:8" x14ac:dyDescent="0.2">
      <c r="A73" s="869" t="s">
        <v>461</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1897</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957</v>
      </c>
      <c r="F76" s="1778">
        <f>SUM(F18:F74)</f>
        <v>2403732</v>
      </c>
      <c r="G76" s="865"/>
    </row>
    <row r="77" spans="1:8" s="893" customFormat="1" ht="12" customHeight="1" thickTop="1" thickBot="1" x14ac:dyDescent="0.25">
      <c r="A77" s="1779"/>
      <c r="B77" s="1776"/>
      <c r="C77" s="1772"/>
      <c r="D77" s="1777" t="s">
        <v>1899</v>
      </c>
      <c r="E77" s="1774"/>
      <c r="F77" s="1780">
        <f>(F14-F76)</f>
        <v>9557255</v>
      </c>
      <c r="G77" s="869"/>
    </row>
    <row r="78" spans="1:8" s="893" customFormat="1" ht="12" customHeight="1" thickTop="1" x14ac:dyDescent="0.2">
      <c r="A78" s="1781"/>
      <c r="B78" s="1776"/>
      <c r="C78" s="1772"/>
      <c r="D78" s="1777" t="s">
        <v>2061</v>
      </c>
      <c r="E78" s="1774"/>
      <c r="F78" s="898">
        <v>680.6</v>
      </c>
      <c r="G78" s="899"/>
      <c r="H78" s="869"/>
    </row>
    <row r="79" spans="1:8" s="893" customFormat="1" ht="12" customHeight="1" thickBot="1" x14ac:dyDescent="0.25">
      <c r="A79" s="1782"/>
      <c r="B79" s="1776"/>
      <c r="C79" s="1772"/>
      <c r="D79" s="1777" t="s">
        <v>1900</v>
      </c>
      <c r="E79" s="1774" t="s">
        <v>957</v>
      </c>
      <c r="F79" s="1783">
        <f>IF(F78&gt;0,F77/F78," Complete Line 78")</f>
        <v>14042.396414928004</v>
      </c>
      <c r="G79" s="869"/>
    </row>
    <row r="80" spans="1:8" s="893" customFormat="1" ht="8.25" customHeight="1" thickTop="1" x14ac:dyDescent="0.2">
      <c r="A80" s="900"/>
      <c r="B80" s="869"/>
      <c r="C80" s="871"/>
      <c r="D80" s="901"/>
      <c r="E80" s="868"/>
      <c r="F80" s="902"/>
      <c r="G80" s="869"/>
    </row>
    <row r="81" spans="1:7" s="893" customFormat="1" ht="12" thickBot="1" x14ac:dyDescent="0.25">
      <c r="A81" s="2255" t="s">
        <v>1104</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64770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106539</v>
      </c>
      <c r="G94" s="912"/>
    </row>
    <row r="95" spans="1:7" x14ac:dyDescent="0.2">
      <c r="A95" s="908" t="s">
        <v>140</v>
      </c>
      <c r="B95" s="908" t="s">
        <v>175</v>
      </c>
      <c r="C95" s="910">
        <v>1700</v>
      </c>
      <c r="D95" s="918" t="str">
        <f>'Revenues 9-14'!A82</f>
        <v>Total District/School Activity Income</v>
      </c>
      <c r="E95" s="906"/>
      <c r="F95" s="1789">
        <f>SUM('Revenues 9-14'!C82,'Revenues 9-14'!D82)</f>
        <v>176029</v>
      </c>
      <c r="G95" s="912"/>
    </row>
    <row r="96" spans="1:7" x14ac:dyDescent="0.2">
      <c r="A96" s="908" t="s">
        <v>458</v>
      </c>
      <c r="B96" s="908" t="s">
        <v>176</v>
      </c>
      <c r="C96" s="910">
        <f>'Revenues 9-14'!B84</f>
        <v>1811</v>
      </c>
      <c r="D96" s="911" t="str">
        <f>'Revenues 9-14'!A84</f>
        <v>Rentals - Regular Textbooks</v>
      </c>
      <c r="E96" s="906"/>
      <c r="F96" s="1789">
        <f>'Revenues 9-14'!C84</f>
        <v>0</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198546</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119422</v>
      </c>
      <c r="G104" s="912"/>
    </row>
    <row r="105" spans="1:7" x14ac:dyDescent="0.2">
      <c r="A105" s="908" t="s">
        <v>502</v>
      </c>
      <c r="B105" s="908" t="s">
        <v>2002</v>
      </c>
      <c r="C105" s="913">
        <v>3100</v>
      </c>
      <c r="D105" s="919" t="str">
        <f>'Revenues 9-14'!A132</f>
        <v>Total Special Education</v>
      </c>
      <c r="E105" s="906"/>
      <c r="F105" s="1789">
        <f>SUM('Revenues 9-14'!C132:D132,'Revenues 9-14'!F132)</f>
        <v>27861</v>
      </c>
      <c r="G105" s="912"/>
    </row>
    <row r="106" spans="1:7" x14ac:dyDescent="0.2">
      <c r="A106" s="908" t="s">
        <v>672</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2004</v>
      </c>
      <c r="C107" s="920">
        <v>3300</v>
      </c>
      <c r="D107" s="911" t="str">
        <f>'Revenues 9-14'!A145</f>
        <v>Total Bilingual Ed</v>
      </c>
      <c r="E107" s="906"/>
      <c r="F107" s="1789">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9">
        <f>'Revenues 9-14'!C146</f>
        <v>897</v>
      </c>
      <c r="G108" s="912"/>
    </row>
    <row r="109" spans="1:7" x14ac:dyDescent="0.2">
      <c r="A109" s="908" t="s">
        <v>672</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667</v>
      </c>
      <c r="B111" s="908" t="s">
        <v>2008</v>
      </c>
      <c r="C111" s="922">
        <v>3500</v>
      </c>
      <c r="D111" s="911" t="str">
        <f>'Revenues 9-14'!A155</f>
        <v>Total Transportation</v>
      </c>
      <c r="E111" s="906"/>
      <c r="F111" s="1789">
        <f>SUM('Revenues 9-14'!C155,'Revenues 9-14'!D155,'Revenues 9-14'!F155,'Revenues 9-14'!G155)</f>
        <v>157911</v>
      </c>
      <c r="G111" s="912"/>
    </row>
    <row r="112" spans="1:7" x14ac:dyDescent="0.2">
      <c r="A112" s="908" t="s">
        <v>458</v>
      </c>
      <c r="B112" s="908" t="s">
        <v>2009</v>
      </c>
      <c r="C112" s="920">
        <f>'Revenues 9-14'!B156</f>
        <v>3610</v>
      </c>
      <c r="D112" s="911" t="str">
        <f>'Revenues 9-14'!A156</f>
        <v>Learning Improvement - Change Grants</v>
      </c>
      <c r="E112" s="906"/>
      <c r="F112" s="1789">
        <f>'Revenues 9-14'!C156</f>
        <v>0</v>
      </c>
      <c r="G112" s="912"/>
    </row>
    <row r="113" spans="1:7" x14ac:dyDescent="0.2">
      <c r="A113" s="908" t="s">
        <v>667</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7">
        <f>SUM('Revenues 9-14'!C163:G163)</f>
        <v>0</v>
      </c>
      <c r="G118" s="912"/>
    </row>
    <row r="119" spans="1:7" x14ac:dyDescent="0.2">
      <c r="A119" s="923" t="s">
        <v>503</v>
      </c>
      <c r="B119" s="923" t="s">
        <v>2016</v>
      </c>
      <c r="C119" s="924">
        <f>'Revenues 9-14'!B164</f>
        <v>3815</v>
      </c>
      <c r="D119" s="925" t="str">
        <f>'Revenues 9-14'!A164</f>
        <v>State Charter Schools</v>
      </c>
      <c r="E119" s="906"/>
      <c r="F119" s="1907">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9">
        <f>'Revenues 9-14'!D167</f>
        <v>0</v>
      </c>
      <c r="G120" s="930"/>
    </row>
    <row r="121" spans="1:7" x14ac:dyDescent="0.2">
      <c r="A121" s="927" t="s">
        <v>499</v>
      </c>
      <c r="B121" s="927" t="s">
        <v>2018</v>
      </c>
      <c r="C121" s="928">
        <f>'Revenues 9-14'!B168</f>
        <v>3999</v>
      </c>
      <c r="D121" s="929" t="s">
        <v>542</v>
      </c>
      <c r="E121" s="931"/>
      <c r="F121" s="1789">
        <f>SUM('Revenues 9-14'!C168:G168,'Revenues 9-14'!J168)</f>
        <v>69385</v>
      </c>
      <c r="G121" s="930"/>
    </row>
    <row r="122" spans="1:7" x14ac:dyDescent="0.2">
      <c r="A122" s="927" t="s">
        <v>458</v>
      </c>
      <c r="B122" s="927" t="s">
        <v>2019</v>
      </c>
      <c r="C122" s="932">
        <f>'Revenues 9-14'!B177</f>
        <v>4045</v>
      </c>
      <c r="D122" s="929" t="str">
        <f>'Revenues 9-14'!A177 &amp; " (Subtract)"</f>
        <v>Head Start (Subtract)</v>
      </c>
      <c r="E122" s="906"/>
      <c r="F122" s="1789">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2021</v>
      </c>
      <c r="C124" s="932">
        <v>4100</v>
      </c>
      <c r="D124" s="933" t="str">
        <f>'Revenues 9-14'!A188</f>
        <v>Total Title V</v>
      </c>
      <c r="E124" s="906"/>
      <c r="F124" s="1789">
        <f>SUM('Revenues 9-14'!C188,'Revenues 9-14'!D188,'Revenues 9-14'!F188,'Revenues 9-14'!G188)</f>
        <v>0</v>
      </c>
      <c r="G124" s="930"/>
    </row>
    <row r="125" spans="1:7" x14ac:dyDescent="0.2">
      <c r="A125" s="927" t="s">
        <v>663</v>
      </c>
      <c r="B125" s="927" t="s">
        <v>2022</v>
      </c>
      <c r="C125" s="932">
        <v>4200</v>
      </c>
      <c r="D125" s="929" t="str">
        <f>'Revenues 9-14'!A198</f>
        <v>Total Food Service</v>
      </c>
      <c r="E125" s="906"/>
      <c r="F125" s="1789">
        <f>SUM('Revenues 9-14'!C198,'Revenues 9-14'!G198)</f>
        <v>63125</v>
      </c>
      <c r="G125" s="930"/>
    </row>
    <row r="126" spans="1:7" x14ac:dyDescent="0.2">
      <c r="A126" s="927" t="s">
        <v>667</v>
      </c>
      <c r="B126" s="927" t="s">
        <v>2023</v>
      </c>
      <c r="C126" s="932">
        <v>4300</v>
      </c>
      <c r="D126" s="933" t="str">
        <f>'Revenues 9-14'!A204</f>
        <v>Total Title I</v>
      </c>
      <c r="E126" s="906"/>
      <c r="F126" s="1789">
        <f>SUM('Revenues 9-14'!C204,'Revenues 9-14'!D204,'Revenues 9-14'!F204,'Revenues 9-14'!G204)</f>
        <v>70624</v>
      </c>
      <c r="G126" s="930"/>
    </row>
    <row r="127" spans="1:7" x14ac:dyDescent="0.2">
      <c r="A127" s="927" t="s">
        <v>667</v>
      </c>
      <c r="B127" s="927" t="s">
        <v>2024</v>
      </c>
      <c r="C127" s="932">
        <v>4400</v>
      </c>
      <c r="D127" s="933" t="str">
        <f>'Revenues 9-14'!A209</f>
        <v>Total Title IV</v>
      </c>
      <c r="E127" s="906"/>
      <c r="F127" s="1789">
        <f>SUM('Revenues 9-14'!C209,'Revenues 9-14'!D209,'Revenues 9-14'!F209,'Revenues 9-14'!G209)</f>
        <v>10000</v>
      </c>
      <c r="G127" s="930"/>
    </row>
    <row r="128" spans="1:7" x14ac:dyDescent="0.2">
      <c r="A128" s="927" t="s">
        <v>667</v>
      </c>
      <c r="B128" s="927" t="s">
        <v>2025</v>
      </c>
      <c r="C128" s="932">
        <f>'Revenues 9-14'!B213</f>
        <v>4620</v>
      </c>
      <c r="D128" s="933" t="str">
        <f>'Revenues 9-14'!A213</f>
        <v>Fed - Spec Education - IDEA - Flow Through</v>
      </c>
      <c r="E128" s="906"/>
      <c r="F128" s="1789">
        <f>SUM('Revenues 9-14'!C213:D213,'Revenues 9-14'!F213:G213)</f>
        <v>153166</v>
      </c>
      <c r="G128" s="930"/>
    </row>
    <row r="129" spans="1:7" x14ac:dyDescent="0.2">
      <c r="A129" s="927" t="s">
        <v>667</v>
      </c>
      <c r="B129" s="927" t="s">
        <v>2026</v>
      </c>
      <c r="C129" s="932">
        <f>'Revenues 9-14'!B214</f>
        <v>4625</v>
      </c>
      <c r="D129" s="933" t="str">
        <f>'Revenues 9-14'!A214</f>
        <v>Fed - Spec Education - IDEA - Room &amp; Board</v>
      </c>
      <c r="E129" s="906"/>
      <c r="F129" s="1789">
        <f>SUM('Revenues 9-14'!C214,'Revenues 9-14'!D214,'Revenues 9-14'!F214,'Revenues 9-14'!G214)</f>
        <v>24464</v>
      </c>
      <c r="G129" s="930"/>
    </row>
    <row r="130" spans="1:7" x14ac:dyDescent="0.2">
      <c r="A130" s="927" t="s">
        <v>667</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2043</v>
      </c>
      <c r="C157" s="940" t="s">
        <v>840</v>
      </c>
      <c r="D157" s="941" t="s">
        <v>776</v>
      </c>
      <c r="E157" s="942"/>
      <c r="F157" s="1789">
        <f>SUM(F133:F156)</f>
        <v>0</v>
      </c>
      <c r="G157" s="905"/>
    </row>
    <row r="158" spans="1:7" s="867" customFormat="1" x14ac:dyDescent="0.2">
      <c r="A158" s="938" t="s">
        <v>458</v>
      </c>
      <c r="B158" s="939" t="s">
        <v>2044</v>
      </c>
      <c r="C158" s="940" t="s">
        <v>1426</v>
      </c>
      <c r="D158" s="941" t="s">
        <v>1427</v>
      </c>
      <c r="E158" s="942"/>
      <c r="F158" s="1789">
        <f>SUM('Revenues 9-14'!C253)</f>
        <v>0</v>
      </c>
      <c r="G158" s="905"/>
    </row>
    <row r="159" spans="1:7" s="867" customFormat="1" x14ac:dyDescent="0.2">
      <c r="A159" s="938" t="s">
        <v>499</v>
      </c>
      <c r="B159" s="939" t="s">
        <v>2045</v>
      </c>
      <c r="C159" s="940" t="s">
        <v>1465</v>
      </c>
      <c r="D159" s="941" t="s">
        <v>1466</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7">
        <f>SUM('Revenues 9-14'!C259,'Revenues 9-14'!D259,'Revenues 9-14'!F259,'Revenues 9-14'!G259)</f>
        <v>14388</v>
      </c>
      <c r="G164" s="930"/>
    </row>
    <row r="165" spans="1:7" x14ac:dyDescent="0.2">
      <c r="A165" s="927" t="s">
        <v>667</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9">
        <f>SUM('Revenues 9-14'!C263:D263,'Revenues 9-14'!F263:G263)</f>
        <v>8353</v>
      </c>
      <c r="G168" s="947">
        <v>6320</v>
      </c>
    </row>
    <row r="169" spans="1:7" x14ac:dyDescent="0.2">
      <c r="A169" s="927" t="s">
        <v>667</v>
      </c>
      <c r="B169" s="927" t="s">
        <v>2053</v>
      </c>
      <c r="C169" s="932">
        <f>'Revenues 9-14'!B264</f>
        <v>4992</v>
      </c>
      <c r="D169" s="933" t="str">
        <f>'Revenues 9-14'!A264</f>
        <v>Medicaid Matching Funds - Fee-for-Service Program</v>
      </c>
      <c r="E169" s="906"/>
      <c r="F169" s="1789">
        <f>SUM('Revenues 9-14'!C264:D264,'Revenues 9-14'!F264:G264)</f>
        <v>20081</v>
      </c>
      <c r="G169" s="947"/>
    </row>
    <row r="170" spans="1:7" x14ac:dyDescent="0.2">
      <c r="A170" s="948" t="s">
        <v>667</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217568</v>
      </c>
      <c r="G171" s="927"/>
    </row>
    <row r="172" spans="1:7" x14ac:dyDescent="0.2">
      <c r="A172" s="1918" t="s">
        <v>663</v>
      </c>
      <c r="B172" s="1919" t="s">
        <v>1919</v>
      </c>
      <c r="C172" s="1920">
        <v>3300</v>
      </c>
      <c r="D172" s="1921" t="s">
        <v>1922</v>
      </c>
      <c r="E172" s="906"/>
      <c r="F172" s="1906">
        <v>660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957</v>
      </c>
      <c r="F174" s="1788">
        <f>SUM(F84:F132,F157:F172)</f>
        <v>1503789</v>
      </c>
    </row>
    <row r="175" spans="1:7" ht="12" customHeight="1" x14ac:dyDescent="0.2">
      <c r="A175" s="1770"/>
      <c r="B175" s="1784"/>
      <c r="C175" s="1785"/>
      <c r="D175" s="1786" t="s">
        <v>2056</v>
      </c>
      <c r="E175" s="1787"/>
      <c r="F175" s="1789">
        <f>'PCTC-OEPP 27-28'!F77-F174</f>
        <v>8053466</v>
      </c>
    </row>
    <row r="176" spans="1:7" ht="12" customHeight="1" x14ac:dyDescent="0.2">
      <c r="A176" s="1770"/>
      <c r="B176" s="1784"/>
      <c r="C176" s="1785"/>
      <c r="D176" s="1786" t="s">
        <v>1816</v>
      </c>
      <c r="E176" s="1787"/>
      <c r="F176" s="1789">
        <f>'Cap Outlay Deprec 26'!I18</f>
        <v>773287</v>
      </c>
    </row>
    <row r="177" spans="1:7" ht="12" customHeight="1" x14ac:dyDescent="0.2">
      <c r="A177" s="1770"/>
      <c r="B177" s="1784"/>
      <c r="C177" s="1785"/>
      <c r="D177" s="1786" t="s">
        <v>2057</v>
      </c>
      <c r="E177" s="1787"/>
      <c r="F177" s="1789">
        <f>F175+F176</f>
        <v>8826753</v>
      </c>
    </row>
    <row r="178" spans="1:7" ht="12" customHeight="1" x14ac:dyDescent="0.2">
      <c r="A178" s="1770"/>
      <c r="B178" s="1790"/>
      <c r="C178" s="1785"/>
      <c r="D178" s="1786" t="str">
        <f>D78</f>
        <v>9 Month ADA from District Average Daily Attendance/Prior General State Aid Inquiry 2018-2019</v>
      </c>
      <c r="E178" s="1787"/>
      <c r="F178" s="1791">
        <f>'PCTC-OEPP 27-28'!F78</f>
        <v>680.6</v>
      </c>
      <c r="G178" s="930"/>
    </row>
    <row r="179" spans="1:7" ht="12" customHeight="1" thickBot="1" x14ac:dyDescent="0.25">
      <c r="A179" s="1770"/>
      <c r="B179" s="1790"/>
      <c r="C179" s="1785"/>
      <c r="D179" s="1786" t="s">
        <v>2058</v>
      </c>
      <c r="E179" s="1787" t="s">
        <v>1544</v>
      </c>
      <c r="F179" s="1792">
        <f>F177/F178</f>
        <v>12969.075815456948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8" sqref="A2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69" t="s">
        <v>1817</v>
      </c>
      <c r="B4" s="2270"/>
      <c r="C4" s="2270"/>
      <c r="D4" s="2270"/>
      <c r="E4" s="2270"/>
      <c r="F4" s="2270"/>
      <c r="G4" s="2271"/>
    </row>
    <row r="5" spans="1:7" x14ac:dyDescent="0.25">
      <c r="A5" s="2272"/>
      <c r="B5" s="2273"/>
      <c r="C5" s="2273"/>
      <c r="D5" s="2273"/>
      <c r="E5" s="2273"/>
      <c r="F5" s="2273"/>
      <c r="G5" s="2274"/>
    </row>
    <row r="6" spans="1:7" ht="18.75" x14ac:dyDescent="0.25">
      <c r="A6" s="1534" t="s">
        <v>1818</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1819</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1824</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2155</v>
      </c>
      <c r="B17" s="1938" t="s">
        <v>2156</v>
      </c>
      <c r="C17" s="1939" t="s">
        <v>2157</v>
      </c>
      <c r="D17" s="1844">
        <v>143968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118968</v>
      </c>
      <c r="H17" s="1647"/>
    </row>
    <row r="18" spans="1:8" x14ac:dyDescent="0.25">
      <c r="A18" s="1937" t="s">
        <v>2158</v>
      </c>
      <c r="B18" s="1938" t="s">
        <v>2160</v>
      </c>
      <c r="C18" s="1939" t="s">
        <v>2159</v>
      </c>
      <c r="D18" s="1844">
        <v>46014</v>
      </c>
      <c r="E18" s="1540">
        <f t="shared" ref="E18:E140" si="2">IF(D18&lt;=25000,D18,IF(D18&gt;25000,25000,0))</f>
        <v>25000</v>
      </c>
      <c r="F18" s="1932">
        <f t="shared" si="1"/>
        <v>25000</v>
      </c>
      <c r="G18" s="1793">
        <f t="shared" ref="G18:G140" si="3">IF(F18=0,0,D18-F18)</f>
        <v>21014</v>
      </c>
    </row>
    <row r="19" spans="1:8" x14ac:dyDescent="0.25">
      <c r="A19" s="1937" t="s">
        <v>2161</v>
      </c>
      <c r="B19" s="1938" t="s">
        <v>2163</v>
      </c>
      <c r="C19" s="1939" t="s">
        <v>2162</v>
      </c>
      <c r="D19" s="1844">
        <v>28054</v>
      </c>
      <c r="E19" s="1540">
        <f t="shared" si="2"/>
        <v>25000</v>
      </c>
      <c r="F19" s="1932">
        <f t="shared" si="1"/>
        <v>25000</v>
      </c>
      <c r="G19" s="1793">
        <f t="shared" si="3"/>
        <v>3054</v>
      </c>
    </row>
    <row r="20" spans="1:8" x14ac:dyDescent="0.25">
      <c r="A20" s="1937" t="s">
        <v>2164</v>
      </c>
      <c r="B20" s="1938" t="s">
        <v>2165</v>
      </c>
      <c r="C20" s="1939" t="s">
        <v>2166</v>
      </c>
      <c r="D20" s="1844">
        <v>43263</v>
      </c>
      <c r="E20" s="1540">
        <f t="shared" si="2"/>
        <v>25000</v>
      </c>
      <c r="F20" s="1932">
        <f t="shared" si="1"/>
        <v>25000</v>
      </c>
      <c r="G20" s="1793">
        <f t="shared" si="3"/>
        <v>18263</v>
      </c>
    </row>
    <row r="21" spans="1:8" x14ac:dyDescent="0.25">
      <c r="A21" s="1937" t="s">
        <v>2167</v>
      </c>
      <c r="B21" s="1938" t="s">
        <v>2168</v>
      </c>
      <c r="C21" s="1939" t="s">
        <v>2169</v>
      </c>
      <c r="D21" s="1844">
        <v>60337</v>
      </c>
      <c r="E21" s="1540">
        <f t="shared" si="2"/>
        <v>25000</v>
      </c>
      <c r="F21" s="1932">
        <f t="shared" si="1"/>
        <v>25000</v>
      </c>
      <c r="G21" s="1793">
        <f t="shared" si="3"/>
        <v>35337</v>
      </c>
    </row>
    <row r="22" spans="1:8" x14ac:dyDescent="0.25">
      <c r="A22" s="1937" t="s">
        <v>2164</v>
      </c>
      <c r="B22" s="1938" t="s">
        <v>2165</v>
      </c>
      <c r="C22" s="1939" t="s">
        <v>2170</v>
      </c>
      <c r="D22" s="1844">
        <v>42134</v>
      </c>
      <c r="E22" s="1540">
        <f t="shared" si="2"/>
        <v>25000</v>
      </c>
      <c r="F22" s="1932">
        <f t="shared" si="1"/>
        <v>25000</v>
      </c>
      <c r="G22" s="1793">
        <f t="shared" si="3"/>
        <v>17134</v>
      </c>
    </row>
    <row r="23" spans="1:8" x14ac:dyDescent="0.25">
      <c r="A23" s="1937" t="s">
        <v>2164</v>
      </c>
      <c r="B23" s="1938" t="s">
        <v>2165</v>
      </c>
      <c r="C23" s="1939" t="s">
        <v>2171</v>
      </c>
      <c r="D23" s="1844">
        <v>38756</v>
      </c>
      <c r="E23" s="1540">
        <f t="shared" si="2"/>
        <v>25000</v>
      </c>
      <c r="F23" s="1932">
        <f t="shared" si="1"/>
        <v>25000</v>
      </c>
      <c r="G23" s="1793">
        <f t="shared" si="3"/>
        <v>13756</v>
      </c>
    </row>
    <row r="24" spans="1:8" x14ac:dyDescent="0.25">
      <c r="A24" s="1937" t="s">
        <v>2158</v>
      </c>
      <c r="B24" s="1938" t="s">
        <v>2160</v>
      </c>
      <c r="C24" s="1939" t="s">
        <v>2172</v>
      </c>
      <c r="D24" s="1844">
        <v>117902</v>
      </c>
      <c r="E24" s="1540">
        <f t="shared" si="2"/>
        <v>25000</v>
      </c>
      <c r="F24" s="1932">
        <f t="shared" si="1"/>
        <v>25000</v>
      </c>
      <c r="G24" s="1793">
        <f t="shared" si="3"/>
        <v>92902</v>
      </c>
    </row>
    <row r="25" spans="1:8" x14ac:dyDescent="0.25">
      <c r="A25" s="1937" t="s">
        <v>2173</v>
      </c>
      <c r="B25" s="1938" t="s">
        <v>2163</v>
      </c>
      <c r="C25" s="1939" t="s">
        <v>2174</v>
      </c>
      <c r="D25" s="1844">
        <v>42671</v>
      </c>
      <c r="E25" s="1540">
        <f t="shared" si="2"/>
        <v>25000</v>
      </c>
      <c r="F25" s="1932">
        <f t="shared" si="1"/>
        <v>25000</v>
      </c>
      <c r="G25" s="1793">
        <f t="shared" si="3"/>
        <v>17671</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563099</v>
      </c>
      <c r="E141" s="1541">
        <f t="shared" si="0"/>
        <v>25000</v>
      </c>
      <c r="F141" s="1933">
        <f>SUM(F17:F140)</f>
        <v>225000</v>
      </c>
      <c r="G141" s="1795">
        <f>SUM(G17:G140)</f>
        <v>338099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1" t="s">
        <v>1678</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63125</v>
      </c>
      <c r="F10" s="974"/>
      <c r="G10" s="975"/>
      <c r="H10" s="162"/>
      <c r="I10" s="162"/>
    </row>
    <row r="11" spans="1:9" s="668" customFormat="1" ht="22.5" customHeight="1" x14ac:dyDescent="0.2">
      <c r="A11" s="2286" t="s">
        <v>1976</v>
      </c>
      <c r="B11" s="2287"/>
      <c r="C11" s="2287"/>
      <c r="D11" s="2288"/>
      <c r="E11" s="977">
        <v>7827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5308753</v>
      </c>
      <c r="F19" s="1799"/>
      <c r="G19" s="1801">
        <f>'Expenditures 15-22'!K33-SUM('Expenditures 15-22'!G33,'Expenditures 15-22'!I33)+'Expenditures 15-22'!D229</f>
        <v>5308753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594401</v>
      </c>
      <c r="F21" s="1802"/>
      <c r="G21" s="1805">
        <f>'Expenditures 15-22'!K42-SUM('Expenditures 15-22'!G42,'Expenditures 15-22'!I42)+'Expenditures 15-22'!K120-SUM('Expenditures 15-22'!G120,'Expenditures 15-22'!I120)+'Expenditures 15-22'!K180-SUM('Expenditures 15-22'!G180,'Expenditures 15-22'!I180)+'Expenditures 15-22'!D238</f>
        <v>594401</v>
      </c>
      <c r="H21" s="987"/>
      <c r="I21" s="162"/>
    </row>
    <row r="22" spans="1:9" s="668" customFormat="1" ht="12" customHeight="1" x14ac:dyDescent="0.2">
      <c r="A22" s="994" t="s">
        <v>563</v>
      </c>
      <c r="B22" s="995"/>
      <c r="C22" s="993">
        <v>2200</v>
      </c>
      <c r="D22" s="1802"/>
      <c r="E22" s="1804">
        <f>'Expenditures 15-22'!K47-SUM('Expenditures 15-22'!G47,'Expenditures 15-22'!I47)+'Expenditures 15-22'!D243</f>
        <v>380847</v>
      </c>
      <c r="F22" s="1802"/>
      <c r="G22" s="1805">
        <f>'Expenditures 15-22'!K47-SUM('Expenditures 15-22'!G47,'Expenditures 15-22'!I47)+'Expenditures 15-22'!D243</f>
        <v>380847</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833850</v>
      </c>
      <c r="F23" s="1802"/>
      <c r="G23" s="1804">
        <f>'Expenditures 15-22'!K53-SUM('Expenditures 15-22'!G53,'Expenditures 15-22'!I53)+'Expenditures 15-22'!D257+'Expenditures 15-22'!K330-SUM('Expenditures 15-22'!G330,'Expenditures 15-22'!I330)</f>
        <v>833850</v>
      </c>
      <c r="H23" s="987"/>
      <c r="I23" s="162"/>
    </row>
    <row r="24" spans="1:9" s="668" customFormat="1" ht="12" customHeight="1" x14ac:dyDescent="0.2">
      <c r="A24" s="994" t="s">
        <v>565</v>
      </c>
      <c r="B24" s="995"/>
      <c r="C24" s="993">
        <v>2400</v>
      </c>
      <c r="D24" s="1802"/>
      <c r="E24" s="1804">
        <f>'Expenditures 15-22'!K57-SUM('Expenditures 15-22'!G57,'Expenditures 15-22'!I57)+'Expenditures 15-22'!D261</f>
        <v>640183</v>
      </c>
      <c r="F24" s="1802"/>
      <c r="G24" s="1805">
        <f>'Expenditures 15-22'!K57-SUM('Expenditures 15-22'!G57,'Expenditures 15-22'!I57)+'Expenditures 15-22'!D261</f>
        <v>640183</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958368</v>
      </c>
      <c r="F28" s="1806">
        <f>'Expenditures 15-22'!K61-SUM('Expenditures 15-22'!G61,'Expenditures 15-22'!I61)+'Expenditures 15-22'!K124-SUM('Expenditures 15-22'!G124,'Expenditures 15-22'!I124)+'Expenditures 15-22'!D266-E9</f>
        <v>958368</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368934</v>
      </c>
      <c r="F29" s="1802"/>
      <c r="G29" s="1805">
        <f>'Expenditures 15-22'!K62-SUM('Expenditures 15-22'!G62,'Expenditures 15-22'!I62)+'Expenditures 15-22'!K125-SUM('Expenditures 15-22'!G125,'Expenditures 15-22'!I125)+'Expenditures 15-22'!K182-SUM('Expenditures 15-22'!G182,'Expenditures 15-22'!I182)+'Expenditures 15-22'!D267</f>
        <v>368934</v>
      </c>
      <c r="H29" s="985"/>
    </row>
    <row r="30" spans="1:9" ht="12" customHeight="1" x14ac:dyDescent="0.2">
      <c r="A30" s="994" t="s">
        <v>100</v>
      </c>
      <c r="B30" s="997"/>
      <c r="C30" s="993">
        <v>2560</v>
      </c>
      <c r="D30" s="1802"/>
      <c r="E30" s="1804">
        <f>'Expenditures 15-22'!K63-SUM('Expenditures 15-22'!G63,'Expenditures 15-22'!I63)+'Expenditures 15-22'!D268-E10</f>
        <v>95048</v>
      </c>
      <c r="F30" s="1802"/>
      <c r="G30" s="1804">
        <f>'Expenditures 15-22'!K63-SUM('Expenditures 15-22'!G63,'Expenditures 15-22'!I63)+'Expenditures 15-22'!D268-E10</f>
        <v>95048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74278</v>
      </c>
      <c r="F39" s="1802"/>
      <c r="G39" s="1804">
        <f>'Expenditures 15-22'!K75-SUM('Expenditures 15-22'!G75,'Expenditures 15-22'!I75)+'Expenditures 15-22'!K130-SUM('Expenditures 15-22'!G130,'Expenditures 15-22'!I130)+'Expenditures 15-22'!K185-SUM('Expenditures 15-22'!G185,'Expenditures 15-22'!I185)+'Expenditures 15-22'!D280</f>
        <v>74278</v>
      </c>
    </row>
    <row r="40" spans="1:7" ht="12" customHeight="1" x14ac:dyDescent="0.2">
      <c r="A40" s="990" t="s">
        <v>1822</v>
      </c>
      <c r="B40" s="991"/>
      <c r="C40" s="993"/>
      <c r="D40" s="1802"/>
      <c r="E40" s="1806">
        <f>-'Contracts Paid in CY 29'!G141</f>
        <v>-338099</v>
      </c>
      <c r="F40" s="1802"/>
      <c r="G40" s="1806">
        <f>-'Contracts Paid in CY 29'!G141</f>
        <v>-338099</v>
      </c>
    </row>
    <row r="41" spans="1:7" ht="12" customHeight="1" x14ac:dyDescent="0.2">
      <c r="A41" s="998" t="s">
        <v>156</v>
      </c>
      <c r="B41" s="999"/>
      <c r="C41" s="1000"/>
      <c r="D41" s="1806">
        <f>SUM(D19:D39)</f>
        <v>0</v>
      </c>
      <c r="E41" s="1806">
        <f>SUM(E19:E40)</f>
        <v>8916563</v>
      </c>
      <c r="F41" s="1806">
        <f>SUM(F19:F39)</f>
        <v>958368</v>
      </c>
      <c r="G41" s="1806">
        <f>SUM(G19:G40)</f>
        <v>7958195</v>
      </c>
    </row>
    <row r="42" spans="1:7" x14ac:dyDescent="0.2">
      <c r="A42" s="987"/>
      <c r="B42" s="162"/>
      <c r="C42" s="1001"/>
      <c r="D42" s="2284" t="s">
        <v>521</v>
      </c>
      <c r="E42" s="2285"/>
      <c r="F42" s="1002" t="s">
        <v>522</v>
      </c>
      <c r="G42" s="1003"/>
    </row>
    <row r="43" spans="1:7" ht="12" customHeight="1" x14ac:dyDescent="0.2">
      <c r="A43" s="987"/>
      <c r="B43" s="162"/>
      <c r="C43" s="1001"/>
      <c r="D43" s="1807" t="s">
        <v>472</v>
      </c>
      <c r="E43" s="1808">
        <f>D41</f>
        <v>0</v>
      </c>
      <c r="F43" s="1807" t="s">
        <v>472</v>
      </c>
      <c r="G43" s="1808">
        <f>F41</f>
        <v>958368</v>
      </c>
    </row>
    <row r="44" spans="1:7" ht="12" customHeight="1" x14ac:dyDescent="0.2">
      <c r="A44" s="987"/>
      <c r="B44" s="162"/>
      <c r="C44" s="1001"/>
      <c r="D44" s="1807" t="s">
        <v>473</v>
      </c>
      <c r="E44" s="1808">
        <f>E41</f>
        <v>8916563</v>
      </c>
      <c r="F44" s="1807" t="s">
        <v>473</v>
      </c>
      <c r="G44" s="1808">
        <f>G41</f>
        <v>7958195</v>
      </c>
    </row>
    <row r="45" spans="1:7" ht="12" customHeight="1" x14ac:dyDescent="0.2">
      <c r="A45" s="987"/>
      <c r="B45" s="162"/>
      <c r="C45" s="162"/>
      <c r="D45" s="1809" t="s">
        <v>1005</v>
      </c>
      <c r="E45" s="1810">
        <f>(E43/E44)</f>
        <v>0</v>
      </c>
      <c r="F45" s="1809" t="s">
        <v>1005</v>
      </c>
      <c r="G45" s="1810">
        <f>(G43/G44)</f>
        <v>0.12042529744496082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7" activePane="bottomLeft" state="frozen"/>
      <selection activeCell="A47" sqref="A47"/>
      <selection pane="bottomLeft" activeCell="C29" sqref="C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1378</v>
      </c>
      <c r="B1" s="2292"/>
      <c r="C1" s="2292"/>
      <c r="D1" s="2292"/>
      <c r="E1" s="2292"/>
      <c r="F1" s="2292"/>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3" t="s">
        <v>1545</v>
      </c>
      <c r="B5" s="2294"/>
      <c r="C5" s="2295"/>
      <c r="D5" s="2295"/>
      <c r="E5" s="2295"/>
      <c r="F5" s="2295"/>
    </row>
    <row r="6" spans="1:10" ht="12" customHeight="1" x14ac:dyDescent="0.25">
      <c r="A6" s="1850"/>
      <c r="B6" s="1851"/>
      <c r="C6" s="2296" t="str">
        <f>COVER!A17</f>
        <v>Cass SD 63</v>
      </c>
      <c r="D6" s="2296"/>
      <c r="E6" s="2296"/>
      <c r="F6" s="1852"/>
    </row>
    <row r="7" spans="1:10" ht="11.25" customHeight="1" thickBot="1" x14ac:dyDescent="0.3">
      <c r="A7" s="1850"/>
      <c r="B7" s="1851"/>
      <c r="C7" s="2297">
        <f>COVER!A13</f>
        <v>19022063002</v>
      </c>
      <c r="D7" s="2297"/>
      <c r="E7" s="2297"/>
      <c r="F7" s="1852"/>
    </row>
    <row r="8" spans="1:10" ht="25.5" customHeight="1" thickBot="1" x14ac:dyDescent="0.25">
      <c r="A8" s="1893" t="s">
        <v>1907</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t="s">
        <v>2063</v>
      </c>
      <c r="D20" s="1865" t="s">
        <v>2063</v>
      </c>
      <c r="E20" s="1868"/>
      <c r="F20" s="1867" t="s">
        <v>2098</v>
      </c>
      <c r="H20" s="1878">
        <f t="shared" si="0"/>
        <v>5</v>
      </c>
      <c r="I20" s="1878">
        <f t="shared" si="1"/>
        <v>5</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2063</v>
      </c>
      <c r="D26" s="1865" t="s">
        <v>2063</v>
      </c>
      <c r="E26" s="1868"/>
      <c r="F26" s="1867" t="s">
        <v>2099</v>
      </c>
      <c r="H26" s="1878">
        <f t="shared" si="0"/>
        <v>5</v>
      </c>
      <c r="I26" s="1878">
        <f t="shared" si="1"/>
        <v>5</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1391</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1390</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6" t="str">
        <f>COVER!A17</f>
        <v>Cass SD 63</v>
      </c>
      <c r="J6" s="2317"/>
      <c r="Q6" s="1664"/>
    </row>
    <row r="7" spans="1:17" x14ac:dyDescent="0.2">
      <c r="A7" s="2318" t="s">
        <v>868</v>
      </c>
      <c r="B7" s="2319"/>
      <c r="C7" s="2319"/>
      <c r="D7" s="2319"/>
      <c r="E7" s="2320"/>
      <c r="F7" s="1017"/>
      <c r="G7" s="1009"/>
      <c r="H7" s="1016" t="s">
        <v>371</v>
      </c>
      <c r="I7" s="2321">
        <f>COVER!A13</f>
        <v>19022063002</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2" t="s">
        <v>480</v>
      </c>
      <c r="B11" s="2323"/>
      <c r="C11" s="2324"/>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644049</v>
      </c>
      <c r="F12" s="1039"/>
      <c r="G12" s="1811">
        <f t="shared" ref="G12:G18" si="0">SUM(E12:F12)</f>
        <v>644049</v>
      </c>
      <c r="H12" s="1040">
        <v>644630</v>
      </c>
      <c r="I12" s="1039"/>
      <c r="J12" s="1811">
        <f t="shared" ref="J12:J18" si="1">SUM(H12:I12)</f>
        <v>644630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644049</v>
      </c>
      <c r="F19" s="1813">
        <f t="shared" si="2"/>
        <v>0</v>
      </c>
      <c r="G19" s="1813">
        <f t="shared" si="2"/>
        <v>644049</v>
      </c>
      <c r="H19" s="1813">
        <f t="shared" si="2"/>
        <v>644630</v>
      </c>
      <c r="I19" s="1813">
        <f t="shared" si="2"/>
        <v>0</v>
      </c>
      <c r="J19" s="1813">
        <f t="shared" si="2"/>
        <v>644630</v>
      </c>
    </row>
    <row r="20" spans="1:10" ht="13.5" thickTop="1" x14ac:dyDescent="0.2">
      <c r="A20" s="1035">
        <v>9</v>
      </c>
      <c r="B20" s="2328" t="s">
        <v>1980</v>
      </c>
      <c r="C20" s="2328"/>
      <c r="D20" s="2329"/>
      <c r="E20" s="1046"/>
      <c r="F20" s="1046"/>
      <c r="G20" s="1046"/>
      <c r="H20" s="1046"/>
      <c r="I20" s="1046"/>
      <c r="J20" s="1814">
        <f>IF(AND(G19&gt;0,J19&gt;0),(((J19-G19)/G19)),"Enter Budget Data")</f>
        <v>9.0210527459867187E-4</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1032</v>
      </c>
      <c r="D27" s="1052"/>
      <c r="E27" s="1053"/>
      <c r="F27" s="2330" t="s">
        <v>1508</v>
      </c>
      <c r="G27" s="2330"/>
    </row>
    <row r="28" spans="1:10" ht="28.5" customHeight="1" x14ac:dyDescent="0.2">
      <c r="B28" s="1047"/>
      <c r="C28" s="2332"/>
      <c r="D28" s="2332"/>
      <c r="E28" s="1054"/>
      <c r="F28" s="2332"/>
      <c r="G28" s="2332"/>
    </row>
    <row r="29" spans="1:10" x14ac:dyDescent="0.2">
      <c r="B29" s="1047"/>
      <c r="C29" s="1055" t="s">
        <v>1560</v>
      </c>
      <c r="E29" s="1056"/>
      <c r="F29" s="2331" t="s">
        <v>1509</v>
      </c>
      <c r="G29" s="2331"/>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881</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8" sqref="B1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2080</v>
      </c>
    </row>
    <row r="6" spans="1:2" x14ac:dyDescent="0.2">
      <c r="A6" s="1068">
        <v>2</v>
      </c>
      <c r="B6" s="329" t="s">
        <v>2082</v>
      </c>
    </row>
    <row r="7" spans="1:2" x14ac:dyDescent="0.2">
      <c r="B7" s="329" t="s">
        <v>2081</v>
      </c>
    </row>
    <row r="8" spans="1:2" x14ac:dyDescent="0.2">
      <c r="A8" s="1068">
        <v>3</v>
      </c>
      <c r="B8" s="329" t="s">
        <v>2100</v>
      </c>
    </row>
    <row r="9" spans="1:2" x14ac:dyDescent="0.2">
      <c r="B9" s="329" t="s">
        <v>2101</v>
      </c>
    </row>
    <row r="11" spans="1:2" x14ac:dyDescent="0.2">
      <c r="A11" s="1068">
        <v>4</v>
      </c>
      <c r="B11" s="329" t="s">
        <v>2105</v>
      </c>
    </row>
    <row r="12" spans="1:2" x14ac:dyDescent="0.2">
      <c r="A12" s="1069"/>
      <c r="B12" s="329" t="s">
        <v>2106</v>
      </c>
    </row>
    <row r="13" spans="1:2" x14ac:dyDescent="0.2">
      <c r="A13" s="1069"/>
    </row>
    <row r="14" spans="1:2" x14ac:dyDescent="0.2">
      <c r="A14" s="1068">
        <v>5</v>
      </c>
      <c r="B14" s="329" t="s">
        <v>2107</v>
      </c>
    </row>
    <row r="15" spans="1:2" x14ac:dyDescent="0.2">
      <c r="A15" s="1069"/>
      <c r="B15" s="329" t="s">
        <v>2108</v>
      </c>
    </row>
    <row r="16" spans="1:2" x14ac:dyDescent="0.2">
      <c r="A16" s="1069"/>
      <c r="B16" s="329" t="s">
        <v>2109</v>
      </c>
    </row>
    <row r="17" spans="1:2" x14ac:dyDescent="0.2">
      <c r="A17" s="1069"/>
    </row>
    <row r="18" spans="1:2" x14ac:dyDescent="0.2">
      <c r="A18" s="1069"/>
    </row>
    <row r="19" spans="1:2" x14ac:dyDescent="0.2">
      <c r="A19" s="1069"/>
    </row>
    <row r="20" spans="1:2" x14ac:dyDescent="0.2">
      <c r="A20" s="1069"/>
      <c r="B20" s="329" t="s">
        <v>2102</v>
      </c>
    </row>
    <row r="21" spans="1:2" x14ac:dyDescent="0.2">
      <c r="A21" s="1069"/>
      <c r="B21" s="329" t="s">
        <v>2103</v>
      </c>
    </row>
    <row r="22" spans="1:2" x14ac:dyDescent="0.2">
      <c r="A22" s="1069"/>
      <c r="B22" s="329" t="s">
        <v>2104</v>
      </c>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Cass SD 63</v>
      </c>
    </row>
    <row r="65" spans="2:2" x14ac:dyDescent="0.2">
      <c r="B65" s="1070">
        <f>COVER!A13</f>
        <v>19022063002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6" t="s">
        <v>1610</v>
      </c>
    </row>
    <row r="23" spans="1:5" x14ac:dyDescent="0.2">
      <c r="A23" s="168"/>
      <c r="B23" s="162" t="s">
        <v>1856</v>
      </c>
      <c r="D23" s="167" t="s">
        <v>636</v>
      </c>
      <c r="E23" s="1836"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2" t="s">
        <v>1064</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690</v>
      </c>
      <c r="B40" s="2049"/>
      <c r="C40" s="2049"/>
      <c r="D40" s="2049"/>
      <c r="E40" s="2049"/>
    </row>
    <row r="41" spans="1:5" x14ac:dyDescent="0.2">
      <c r="A41" s="2050" t="s">
        <v>1607</v>
      </c>
      <c r="B41" s="2050"/>
      <c r="C41" s="2050"/>
      <c r="D41" s="2050"/>
      <c r="E41" s="2050"/>
    </row>
    <row r="42" spans="1:5" ht="12.75" customHeight="1" x14ac:dyDescent="0.2">
      <c r="A42" s="2051" t="s">
        <v>1021</v>
      </c>
      <c r="B42" s="2051"/>
      <c r="C42" s="2051"/>
      <c r="D42" s="2051"/>
      <c r="E42" s="2051"/>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5" t="s">
        <v>1684</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2</xdr:row>
                <xdr:rowOff>0</xdr:rowOff>
              </from>
              <to>
                <xdr:col>1</xdr:col>
                <xdr:colOff>904875</xdr:colOff>
                <xdr:row>5</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1689</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1685</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1690</v>
      </c>
      <c r="B6" s="2353"/>
      <c r="C6" s="2353"/>
      <c r="D6" s="2353"/>
      <c r="E6" s="2353"/>
      <c r="F6" s="2354"/>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9657039</v>
      </c>
      <c r="C8" s="1815">
        <f>'Acct Summary 7-8'!D8</f>
        <v>1224910</v>
      </c>
      <c r="D8" s="1815">
        <f>'Acct Summary 7-8'!F8</f>
        <v>529061</v>
      </c>
      <c r="E8" s="1815">
        <f>'Acct Summary 7-8'!I8</f>
        <v>277</v>
      </c>
      <c r="F8" s="1815">
        <f>SUM(B8:E8)</f>
        <v>11411287</v>
      </c>
    </row>
    <row r="9" spans="1:8" s="1079" customFormat="1" ht="14.25" customHeight="1" thickBot="1" x14ac:dyDescent="0.25">
      <c r="A9" s="1078" t="s">
        <v>1368</v>
      </c>
      <c r="B9" s="1816">
        <f>'Acct Summary 7-8'!C17</f>
        <v>9007274</v>
      </c>
      <c r="C9" s="1816">
        <f>'Acct Summary 7-8'!D17</f>
        <v>1317746</v>
      </c>
      <c r="D9" s="1816">
        <f>'Acct Summary 7-8'!F17</f>
        <v>598033</v>
      </c>
      <c r="E9" s="1815"/>
      <c r="F9" s="1815">
        <f>SUM(B9:E9)</f>
        <v>10923053</v>
      </c>
    </row>
    <row r="10" spans="1:8" s="1079" customFormat="1" ht="14.25" thickTop="1" thickBot="1" x14ac:dyDescent="0.25">
      <c r="A10" s="1080" t="s">
        <v>1369</v>
      </c>
      <c r="B10" s="1817">
        <f>(B8-B9)</f>
        <v>649765</v>
      </c>
      <c r="C10" s="1817">
        <f>(C8-C9)</f>
        <v>-92836</v>
      </c>
      <c r="D10" s="1817">
        <f>(D8-D9)</f>
        <v>-68972</v>
      </c>
      <c r="E10" s="1816">
        <f>(E8-E9)</f>
        <v>277</v>
      </c>
      <c r="F10" s="1818">
        <f>SUM(F8-F9)</f>
        <v>488234</v>
      </c>
    </row>
    <row r="11" spans="1:8" s="1079" customFormat="1" ht="14.25" thickTop="1" thickBot="1" x14ac:dyDescent="0.25">
      <c r="A11" s="1081" t="s">
        <v>1984</v>
      </c>
      <c r="B11" s="1819">
        <f>'Acct Summary 7-8'!C81</f>
        <v>3087502</v>
      </c>
      <c r="C11" s="1819">
        <f>'Acct Summary 7-8'!D81</f>
        <v>532615</v>
      </c>
      <c r="D11" s="1819">
        <f>'Acct Summary 7-8'!F81</f>
        <v>202894</v>
      </c>
      <c r="E11" s="1819">
        <f>'Acct Summary 7-8'!I81</f>
        <v>33105</v>
      </c>
      <c r="F11" s="1820">
        <f>SUM(B11:E11)</f>
        <v>3856116</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1686</v>
      </c>
      <c r="B16" s="2339"/>
      <c r="C16" s="2339"/>
      <c r="D16" s="2339"/>
      <c r="E16" s="2339"/>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664</v>
      </c>
      <c r="B3" s="2362"/>
      <c r="C3" s="2362"/>
      <c r="D3" s="2363"/>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2" t="s">
        <v>1503</v>
      </c>
      <c r="D7" s="2373"/>
    </row>
    <row r="8" spans="1:4" s="668" customFormat="1" ht="12.75" x14ac:dyDescent="0.2">
      <c r="A8" s="1138"/>
      <c r="B8" s="1093"/>
      <c r="C8" s="1096" t="s">
        <v>1502</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4" t="s">
        <v>1007</v>
      </c>
      <c r="B15" s="2365"/>
      <c r="C15" s="2365"/>
      <c r="D15" s="2366"/>
    </row>
    <row r="16" spans="1:4" s="668" customFormat="1" ht="24" customHeight="1" x14ac:dyDescent="0.2">
      <c r="A16" s="2367" t="s">
        <v>662</v>
      </c>
      <c r="B16" s="2368"/>
      <c r="C16" s="2368"/>
      <c r="D16" s="2369"/>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6" t="s">
        <v>313</v>
      </c>
      <c r="D21" s="2377"/>
    </row>
    <row r="22" spans="1:10" ht="12.75" x14ac:dyDescent="0.2">
      <c r="A22" s="1139"/>
      <c r="B22" s="1140">
        <v>2</v>
      </c>
      <c r="C22" s="2374" t="s">
        <v>1523</v>
      </c>
      <c r="D22" s="2375"/>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8" t="s">
        <v>535</v>
      </c>
      <c r="D43" s="2379"/>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0" t="s">
        <v>783</v>
      </c>
      <c r="D56" s="2371"/>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1020</v>
      </c>
      <c r="D67" s="1125"/>
    </row>
    <row r="68" spans="1:4" x14ac:dyDescent="0.2">
      <c r="A68" s="1100"/>
      <c r="B68" s="1110"/>
      <c r="C68" s="1102" t="s">
        <v>1914</v>
      </c>
      <c r="D68" s="1124" t="str">
        <f>IF('Short-Term Long-Term Debt 24'!F49=SUM(,'Acct Summary 7-8'!C33:K33),"OK","ERROR!")</f>
        <v>ERROR!</v>
      </c>
    </row>
    <row r="69" spans="1:4" x14ac:dyDescent="0.2">
      <c r="A69" s="1100"/>
      <c r="B69" s="1110"/>
      <c r="C69" s="1102" t="s">
        <v>1915</v>
      </c>
      <c r="D69" s="1124" t="str">
        <f>IF('Expenditures 15-22'!H170&lt;&gt;'Short-Term Long-Term Debt 24'!H49,"ERROR!","OK")</f>
        <v>ERROR!</v>
      </c>
    </row>
    <row r="70" spans="1:4" x14ac:dyDescent="0.2">
      <c r="A70" s="1098"/>
      <c r="B70" s="1120">
        <f>B66+1</f>
        <v>9</v>
      </c>
      <c r="C70" s="2370" t="s">
        <v>1695</v>
      </c>
      <c r="D70" s="2371"/>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19022063002</v>
      </c>
    </row>
    <row r="3" spans="1:2" x14ac:dyDescent="0.2">
      <c r="A3" t="s">
        <v>955</v>
      </c>
      <c r="B3" s="138" t="str">
        <f>COVER!A15</f>
        <v>DUPAGE</v>
      </c>
    </row>
    <row r="4" spans="1:2" x14ac:dyDescent="0.2">
      <c r="A4" t="s">
        <v>1006</v>
      </c>
      <c r="B4" s="138" t="str">
        <f>COVER!A17</f>
        <v>Cass SD 63</v>
      </c>
    </row>
    <row r="5" spans="1:2" x14ac:dyDescent="0.2">
      <c r="A5" t="s">
        <v>703</v>
      </c>
      <c r="B5" s="138" t="str">
        <f>COVER!A38</f>
        <v>DR. KERRY FODERARO</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066-003289</v>
      </c>
    </row>
    <row r="16" spans="1:2" x14ac:dyDescent="0.2">
      <c r="A16" t="s">
        <v>421</v>
      </c>
      <c r="B16" s="138" t="str">
        <f>COVER!T13</f>
        <v>EVOY, KAMSCHULTE, JACOBS &amp; CO. LLP</v>
      </c>
    </row>
    <row r="17" spans="1:2" x14ac:dyDescent="0.2">
      <c r="A17" t="s">
        <v>883</v>
      </c>
      <c r="B17" s="138" t="str">
        <f>COVER!T15</f>
        <v>JAMES HENRY, CPA</v>
      </c>
    </row>
    <row r="18" spans="1:2" x14ac:dyDescent="0.2">
      <c r="A18" t="s">
        <v>1149</v>
      </c>
      <c r="B18" s="138" t="str">
        <f>COVER!T17</f>
        <v>2122 YEOMAN STREET</v>
      </c>
    </row>
    <row r="19" spans="1:2" x14ac:dyDescent="0.2">
      <c r="A19" t="s">
        <v>885</v>
      </c>
      <c r="B19" s="138" t="str">
        <f>COVER!T25</f>
        <v>JHENRY@EKJLLP.COM</v>
      </c>
    </row>
    <row r="20" spans="1:2" x14ac:dyDescent="0.2">
      <c r="A20" t="s">
        <v>886</v>
      </c>
      <c r="B20" s="138" t="str">
        <f>COVER!T19</f>
        <v>WAUKEGAN</v>
      </c>
    </row>
    <row r="21" spans="1:2" x14ac:dyDescent="0.2">
      <c r="A21" t="s">
        <v>478</v>
      </c>
      <c r="B21" s="138" t="str">
        <f>COVER!X19</f>
        <v>IL</v>
      </c>
    </row>
    <row r="22" spans="1:2" x14ac:dyDescent="0.2">
      <c r="A22" t="s">
        <v>887</v>
      </c>
      <c r="B22" s="138">
        <f>COVER!Z19</f>
        <v>60087</v>
      </c>
    </row>
    <row r="23" spans="1:2" x14ac:dyDescent="0.2">
      <c r="A23" t="s">
        <v>1151</v>
      </c>
      <c r="B23" s="138" t="str">
        <f>COVER!T21</f>
        <v>847-662-8300</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3087502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3087502</v>
      </c>
      <c r="D92" s="2" t="str">
        <f t="shared" si="0"/>
        <v>Error?</v>
      </c>
    </row>
    <row r="93" spans="1:4" x14ac:dyDescent="0.2">
      <c r="A93" s="5">
        <v>32</v>
      </c>
      <c r="B93" s="138">
        <f>'Assets-Liab 5-6'!C41</f>
        <v>3087502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532615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532615</v>
      </c>
      <c r="D123" s="2" t="str">
        <f t="shared" si="0"/>
        <v>Error?</v>
      </c>
    </row>
    <row r="124" spans="1:4" x14ac:dyDescent="0.2">
      <c r="A124" s="5">
        <v>63</v>
      </c>
      <c r="B124" s="138">
        <f>'Assets-Liab 5-6'!D41</f>
        <v>532615</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161733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161733</v>
      </c>
      <c r="D140" s="2" t="str">
        <f t="shared" si="1"/>
        <v>Error?</v>
      </c>
    </row>
    <row r="141" spans="1:4" x14ac:dyDescent="0.2">
      <c r="A141" s="5">
        <v>80</v>
      </c>
      <c r="B141" s="138">
        <f>'Assets-Liab 5-6'!E41</f>
        <v>161733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202894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202894</v>
      </c>
      <c r="D170" s="2" t="str">
        <f t="shared" si="1"/>
        <v>Error?</v>
      </c>
    </row>
    <row r="171" spans="1:4" x14ac:dyDescent="0.2">
      <c r="A171" s="5">
        <v>110</v>
      </c>
      <c r="B171" s="138">
        <f>'Assets-Liab 5-6'!F41</f>
        <v>202894</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241239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241239</v>
      </c>
      <c r="D189" s="2" t="str">
        <f t="shared" si="1"/>
        <v>Error?</v>
      </c>
    </row>
    <row r="190" spans="1:4" x14ac:dyDescent="0.2">
      <c r="A190" s="5">
        <v>129</v>
      </c>
      <c r="B190" s="138">
        <f>'Assets-Liab 5-6'!G41</f>
        <v>241239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49573</v>
      </c>
      <c r="D273" s="2" t="str">
        <f t="shared" si="3"/>
        <v>Error?</v>
      </c>
    </row>
    <row r="274" spans="1:4" x14ac:dyDescent="0.2">
      <c r="A274" s="5">
        <v>213</v>
      </c>
      <c r="B274" s="138">
        <f>'Assets-Liab 5-6'!M17</f>
        <v>5827836</v>
      </c>
      <c r="D274" s="2" t="str">
        <f t="shared" si="3"/>
        <v>Error?</v>
      </c>
    </row>
    <row r="275" spans="1:4" x14ac:dyDescent="0.2">
      <c r="A275" s="5">
        <v>214</v>
      </c>
      <c r="B275" s="138">
        <f>'Assets-Liab 5-6'!M18</f>
        <v>196964</v>
      </c>
      <c r="D275" s="2" t="str">
        <f t="shared" si="3"/>
        <v>Error?</v>
      </c>
    </row>
    <row r="276" spans="1:4" x14ac:dyDescent="0.2">
      <c r="A276" s="5">
        <v>215</v>
      </c>
      <c r="B276" s="138">
        <f>'Assets-Liab 5-6'!M19</f>
        <v>937975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7012348</v>
      </c>
      <c r="C279" s="2" t="s">
        <v>572</v>
      </c>
      <c r="D279" s="2" t="str">
        <f t="shared" si="3"/>
        <v>Error?</v>
      </c>
    </row>
    <row r="280" spans="1:4" x14ac:dyDescent="0.2">
      <c r="A280" s="5">
        <v>219</v>
      </c>
      <c r="B280" s="138">
        <f>'Assets-Liab 5-6'!M40</f>
        <v>7012348</v>
      </c>
      <c r="D280" s="2" t="str">
        <f t="shared" si="3"/>
        <v>Error?</v>
      </c>
    </row>
    <row r="281" spans="1:4" x14ac:dyDescent="0.2">
      <c r="A281" s="5">
        <v>220</v>
      </c>
      <c r="B281" s="138">
        <f>'Assets-Liab 5-6'!M41</f>
        <v>7012348</v>
      </c>
      <c r="C281" s="2" t="s">
        <v>572</v>
      </c>
      <c r="D281" s="2" t="str">
        <f t="shared" si="3"/>
        <v>Error?</v>
      </c>
    </row>
    <row r="282" spans="1:4" x14ac:dyDescent="0.2">
      <c r="A282" s="5">
        <v>221</v>
      </c>
      <c r="B282" s="138">
        <f>'Assets-Liab 5-6'!N21</f>
        <v>161733</v>
      </c>
      <c r="D282" s="2" t="str">
        <f t="shared" si="3"/>
        <v>Error?</v>
      </c>
    </row>
    <row r="283" spans="1:4" x14ac:dyDescent="0.2">
      <c r="A283" s="5">
        <v>222</v>
      </c>
      <c r="B283" s="138">
        <f>'Assets-Liab 5-6'!N22</f>
        <v>6730848</v>
      </c>
      <c r="D283" s="2" t="str">
        <f t="shared" si="3"/>
        <v>Error?</v>
      </c>
    </row>
    <row r="284" spans="1:4" x14ac:dyDescent="0.2">
      <c r="A284" s="5">
        <v>223</v>
      </c>
      <c r="B284" s="138">
        <f>'Assets-Liab 5-6'!N23</f>
        <v>6892581</v>
      </c>
      <c r="C284" s="2" t="s">
        <v>572</v>
      </c>
      <c r="D284" s="2" t="str">
        <f t="shared" si="3"/>
        <v>Error?</v>
      </c>
    </row>
    <row r="285" spans="1:4" x14ac:dyDescent="0.2">
      <c r="A285" s="5">
        <v>224</v>
      </c>
      <c r="B285" s="138">
        <f>'Assets-Liab 5-6'!N36</f>
        <v>6892581</v>
      </c>
      <c r="D285" s="2" t="str">
        <f t="shared" si="3"/>
        <v>Error?</v>
      </c>
    </row>
    <row r="286" spans="1:4" x14ac:dyDescent="0.2">
      <c r="A286" s="10">
        <v>225</v>
      </c>
      <c r="D286" s="2" t="str">
        <f t="shared" si="3"/>
        <v>OK</v>
      </c>
    </row>
    <row r="287" spans="1:4" x14ac:dyDescent="0.2">
      <c r="A287" s="5">
        <v>226</v>
      </c>
      <c r="B287" s="138">
        <f>'Assets-Liab 5-6'!N37</f>
        <v>6892581</v>
      </c>
      <c r="C287" s="2" t="s">
        <v>572</v>
      </c>
      <c r="D287" s="2" t="str">
        <f t="shared" si="3"/>
        <v>Error?</v>
      </c>
    </row>
    <row r="288" spans="1:4" x14ac:dyDescent="0.2">
      <c r="A288" s="5">
        <v>227</v>
      </c>
      <c r="B288" s="138">
        <f>'Assets-Liab 5-6'!N41</f>
        <v>6892581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3244751</v>
      </c>
      <c r="D705" s="2" t="str">
        <f t="shared" si="10"/>
        <v>Error?</v>
      </c>
    </row>
    <row r="706" spans="1:4" x14ac:dyDescent="0.2">
      <c r="A706" s="5">
        <v>645</v>
      </c>
      <c r="B706" s="138">
        <f>'Expenditures 15-22'!C16</f>
        <v>98786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4174598</v>
      </c>
      <c r="C720" s="2" t="s">
        <v>572</v>
      </c>
      <c r="D720" s="2" t="str">
        <f t="shared" si="10"/>
        <v>Error?</v>
      </c>
    </row>
    <row r="721" spans="1:4" x14ac:dyDescent="0.2">
      <c r="A721" s="5">
        <v>660</v>
      </c>
      <c r="B721" s="138">
        <f>'Expenditures 15-22'!C36</f>
        <v>67852</v>
      </c>
      <c r="D721" s="2" t="str">
        <f t="shared" si="10"/>
        <v>Error?</v>
      </c>
    </row>
    <row r="722" spans="1:4" x14ac:dyDescent="0.2">
      <c r="A722" s="5">
        <v>661</v>
      </c>
      <c r="B722" s="138">
        <f>'Expenditures 15-22'!C37</f>
        <v>149130</v>
      </c>
      <c r="D722" s="2" t="str">
        <f t="shared" si="10"/>
        <v>Error?</v>
      </c>
    </row>
    <row r="723" spans="1:4" x14ac:dyDescent="0.2">
      <c r="A723" s="5">
        <v>662</v>
      </c>
      <c r="B723" s="138">
        <f>'Expenditures 15-22'!C38</f>
        <v>57177</v>
      </c>
      <c r="D723" s="2" t="str">
        <f t="shared" si="10"/>
        <v>Error?</v>
      </c>
    </row>
    <row r="724" spans="1:4" x14ac:dyDescent="0.2">
      <c r="A724" s="5">
        <v>663</v>
      </c>
      <c r="B724" s="138">
        <f>'Expenditures 15-22'!C39</f>
        <v>64781</v>
      </c>
      <c r="D724" s="2" t="str">
        <f t="shared" si="10"/>
        <v>Error?</v>
      </c>
    </row>
    <row r="725" spans="1:4" x14ac:dyDescent="0.2">
      <c r="A725" s="5">
        <v>664</v>
      </c>
      <c r="B725" s="138">
        <f>'Expenditures 15-22'!C40</f>
        <v>174525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513465</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67971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67971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398768</v>
      </c>
      <c r="D733" s="2" t="str">
        <f t="shared" si="10"/>
        <v>Error?</v>
      </c>
    </row>
    <row r="734" spans="1:4" x14ac:dyDescent="0.2">
      <c r="A734" s="5">
        <v>673</v>
      </c>
      <c r="B734" s="138">
        <f>'Expenditures 15-22'!C53</f>
        <v>398768</v>
      </c>
      <c r="C734" s="2" t="s">
        <v>572</v>
      </c>
      <c r="D734" s="2" t="str">
        <f t="shared" si="10"/>
        <v>Error?</v>
      </c>
    </row>
    <row r="735" spans="1:4" x14ac:dyDescent="0.2">
      <c r="A735" s="5">
        <v>674</v>
      </c>
      <c r="B735" s="138">
        <f>'Expenditures 15-22'!C55</f>
        <v>424361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424361</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10040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10040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1414605</v>
      </c>
      <c r="C755" s="2" t="s">
        <v>572</v>
      </c>
      <c r="D755" s="2" t="str">
        <f t="shared" si="10"/>
        <v>Error?</v>
      </c>
    </row>
    <row r="756" spans="1:4" x14ac:dyDescent="0.2">
      <c r="A756" s="5">
        <v>695</v>
      </c>
      <c r="B756" s="138">
        <f>'Expenditures 15-22'!C75</f>
        <v>62565</v>
      </c>
      <c r="D756" s="2" t="str">
        <f t="shared" si="10"/>
        <v>Error?</v>
      </c>
    </row>
    <row r="757" spans="1:4" x14ac:dyDescent="0.2">
      <c r="A757" s="5">
        <v>696</v>
      </c>
      <c r="B757" s="138">
        <f>'Expenditures 15-22'!C114</f>
        <v>5651768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486022</v>
      </c>
      <c r="D763" s="2" t="str">
        <f t="shared" si="10"/>
        <v>Error?</v>
      </c>
    </row>
    <row r="764" spans="1:4" x14ac:dyDescent="0.2">
      <c r="A764" s="5">
        <v>703</v>
      </c>
      <c r="B764" s="138">
        <f>'Expenditures 15-22'!D16</f>
        <v>16058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665741</v>
      </c>
      <c r="C778" s="2" t="s">
        <v>572</v>
      </c>
      <c r="D778" s="2" t="str">
        <f t="shared" si="11"/>
        <v>Error?</v>
      </c>
    </row>
    <row r="779" spans="1:4" x14ac:dyDescent="0.2">
      <c r="A779" s="5">
        <v>718</v>
      </c>
      <c r="B779" s="138">
        <f>'Expenditures 15-22'!D36</f>
        <v>7610</v>
      </c>
      <c r="D779" s="2" t="str">
        <f t="shared" si="11"/>
        <v>Error?</v>
      </c>
    </row>
    <row r="780" spans="1:4" x14ac:dyDescent="0.2">
      <c r="A780" s="5">
        <v>719</v>
      </c>
      <c r="B780" s="138">
        <f>'Expenditures 15-22'!D37</f>
        <v>11290</v>
      </c>
      <c r="D780" s="2" t="str">
        <f t="shared" si="11"/>
        <v>Error?</v>
      </c>
    </row>
    <row r="781" spans="1:4" x14ac:dyDescent="0.2">
      <c r="A781" s="5">
        <v>720</v>
      </c>
      <c r="B781" s="138">
        <f>'Expenditures 15-22'!D38</f>
        <v>12415</v>
      </c>
      <c r="D781" s="2" t="str">
        <f t="shared" si="11"/>
        <v>Error?</v>
      </c>
    </row>
    <row r="782" spans="1:4" x14ac:dyDescent="0.2">
      <c r="A782" s="5">
        <v>721</v>
      </c>
      <c r="B782" s="138">
        <f>'Expenditures 15-22'!D39</f>
        <v>1101</v>
      </c>
      <c r="D782" s="2" t="str">
        <f t="shared" si="11"/>
        <v>Error?</v>
      </c>
    </row>
    <row r="783" spans="1:4" x14ac:dyDescent="0.2">
      <c r="A783" s="5">
        <v>722</v>
      </c>
      <c r="B783" s="138">
        <f>'Expenditures 15-22'!D40</f>
        <v>24684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57100</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27686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27686</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155370</v>
      </c>
      <c r="D791" s="2" t="str">
        <f t="shared" si="11"/>
        <v>Error?</v>
      </c>
    </row>
    <row r="792" spans="1:4" x14ac:dyDescent="0.2">
      <c r="A792" s="5">
        <v>731</v>
      </c>
      <c r="B792" s="138">
        <f>'Expenditures 15-22'!D53</f>
        <v>155370</v>
      </c>
      <c r="C792" s="2" t="s">
        <v>572</v>
      </c>
      <c r="D792" s="2" t="str">
        <f t="shared" si="11"/>
        <v>Error?</v>
      </c>
    </row>
    <row r="793" spans="1:4" x14ac:dyDescent="0.2">
      <c r="A793" s="5">
        <v>732</v>
      </c>
      <c r="B793" s="138">
        <f>'Expenditures 15-22'!D55</f>
        <v>178716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178716</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418872</v>
      </c>
      <c r="C813" s="2" t="s">
        <v>572</v>
      </c>
      <c r="D813" s="2" t="str">
        <f t="shared" si="11"/>
        <v>Error?</v>
      </c>
    </row>
    <row r="814" spans="1:4" x14ac:dyDescent="0.2">
      <c r="A814" s="5">
        <v>753</v>
      </c>
      <c r="B814" s="138">
        <f>'Expenditures 15-22'!D75</f>
        <v>407</v>
      </c>
      <c r="D814" s="2" t="str">
        <f t="shared" si="11"/>
        <v>Error?</v>
      </c>
    </row>
    <row r="815" spans="1:4" x14ac:dyDescent="0.2">
      <c r="A815" s="5">
        <v>754</v>
      </c>
      <c r="B815" s="138">
        <f>'Expenditures 15-22'!D114</f>
        <v>1085020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11896</v>
      </c>
      <c r="D821" s="2" t="str">
        <f t="shared" si="11"/>
        <v>Error?</v>
      </c>
    </row>
    <row r="822" spans="1:4" x14ac:dyDescent="0.2">
      <c r="A822" s="5">
        <v>761</v>
      </c>
      <c r="B822" s="138">
        <f>'Expenditures 15-22'!E16</f>
        <v>798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131429</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2673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2673</v>
      </c>
      <c r="C843" s="2" t="s">
        <v>572</v>
      </c>
      <c r="D843" s="2" t="str">
        <f t="shared" si="12"/>
        <v>Error?</v>
      </c>
    </row>
    <row r="844" spans="1:4" x14ac:dyDescent="0.2">
      <c r="A844" s="5">
        <v>783</v>
      </c>
      <c r="B844" s="138">
        <f>'Expenditures 15-22'!E44</f>
        <v>8000</v>
      </c>
      <c r="D844" s="2" t="str">
        <f t="shared" si="12"/>
        <v>Error?</v>
      </c>
    </row>
    <row r="845" spans="1:4" x14ac:dyDescent="0.2">
      <c r="A845" s="5">
        <v>784</v>
      </c>
      <c r="B845" s="138">
        <f>'Expenditures 15-22'!E45</f>
        <v>243800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251800</v>
      </c>
      <c r="C847" s="2" t="s">
        <v>572</v>
      </c>
      <c r="D847" s="2" t="str">
        <f t="shared" si="12"/>
        <v>Error?</v>
      </c>
    </row>
    <row r="848" spans="1:4" x14ac:dyDescent="0.2">
      <c r="A848" s="5">
        <v>787</v>
      </c>
      <c r="B848" s="138">
        <f>'Expenditures 15-22'!E49</f>
        <v>104078</v>
      </c>
      <c r="D848" s="2" t="str">
        <f t="shared" si="12"/>
        <v>Error?</v>
      </c>
    </row>
    <row r="849" spans="1:4" x14ac:dyDescent="0.2">
      <c r="A849" s="5">
        <v>788</v>
      </c>
      <c r="B849" s="138">
        <f>'Expenditures 15-22'!E50</f>
        <v>73116</v>
      </c>
      <c r="D849" s="2" t="str">
        <f t="shared" si="12"/>
        <v>Error?</v>
      </c>
    </row>
    <row r="850" spans="1:4" x14ac:dyDescent="0.2">
      <c r="A850" s="5">
        <v>789</v>
      </c>
      <c r="B850" s="138">
        <f>'Expenditures 15-22'!E53</f>
        <v>177194</v>
      </c>
      <c r="C850" s="2" t="s">
        <v>572</v>
      </c>
      <c r="D850" s="2" t="str">
        <f t="shared" si="12"/>
        <v>Error?</v>
      </c>
    </row>
    <row r="851" spans="1:4" x14ac:dyDescent="0.2">
      <c r="A851" s="5">
        <v>790</v>
      </c>
      <c r="B851" s="138">
        <f>'Expenditures 15-22'!E55</f>
        <v>11553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11553</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73660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143199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216859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660079</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792427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153743</v>
      </c>
      <c r="D879" s="2" t="str">
        <f t="shared" si="12"/>
        <v>Error?</v>
      </c>
    </row>
    <row r="880" spans="1:4" x14ac:dyDescent="0.2">
      <c r="A880" s="5">
        <v>819</v>
      </c>
      <c r="B880" s="138">
        <f>'Expenditures 15-22'!F16</f>
        <v>385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3121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168477</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500</v>
      </c>
      <c r="D896" s="2" t="str">
        <f t="shared" si="13"/>
        <v>Error?</v>
      </c>
    </row>
    <row r="897" spans="1:4" x14ac:dyDescent="0.2">
      <c r="A897" s="5">
        <v>836</v>
      </c>
      <c r="B897" s="138">
        <f>'Expenditures 15-22'!F38</f>
        <v>1168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792</v>
      </c>
      <c r="D899" s="2" t="str">
        <f t="shared" si="13"/>
        <v>Error?</v>
      </c>
    </row>
    <row r="900" spans="1:4" x14ac:dyDescent="0.2">
      <c r="A900" s="5">
        <v>839</v>
      </c>
      <c r="B900" s="138">
        <f>'Expenditures 15-22'!F41</f>
        <v>1852</v>
      </c>
      <c r="D900" s="2" t="str">
        <f t="shared" si="13"/>
        <v>Error?</v>
      </c>
    </row>
    <row r="901" spans="1:4" x14ac:dyDescent="0.2">
      <c r="A901" s="5">
        <v>840</v>
      </c>
      <c r="B901" s="138">
        <f>'Expenditures 15-22'!F42</f>
        <v>4312</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21003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21003</v>
      </c>
      <c r="C905" s="2" t="s">
        <v>572</v>
      </c>
      <c r="D905" s="2" t="str">
        <f t="shared" si="13"/>
        <v>Error?</v>
      </c>
    </row>
    <row r="906" spans="1:4" x14ac:dyDescent="0.2">
      <c r="A906" s="5">
        <v>845</v>
      </c>
      <c r="B906" s="138">
        <f>'Expenditures 15-22'!F49</f>
        <v>24448</v>
      </c>
      <c r="D906" s="2" t="str">
        <f t="shared" si="13"/>
        <v>Error?</v>
      </c>
    </row>
    <row r="907" spans="1:4" x14ac:dyDescent="0.2">
      <c r="A907" s="5">
        <v>846</v>
      </c>
      <c r="B907" s="138">
        <f>'Expenditures 15-22'!F50</f>
        <v>11244</v>
      </c>
      <c r="D907" s="2" t="str">
        <f t="shared" si="13"/>
        <v>Error?</v>
      </c>
    </row>
    <row r="908" spans="1:4" x14ac:dyDescent="0.2">
      <c r="A908" s="5">
        <v>847</v>
      </c>
      <c r="B908" s="138">
        <f>'Expenditures 15-22'!F53</f>
        <v>35692</v>
      </c>
      <c r="C908" s="2" t="s">
        <v>572</v>
      </c>
      <c r="D908" s="2" t="str">
        <f t="shared" si="13"/>
        <v>Error?</v>
      </c>
    </row>
    <row r="909" spans="1:4" x14ac:dyDescent="0.2">
      <c r="A909" s="5">
        <v>848</v>
      </c>
      <c r="B909" s="138">
        <f>'Expenditures 15-22'!F55</f>
        <v>1559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1559</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3107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65673</v>
      </c>
      <c r="C929" s="2" t="s">
        <v>572</v>
      </c>
      <c r="D929" s="2" t="str">
        <f t="shared" si="13"/>
        <v>Error?</v>
      </c>
    </row>
    <row r="930" spans="1:4" x14ac:dyDescent="0.2">
      <c r="A930" s="5">
        <v>869</v>
      </c>
      <c r="B930" s="138">
        <f>'Expenditures 15-22'!F75</f>
        <v>3223</v>
      </c>
      <c r="D930" s="2" t="str">
        <f t="shared" si="13"/>
        <v>Error?</v>
      </c>
    </row>
    <row r="931" spans="1:4" x14ac:dyDescent="0.2">
      <c r="A931" s="5">
        <v>870</v>
      </c>
      <c r="B931" s="138">
        <f>'Expenditures 15-22'!F114</f>
        <v>237373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14320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14320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174375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174375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966</v>
      </c>
      <c r="D967" s="2" t="str">
        <f t="shared" si="14"/>
        <v>Error?</v>
      </c>
    </row>
    <row r="968" spans="1:4" x14ac:dyDescent="0.2">
      <c r="A968" s="5">
        <v>907</v>
      </c>
      <c r="B968" s="138">
        <f>'Expenditures 15-22'!G56</f>
        <v>0</v>
      </c>
      <c r="D968" s="2" t="str">
        <f t="shared" si="14"/>
        <v>Error?</v>
      </c>
    </row>
    <row r="969" spans="1:4" x14ac:dyDescent="0.2">
      <c r="A969" s="5">
        <v>908</v>
      </c>
      <c r="B969" s="138">
        <f>'Expenditures 15-22'!G57</f>
        <v>966</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175341</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189661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10335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64078</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11721</v>
      </c>
      <c r="D1022" s="2" t="str">
        <f t="shared" si="14"/>
        <v>Error?</v>
      </c>
    </row>
    <row r="1023" spans="1:4" x14ac:dyDescent="0.2">
      <c r="A1023" s="5">
        <v>962</v>
      </c>
      <c r="B1023" s="138">
        <f>'Expenditures 15-22'!H50</f>
        <v>5551</v>
      </c>
      <c r="D1023" s="2" t="str">
        <f t="shared" ref="D1023:D1086" si="15">IF(ISBLANK(B1023),"OK",IF(A1023-B1023=0,"OK","Error?"))</f>
        <v>Error?</v>
      </c>
    </row>
    <row r="1024" spans="1:4" x14ac:dyDescent="0.2">
      <c r="A1024" s="5">
        <v>963</v>
      </c>
      <c r="B1024" s="138">
        <f>'Expenditures 15-22'!H53</f>
        <v>17272</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17272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969675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1051025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3910732</v>
      </c>
      <c r="C1093" s="2" t="s">
        <v>572</v>
      </c>
      <c r="D1093" s="2" t="str">
        <f t="shared" si="16"/>
        <v>Error?</v>
      </c>
    </row>
    <row r="1094" spans="1:4" x14ac:dyDescent="0.2">
      <c r="A1094" s="5">
        <v>1033</v>
      </c>
      <c r="B1094" s="138">
        <f>'Expenditures 15-22'!K16</f>
        <v>116027</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13456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5218643</v>
      </c>
      <c r="C1108" s="2" t="s">
        <v>572</v>
      </c>
      <c r="D1108" s="2" t="str">
        <f t="shared" si="16"/>
        <v>Error?</v>
      </c>
    </row>
    <row r="1109" spans="1:4" x14ac:dyDescent="0.2">
      <c r="A1109" s="5">
        <v>1048</v>
      </c>
      <c r="B1109" s="138">
        <f>'Expenditures 15-22'!K36</f>
        <v>75462</v>
      </c>
      <c r="C1109" s="2" t="s">
        <v>572</v>
      </c>
      <c r="D1109" s="2" t="str">
        <f t="shared" si="16"/>
        <v>Error?</v>
      </c>
    </row>
    <row r="1110" spans="1:4" x14ac:dyDescent="0.2">
      <c r="A1110" s="5">
        <v>1049</v>
      </c>
      <c r="B1110" s="138">
        <f>'Expenditures 15-22'!K37</f>
        <v>160920</v>
      </c>
      <c r="C1110" s="2" t="s">
        <v>572</v>
      </c>
      <c r="D1110" s="2" t="str">
        <f t="shared" si="16"/>
        <v>Error?</v>
      </c>
    </row>
    <row r="1111" spans="1:4" x14ac:dyDescent="0.2">
      <c r="A1111" s="5">
        <v>1050</v>
      </c>
      <c r="B1111" s="138">
        <f>'Expenditures 15-22'!K38</f>
        <v>73433</v>
      </c>
      <c r="C1111" s="2" t="s">
        <v>572</v>
      </c>
      <c r="D1111" s="2" t="str">
        <f t="shared" si="16"/>
        <v>Error?</v>
      </c>
    </row>
    <row r="1112" spans="1:4" x14ac:dyDescent="0.2">
      <c r="A1112" s="5">
        <v>1051</v>
      </c>
      <c r="B1112" s="138">
        <f>'Expenditures 15-22'!K39</f>
        <v>65882</v>
      </c>
      <c r="C1112" s="2" t="s">
        <v>572</v>
      </c>
      <c r="D1112" s="2" t="str">
        <f t="shared" si="16"/>
        <v>Error?</v>
      </c>
    </row>
    <row r="1113" spans="1:4" x14ac:dyDescent="0.2">
      <c r="A1113" s="5">
        <v>1052</v>
      </c>
      <c r="B1113" s="138">
        <f>'Expenditures 15-22'!K40</f>
        <v>200001</v>
      </c>
      <c r="C1113" s="2" t="s">
        <v>572</v>
      </c>
      <c r="D1113" s="2" t="str">
        <f t="shared" si="16"/>
        <v>Error?</v>
      </c>
    </row>
    <row r="1114" spans="1:4" x14ac:dyDescent="0.2">
      <c r="A1114" s="5">
        <v>1053</v>
      </c>
      <c r="B1114" s="138">
        <f>'Expenditures 15-22'!K41</f>
        <v>1852</v>
      </c>
      <c r="C1114" s="2" t="s">
        <v>572</v>
      </c>
      <c r="D1114" s="2" t="str">
        <f t="shared" si="16"/>
        <v>Error?</v>
      </c>
    </row>
    <row r="1115" spans="1:4" x14ac:dyDescent="0.2">
      <c r="A1115" s="5">
        <v>1054</v>
      </c>
      <c r="B1115" s="138">
        <f>'Expenditures 15-22'!K42</f>
        <v>577550</v>
      </c>
      <c r="C1115" s="2" t="s">
        <v>572</v>
      </c>
      <c r="D1115" s="2" t="str">
        <f t="shared" si="16"/>
        <v>Error?</v>
      </c>
    </row>
    <row r="1116" spans="1:4" x14ac:dyDescent="0.2">
      <c r="A1116" s="5">
        <v>1055</v>
      </c>
      <c r="B1116" s="138">
        <f>'Expenditures 15-22'!K44</f>
        <v>8000</v>
      </c>
      <c r="C1116" s="2" t="s">
        <v>572</v>
      </c>
      <c r="D1116" s="2" t="str">
        <f t="shared" si="16"/>
        <v>Error?</v>
      </c>
    </row>
    <row r="1117" spans="1:4" x14ac:dyDescent="0.2">
      <c r="A1117" s="5">
        <v>1056</v>
      </c>
      <c r="B1117" s="138">
        <f>'Expenditures 15-22'!K45</f>
        <v>534835</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542835</v>
      </c>
      <c r="C1119" s="2" t="s">
        <v>572</v>
      </c>
      <c r="D1119" s="2" t="str">
        <f t="shared" si="16"/>
        <v>Error?</v>
      </c>
    </row>
    <row r="1120" spans="1:4" x14ac:dyDescent="0.2">
      <c r="A1120" s="5">
        <v>1059</v>
      </c>
      <c r="B1120" s="138">
        <f>'Expenditures 15-22'!K49</f>
        <v>140247</v>
      </c>
      <c r="C1120" s="2" t="s">
        <v>572</v>
      </c>
      <c r="D1120" s="2" t="str">
        <f t="shared" si="16"/>
        <v>Error?</v>
      </c>
    </row>
    <row r="1121" spans="1:4" x14ac:dyDescent="0.2">
      <c r="A1121" s="5">
        <v>1060</v>
      </c>
      <c r="B1121" s="138">
        <f>'Expenditures 15-22'!K50</f>
        <v>644049</v>
      </c>
      <c r="C1121" s="2" t="s">
        <v>572</v>
      </c>
      <c r="D1121" s="2" t="str">
        <f t="shared" si="16"/>
        <v>Error?</v>
      </c>
    </row>
    <row r="1122" spans="1:4" x14ac:dyDescent="0.2">
      <c r="A1122" s="5">
        <v>1061</v>
      </c>
      <c r="B1122" s="138">
        <f>'Expenditures 15-22'!K53</f>
        <v>784296</v>
      </c>
      <c r="C1122" s="2" t="s">
        <v>572</v>
      </c>
      <c r="D1122" s="2" t="str">
        <f t="shared" si="16"/>
        <v>Error?</v>
      </c>
    </row>
    <row r="1123" spans="1:4" x14ac:dyDescent="0.2">
      <c r="A1123" s="5">
        <v>1062</v>
      </c>
      <c r="B1123" s="138">
        <f>'Expenditures 15-22'!K55</f>
        <v>617155</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617155</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73660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156346</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230006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2751842</v>
      </c>
      <c r="C1143" s="2" t="s">
        <v>572</v>
      </c>
      <c r="D1143" s="2" t="str">
        <f t="shared" si="16"/>
        <v>Error?</v>
      </c>
    </row>
    <row r="1144" spans="1:4" x14ac:dyDescent="0.2">
      <c r="A1144" s="5">
        <v>1083</v>
      </c>
      <c r="B1144" s="138">
        <f>'Expenditures 15-22'!K75</f>
        <v>66195</v>
      </c>
      <c r="C1144" s="2" t="s">
        <v>572</v>
      </c>
      <c r="D1144" s="2" t="str">
        <f t="shared" si="16"/>
        <v>Error?</v>
      </c>
    </row>
    <row r="1145" spans="1:4" x14ac:dyDescent="0.2">
      <c r="A1145" s="5">
        <v>1084</v>
      </c>
      <c r="B1145" s="138">
        <f>'Expenditures 15-22'!K102</f>
        <v>970594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9007274</v>
      </c>
      <c r="C1152" s="2" t="s">
        <v>572</v>
      </c>
      <c r="D1152" s="2" t="str">
        <f t="shared" si="17"/>
        <v>Error?</v>
      </c>
    </row>
    <row r="1153" spans="1:4" x14ac:dyDescent="0.2">
      <c r="A1153" s="5">
        <v>1092</v>
      </c>
      <c r="B1153" s="138">
        <f>'Expenditures 15-22'!K115</f>
        <v>649765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294799</v>
      </c>
      <c r="D1221" s="2" t="str">
        <f t="shared" si="18"/>
        <v>Error?</v>
      </c>
    </row>
    <row r="1222" spans="1:4" x14ac:dyDescent="0.2">
      <c r="A1222" s="10">
        <v>1161</v>
      </c>
      <c r="D1222" s="2" t="str">
        <f t="shared" si="18"/>
        <v>OK</v>
      </c>
    </row>
    <row r="1223" spans="1:4" x14ac:dyDescent="0.2">
      <c r="A1223" s="5">
        <v>1162</v>
      </c>
      <c r="B1223" s="138">
        <f>'Expenditures 15-22'!C127</f>
        <v>294799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294799</v>
      </c>
      <c r="C1225" s="2" t="s">
        <v>572</v>
      </c>
      <c r="D1225" s="2" t="str">
        <f t="shared" si="18"/>
        <v>Error?</v>
      </c>
    </row>
    <row r="1226" spans="1:4" x14ac:dyDescent="0.2">
      <c r="A1226" s="5">
        <v>1165</v>
      </c>
      <c r="B1226" s="138">
        <f>'Expenditures 15-22'!C151</f>
        <v>294799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56443</v>
      </c>
      <c r="D1229" s="2" t="str">
        <f t="shared" si="18"/>
        <v>Error?</v>
      </c>
    </row>
    <row r="1230" spans="1:4" x14ac:dyDescent="0.2">
      <c r="A1230" s="10">
        <v>1169</v>
      </c>
      <c r="D1230" s="2" t="str">
        <f t="shared" si="18"/>
        <v>OK</v>
      </c>
    </row>
    <row r="1231" spans="1:4" x14ac:dyDescent="0.2">
      <c r="A1231" s="5">
        <v>1170</v>
      </c>
      <c r="B1231" s="138">
        <f>'Expenditures 15-22'!D127</f>
        <v>56443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56443</v>
      </c>
      <c r="C1233" s="2" t="s">
        <v>572</v>
      </c>
      <c r="D1233" s="2" t="str">
        <f t="shared" si="18"/>
        <v>Error?</v>
      </c>
    </row>
    <row r="1234" spans="1:4" x14ac:dyDescent="0.2">
      <c r="A1234" s="5">
        <v>1173</v>
      </c>
      <c r="B1234" s="138">
        <f>'Expenditures 15-22'!D151</f>
        <v>56443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225231</v>
      </c>
      <c r="D1237" s="2" t="str">
        <f t="shared" si="18"/>
        <v>Error?</v>
      </c>
    </row>
    <row r="1238" spans="1:4" x14ac:dyDescent="0.2">
      <c r="A1238" s="10">
        <v>1177</v>
      </c>
      <c r="D1238" s="2" t="str">
        <f t="shared" si="18"/>
        <v>OK</v>
      </c>
    </row>
    <row r="1239" spans="1:4" x14ac:dyDescent="0.2">
      <c r="A1239" s="5">
        <v>1178</v>
      </c>
      <c r="B1239" s="138">
        <f>'Expenditures 15-22'!E127</f>
        <v>225231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225231</v>
      </c>
      <c r="C1241" s="2" t="s">
        <v>572</v>
      </c>
      <c r="D1241" s="2" t="str">
        <f t="shared" si="18"/>
        <v>Error?</v>
      </c>
    </row>
    <row r="1242" spans="1:4" x14ac:dyDescent="0.2">
      <c r="A1242" s="5">
        <v>1181</v>
      </c>
      <c r="B1242" s="138">
        <f>'Expenditures 15-22'!E151</f>
        <v>225231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249631</v>
      </c>
      <c r="D1245" s="2" t="str">
        <f t="shared" si="18"/>
        <v>Error?</v>
      </c>
    </row>
    <row r="1246" spans="1:4" x14ac:dyDescent="0.2">
      <c r="A1246" s="10">
        <v>1185</v>
      </c>
      <c r="D1246" s="2" t="str">
        <f t="shared" si="18"/>
        <v>OK</v>
      </c>
    </row>
    <row r="1247" spans="1:4" x14ac:dyDescent="0.2">
      <c r="A1247" s="5">
        <v>1186</v>
      </c>
      <c r="B1247" s="138">
        <f>'Expenditures 15-22'!F127</f>
        <v>249631</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249631</v>
      </c>
      <c r="C1249" s="2" t="s">
        <v>572</v>
      </c>
      <c r="D1249" s="2" t="str">
        <f t="shared" si="18"/>
        <v>Error?</v>
      </c>
    </row>
    <row r="1250" spans="1:4" x14ac:dyDescent="0.2">
      <c r="A1250" s="5">
        <v>1189</v>
      </c>
      <c r="B1250" s="138">
        <f>'Expenditures 15-22'!F151</f>
        <v>249631</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13174</v>
      </c>
      <c r="D1252" s="2" t="str">
        <f t="shared" si="18"/>
        <v>Error?</v>
      </c>
    </row>
    <row r="1253" spans="1:4" x14ac:dyDescent="0.2">
      <c r="A1253" s="5">
        <v>1192</v>
      </c>
      <c r="B1253" s="138">
        <f>'Expenditures 15-22'!G124</f>
        <v>368534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381708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381708</v>
      </c>
      <c r="C1258" s="2" t="s">
        <v>572</v>
      </c>
      <c r="D1258" s="2" t="str">
        <f t="shared" si="18"/>
        <v>Error?</v>
      </c>
    </row>
    <row r="1259" spans="1:4" x14ac:dyDescent="0.2">
      <c r="A1259" s="5">
        <v>1198</v>
      </c>
      <c r="B1259" s="138">
        <f>'Expenditures 15-22'!G151</f>
        <v>381708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109934</v>
      </c>
      <c r="C1272" s="2" t="s">
        <v>572</v>
      </c>
      <c r="D1272" s="2" t="str">
        <f t="shared" si="18"/>
        <v>Error?</v>
      </c>
    </row>
    <row r="1273" spans="1:4" x14ac:dyDescent="0.2">
      <c r="A1273" s="5">
        <v>1212</v>
      </c>
      <c r="B1273" s="138">
        <f>'Expenditures 15-22'!H151</f>
        <v>109934</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13174</v>
      </c>
      <c r="C1275" s="2" t="s">
        <v>572</v>
      </c>
      <c r="D1275" s="2" t="str">
        <f t="shared" si="18"/>
        <v>Error?</v>
      </c>
    </row>
    <row r="1276" spans="1:4" x14ac:dyDescent="0.2">
      <c r="A1276" s="5">
        <v>1215</v>
      </c>
      <c r="B1276" s="138">
        <f>'Expenditures 15-22'!K124</f>
        <v>1194638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1207812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1207812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109934</v>
      </c>
      <c r="C1287" s="2" t="s">
        <v>572</v>
      </c>
      <c r="D1287" s="2" t="str">
        <f t="shared" si="19"/>
        <v>Error?</v>
      </c>
    </row>
    <row r="1288" spans="1:4" x14ac:dyDescent="0.2">
      <c r="A1288" s="5">
        <v>1227</v>
      </c>
      <c r="B1288" s="138">
        <f>'Expenditures 15-22'!K151</f>
        <v>1317746</v>
      </c>
      <c r="C1288" s="2" t="s">
        <v>572</v>
      </c>
      <c r="D1288" s="2" t="str">
        <f t="shared" si="19"/>
        <v>Error?</v>
      </c>
    </row>
    <row r="1289" spans="1:4" x14ac:dyDescent="0.2">
      <c r="A1289" s="5">
        <v>1228</v>
      </c>
      <c r="B1289" s="138">
        <f>'Expenditures 15-22'!K152</f>
        <v>-92836</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250577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477245</v>
      </c>
      <c r="D1315" s="2" t="str">
        <f t="shared" si="19"/>
        <v>Error?</v>
      </c>
    </row>
    <row r="1316" spans="1:4" x14ac:dyDescent="0.2">
      <c r="A1316" s="5">
        <v>1255</v>
      </c>
      <c r="B1316" s="138">
        <f>'Expenditures 15-22'!H171</f>
        <v>2450</v>
      </c>
      <c r="D1316" s="2" t="str">
        <f t="shared" si="19"/>
        <v>Error?</v>
      </c>
    </row>
    <row r="1317" spans="1:4" x14ac:dyDescent="0.2">
      <c r="A1317" s="5">
        <v>1256</v>
      </c>
      <c r="B1317" s="138">
        <f>'Expenditures 15-22'!H172</f>
        <v>730272</v>
      </c>
      <c r="C1317" s="2" t="s">
        <v>572</v>
      </c>
      <c r="D1317" s="2" t="str">
        <f t="shared" si="19"/>
        <v>Error?</v>
      </c>
    </row>
    <row r="1318" spans="1:4" x14ac:dyDescent="0.2">
      <c r="A1318" s="5">
        <v>1257</v>
      </c>
      <c r="B1318" s="138">
        <f>'Expenditures 15-22'!H174</f>
        <v>730272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250577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477245</v>
      </c>
      <c r="C1329" s="2" t="s">
        <v>572</v>
      </c>
      <c r="D1329" s="2" t="str">
        <f t="shared" si="19"/>
        <v>Error?</v>
      </c>
    </row>
    <row r="1330" spans="1:4" x14ac:dyDescent="0.2">
      <c r="A1330" s="5">
        <v>1269</v>
      </c>
      <c r="B1330" s="138">
        <f>'Expenditures 15-22'!K171</f>
        <v>2450</v>
      </c>
      <c r="C1330" s="2" t="s">
        <v>572</v>
      </c>
      <c r="D1330" s="2" t="str">
        <f t="shared" si="19"/>
        <v>Error?</v>
      </c>
    </row>
    <row r="1331" spans="1:4" x14ac:dyDescent="0.2">
      <c r="A1331" s="5">
        <v>1270</v>
      </c>
      <c r="B1331" s="138">
        <f>'Expenditures 15-22'!K172</f>
        <v>730272</v>
      </c>
      <c r="C1331" s="2" t="s">
        <v>572</v>
      </c>
      <c r="D1331" s="2" t="str">
        <f t="shared" si="19"/>
        <v>Error?</v>
      </c>
    </row>
    <row r="1332" spans="1:4" x14ac:dyDescent="0.2">
      <c r="A1332" s="5">
        <v>1271</v>
      </c>
      <c r="B1332" s="138">
        <f>'Expenditures 15-22'!K174</f>
        <v>730272</v>
      </c>
      <c r="C1332" s="2" t="s">
        <v>572</v>
      </c>
      <c r="D1332" s="2" t="str">
        <f t="shared" si="19"/>
        <v>Error?</v>
      </c>
    </row>
    <row r="1333" spans="1:4" x14ac:dyDescent="0.2">
      <c r="A1333" s="5">
        <v>1272</v>
      </c>
      <c r="B1333" s="138">
        <f>'Expenditures 15-22'!K175</f>
        <v>-407055</v>
      </c>
      <c r="C1333" s="2" t="s">
        <v>572</v>
      </c>
      <c r="D1333" s="2" t="str">
        <f t="shared" si="19"/>
        <v>Error?</v>
      </c>
    </row>
    <row r="1334" spans="1:4" x14ac:dyDescent="0.2">
      <c r="A1334" s="10">
        <v>1273</v>
      </c>
      <c r="D1334" s="2" t="str">
        <f t="shared" si="19"/>
        <v>OK</v>
      </c>
    </row>
    <row r="1335" spans="1:4" x14ac:dyDescent="0.2">
      <c r="A1335" s="5">
        <v>1274</v>
      </c>
      <c r="B1335" s="138">
        <f>'Expenditures 15-22'!C182</f>
        <v>176117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176117</v>
      </c>
      <c r="C1339" s="2" t="s">
        <v>572</v>
      </c>
      <c r="D1339" s="2" t="str">
        <f t="shared" si="19"/>
        <v>Error?</v>
      </c>
    </row>
    <row r="1340" spans="1:4" x14ac:dyDescent="0.2">
      <c r="A1340" s="5">
        <v>1279</v>
      </c>
      <c r="B1340" s="138">
        <f>'Expenditures 15-22'!C210</f>
        <v>176117</v>
      </c>
      <c r="C1340" s="2" t="s">
        <v>572</v>
      </c>
      <c r="D1340" s="2" t="str">
        <f t="shared" si="19"/>
        <v>Error?</v>
      </c>
    </row>
    <row r="1341" spans="1:4" x14ac:dyDescent="0.2">
      <c r="A1341" s="5">
        <v>1280</v>
      </c>
      <c r="B1341" s="138">
        <f>'Expenditures 15-22'!D182</f>
        <v>15870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15870</v>
      </c>
      <c r="C1345" s="2" t="s">
        <v>572</v>
      </c>
      <c r="D1345" s="2" t="str">
        <f t="shared" si="20"/>
        <v>Error?</v>
      </c>
    </row>
    <row r="1346" spans="1:4" x14ac:dyDescent="0.2">
      <c r="A1346" s="5">
        <v>1285</v>
      </c>
      <c r="B1346" s="138">
        <f>'Expenditures 15-22'!D210</f>
        <v>15870</v>
      </c>
      <c r="C1346" s="2" t="s">
        <v>572</v>
      </c>
      <c r="D1346" s="2" t="str">
        <f t="shared" si="20"/>
        <v>Error?</v>
      </c>
    </row>
    <row r="1347" spans="1:4" x14ac:dyDescent="0.2">
      <c r="A1347" s="5">
        <v>1286</v>
      </c>
      <c r="B1347" s="138">
        <f>'Expenditures 15-22'!E182</f>
        <v>111417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111417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111417</v>
      </c>
      <c r="C1353" s="2" t="s">
        <v>572</v>
      </c>
      <c r="D1353" s="2" t="str">
        <f t="shared" si="20"/>
        <v>Error?</v>
      </c>
    </row>
    <row r="1354" spans="1:4" x14ac:dyDescent="0.2">
      <c r="A1354" s="5">
        <v>1293</v>
      </c>
      <c r="B1354" s="138">
        <f>'Expenditures 15-22'!F182</f>
        <v>33598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33598</v>
      </c>
      <c r="C1358" s="2" t="s">
        <v>572</v>
      </c>
      <c r="D1358" s="2" t="str">
        <f t="shared" si="20"/>
        <v>Error?</v>
      </c>
    </row>
    <row r="1359" spans="1:4" x14ac:dyDescent="0.2">
      <c r="A1359" s="5">
        <v>1298</v>
      </c>
      <c r="B1359" s="138">
        <f>'Expenditures 15-22'!F210</f>
        <v>33598</v>
      </c>
      <c r="C1359" s="2" t="s">
        <v>572</v>
      </c>
      <c r="D1359" s="2" t="str">
        <f t="shared" si="20"/>
        <v>Error?</v>
      </c>
    </row>
    <row r="1360" spans="1:4" x14ac:dyDescent="0.2">
      <c r="A1360" s="5">
        <v>1299</v>
      </c>
      <c r="B1360" s="138">
        <f>'Expenditures 15-22'!G182</f>
        <v>161958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161958</v>
      </c>
      <c r="C1364" s="2" t="s">
        <v>572</v>
      </c>
      <c r="D1364" s="2" t="str">
        <f t="shared" si="20"/>
        <v>Error?</v>
      </c>
    </row>
    <row r="1365" spans="1:4" x14ac:dyDescent="0.2">
      <c r="A1365" s="5">
        <v>1304</v>
      </c>
      <c r="B1365" s="138">
        <f>'Expenditures 15-22'!G210</f>
        <v>161958</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99073</v>
      </c>
      <c r="C1375" s="2" t="s">
        <v>572</v>
      </c>
      <c r="D1375" s="2" t="str">
        <f t="shared" si="20"/>
        <v>Error?</v>
      </c>
    </row>
    <row r="1376" spans="1:4" x14ac:dyDescent="0.2">
      <c r="A1376" s="5">
        <v>1315</v>
      </c>
      <c r="B1376" s="138">
        <f>'Expenditures 15-22'!H210</f>
        <v>99073</v>
      </c>
      <c r="C1376" s="2" t="s">
        <v>572</v>
      </c>
      <c r="D1376" s="2" t="str">
        <f t="shared" si="20"/>
        <v>Error?</v>
      </c>
    </row>
    <row r="1377" spans="1:4" x14ac:dyDescent="0.2">
      <c r="A1377" s="5">
        <v>1316</v>
      </c>
      <c r="B1377" s="138">
        <f>'Expenditures 15-22'!K182</f>
        <v>498960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498960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99073</v>
      </c>
      <c r="C1387" s="2" t="s">
        <v>572</v>
      </c>
      <c r="D1387" s="2" t="str">
        <f t="shared" si="20"/>
        <v>Error?</v>
      </c>
    </row>
    <row r="1388" spans="1:4" x14ac:dyDescent="0.2">
      <c r="A1388" s="5">
        <v>1327</v>
      </c>
      <c r="B1388" s="138">
        <f>'Expenditures 15-22'!K210</f>
        <v>598033</v>
      </c>
      <c r="C1388" s="2" t="s">
        <v>572</v>
      </c>
      <c r="D1388" s="2" t="str">
        <f t="shared" si="20"/>
        <v>Error?</v>
      </c>
    </row>
    <row r="1389" spans="1:4" x14ac:dyDescent="0.2">
      <c r="A1389" s="5">
        <v>1328</v>
      </c>
      <c r="B1389" s="138">
        <f>'Expenditures 15-22'!K211</f>
        <v>-68972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1432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104430</v>
      </c>
      <c r="C1410" s="2" t="s">
        <v>572</v>
      </c>
      <c r="D1410" s="2" t="str">
        <f t="shared" si="21"/>
        <v>Error?</v>
      </c>
    </row>
    <row r="1411" spans="1:4" x14ac:dyDescent="0.2">
      <c r="A1411" s="5">
        <v>1350</v>
      </c>
      <c r="B1411" s="138">
        <f>'Expenditures 15-22'!D232</f>
        <v>984</v>
      </c>
      <c r="D1411" s="2" t="str">
        <f t="shared" si="21"/>
        <v>Error?</v>
      </c>
    </row>
    <row r="1412" spans="1:4" x14ac:dyDescent="0.2">
      <c r="A1412" s="5">
        <v>1351</v>
      </c>
      <c r="B1412" s="138">
        <f>'Expenditures 15-22'!D233</f>
        <v>2162</v>
      </c>
      <c r="D1412" s="2" t="str">
        <f t="shared" si="21"/>
        <v>Error?</v>
      </c>
    </row>
    <row r="1413" spans="1:4" x14ac:dyDescent="0.2">
      <c r="A1413" s="5">
        <v>1352</v>
      </c>
      <c r="B1413" s="138">
        <f>'Expenditures 15-22'!D234</f>
        <v>10235</v>
      </c>
      <c r="D1413" s="2" t="str">
        <f t="shared" si="21"/>
        <v>Error?</v>
      </c>
    </row>
    <row r="1414" spans="1:4" x14ac:dyDescent="0.2">
      <c r="A1414" s="5">
        <v>1353</v>
      </c>
      <c r="B1414" s="138">
        <f>'Expenditures 15-22'!D235</f>
        <v>939</v>
      </c>
      <c r="D1414" s="2" t="str">
        <f t="shared" si="21"/>
        <v>Error?</v>
      </c>
    </row>
    <row r="1415" spans="1:4" x14ac:dyDescent="0.2">
      <c r="A1415" s="5">
        <v>1354</v>
      </c>
      <c r="B1415" s="138">
        <f>'Expenditures 15-22'!D236</f>
        <v>2531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16851</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12387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12387</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49554</v>
      </c>
      <c r="D1423" s="2" t="str">
        <f t="shared" si="21"/>
        <v>Error?</v>
      </c>
    </row>
    <row r="1424" spans="1:4" x14ac:dyDescent="0.2">
      <c r="A1424" s="5">
        <v>1363</v>
      </c>
      <c r="B1424" s="138">
        <f>'Expenditures 15-22'!D257</f>
        <v>49554</v>
      </c>
      <c r="C1424" s="2" t="s">
        <v>572</v>
      </c>
      <c r="D1424" s="2" t="str">
        <f t="shared" si="21"/>
        <v>Error?</v>
      </c>
    </row>
    <row r="1425" spans="1:4" x14ac:dyDescent="0.2">
      <c r="A1425" s="5">
        <v>1364</v>
      </c>
      <c r="B1425" s="138">
        <f>'Expenditures 15-22'!D259</f>
        <v>23994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23994</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58604</v>
      </c>
      <c r="D1431" s="2" t="str">
        <f t="shared" si="21"/>
        <v>Error?</v>
      </c>
    </row>
    <row r="1432" spans="1:4" x14ac:dyDescent="0.2">
      <c r="A1432" s="5">
        <v>1371</v>
      </c>
      <c r="B1432" s="138">
        <f>'Expenditures 15-22'!D267</f>
        <v>31932</v>
      </c>
      <c r="D1432" s="2" t="str">
        <f t="shared" si="21"/>
        <v>Error?</v>
      </c>
    </row>
    <row r="1433" spans="1:4" x14ac:dyDescent="0.2">
      <c r="A1433" s="5">
        <v>1372</v>
      </c>
      <c r="B1433" s="138">
        <f>'Expenditures 15-22'!D268</f>
        <v>1827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92363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195149</v>
      </c>
      <c r="C1446" s="2" t="s">
        <v>572</v>
      </c>
      <c r="D1446" s="2" t="str">
        <f t="shared" si="21"/>
        <v>Error?</v>
      </c>
    </row>
    <row r="1447" spans="1:4" x14ac:dyDescent="0.2">
      <c r="A1447" s="5">
        <v>1386</v>
      </c>
      <c r="B1447" s="138">
        <f>'Expenditures 15-22'!D280</f>
        <v>8083</v>
      </c>
      <c r="D1447" s="2" t="str">
        <f t="shared" si="21"/>
        <v>Error?</v>
      </c>
    </row>
    <row r="1448" spans="1:4" x14ac:dyDescent="0.2">
      <c r="A1448" s="5">
        <v>1387</v>
      </c>
      <c r="B1448" s="138">
        <f>'Expenditures 15-22'!D295</f>
        <v>307662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1432</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104430</v>
      </c>
      <c r="C1474" s="2" t="s">
        <v>572</v>
      </c>
      <c r="D1474" s="2" t="str">
        <f t="shared" si="22"/>
        <v>Error?</v>
      </c>
    </row>
    <row r="1475" spans="1:4" x14ac:dyDescent="0.2">
      <c r="A1475" s="5">
        <v>1414</v>
      </c>
      <c r="B1475" s="138">
        <f>'Expenditures 15-22'!K232</f>
        <v>984</v>
      </c>
      <c r="C1475" s="2" t="s">
        <v>572</v>
      </c>
      <c r="D1475" s="2" t="str">
        <f t="shared" si="22"/>
        <v>Error?</v>
      </c>
    </row>
    <row r="1476" spans="1:4" x14ac:dyDescent="0.2">
      <c r="A1476" s="5">
        <v>1415</v>
      </c>
      <c r="B1476" s="138">
        <f>'Expenditures 15-22'!K233</f>
        <v>2162</v>
      </c>
      <c r="C1476" s="2" t="s">
        <v>572</v>
      </c>
      <c r="D1476" s="2" t="str">
        <f t="shared" si="22"/>
        <v>Error?</v>
      </c>
    </row>
    <row r="1477" spans="1:4" x14ac:dyDescent="0.2">
      <c r="A1477" s="5">
        <v>1416</v>
      </c>
      <c r="B1477" s="138">
        <f>'Expenditures 15-22'!K234</f>
        <v>10235</v>
      </c>
      <c r="C1477" s="2" t="s">
        <v>572</v>
      </c>
      <c r="D1477" s="2" t="str">
        <f t="shared" si="22"/>
        <v>Error?</v>
      </c>
    </row>
    <row r="1478" spans="1:4" x14ac:dyDescent="0.2">
      <c r="A1478" s="5">
        <v>1417</v>
      </c>
      <c r="B1478" s="138">
        <f>'Expenditures 15-22'!K235</f>
        <v>939</v>
      </c>
      <c r="C1478" s="2" t="s">
        <v>572</v>
      </c>
      <c r="D1478" s="2" t="str">
        <f t="shared" si="22"/>
        <v>Error?</v>
      </c>
    </row>
    <row r="1479" spans="1:4" x14ac:dyDescent="0.2">
      <c r="A1479" s="5">
        <v>1418</v>
      </c>
      <c r="B1479" s="138">
        <f>'Expenditures 15-22'!K236</f>
        <v>2531</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16851</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12387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12387</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49554</v>
      </c>
      <c r="C1487" s="2" t="s">
        <v>572</v>
      </c>
      <c r="D1487" s="2" t="str">
        <f t="shared" si="22"/>
        <v>Error?</v>
      </c>
    </row>
    <row r="1488" spans="1:4" x14ac:dyDescent="0.2">
      <c r="A1488" s="5">
        <v>1427</v>
      </c>
      <c r="B1488" s="138">
        <f>'Expenditures 15-22'!K257</f>
        <v>49554</v>
      </c>
      <c r="C1488" s="2" t="s">
        <v>572</v>
      </c>
      <c r="D1488" s="2" t="str">
        <f t="shared" si="22"/>
        <v>Error?</v>
      </c>
    </row>
    <row r="1489" spans="1:4" x14ac:dyDescent="0.2">
      <c r="A1489" s="5">
        <v>1428</v>
      </c>
      <c r="B1489" s="138">
        <f>'Expenditures 15-22'!K259</f>
        <v>23994</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23994</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58604</v>
      </c>
      <c r="C1495" s="2" t="s">
        <v>572</v>
      </c>
      <c r="D1495" s="2" t="str">
        <f t="shared" si="22"/>
        <v>Error?</v>
      </c>
    </row>
    <row r="1496" spans="1:4" x14ac:dyDescent="0.2">
      <c r="A1496" s="5">
        <v>1435</v>
      </c>
      <c r="B1496" s="138">
        <f>'Expenditures 15-22'!K267</f>
        <v>31932</v>
      </c>
      <c r="C1496" s="2" t="s">
        <v>572</v>
      </c>
      <c r="D1496" s="2" t="str">
        <f t="shared" si="22"/>
        <v>Error?</v>
      </c>
    </row>
    <row r="1497" spans="1:4" x14ac:dyDescent="0.2">
      <c r="A1497" s="5">
        <v>1436</v>
      </c>
      <c r="B1497" s="138">
        <f>'Expenditures 15-22'!K268</f>
        <v>1827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92363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195149</v>
      </c>
      <c r="C1510" s="2" t="s">
        <v>572</v>
      </c>
      <c r="D1510" s="2" t="str">
        <f t="shared" si="22"/>
        <v>Error?</v>
      </c>
    </row>
    <row r="1511" spans="1:4" x14ac:dyDescent="0.2">
      <c r="A1511" s="5">
        <v>1450</v>
      </c>
      <c r="B1511" s="138">
        <f>'Expenditures 15-22'!K280</f>
        <v>8083</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307662</v>
      </c>
      <c r="C1517" s="2" t="s">
        <v>572</v>
      </c>
      <c r="D1517" s="2" t="str">
        <f t="shared" si="22"/>
        <v>Error?</v>
      </c>
    </row>
    <row r="1518" spans="1:4" x14ac:dyDescent="0.2">
      <c r="A1518" s="5">
        <v>1457</v>
      </c>
      <c r="B1518" s="138">
        <f>'Expenditures 15-22'!K296</f>
        <v>-10774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646859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646859</v>
      </c>
      <c r="C1547" s="2" t="s">
        <v>572</v>
      </c>
      <c r="D1547" s="2" t="str">
        <f t="shared" si="23"/>
        <v>Error?</v>
      </c>
    </row>
    <row r="1548" spans="1:4" x14ac:dyDescent="0.2">
      <c r="A1548" s="5">
        <v>1487</v>
      </c>
      <c r="B1548" s="138">
        <f>'Expenditures 15-22'!G312</f>
        <v>646859</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646859</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646859</v>
      </c>
      <c r="C1559" s="2" t="s">
        <v>572</v>
      </c>
      <c r="D1559" s="2" t="str">
        <f t="shared" si="23"/>
        <v>Error?</v>
      </c>
    </row>
    <row r="1560" spans="1:4" x14ac:dyDescent="0.2">
      <c r="A1560" s="5">
        <v>1499</v>
      </c>
      <c r="B1560" s="138">
        <f>'Expenditures 15-22'!K312</f>
        <v>646859</v>
      </c>
      <c r="C1560" s="2" t="s">
        <v>572</v>
      </c>
      <c r="D1560" s="2" t="str">
        <f t="shared" si="23"/>
        <v>Error?</v>
      </c>
    </row>
    <row r="1561" spans="1:4" x14ac:dyDescent="0.2">
      <c r="A1561" s="5">
        <v>1500</v>
      </c>
      <c r="B1561" s="138">
        <f>'Expenditures 15-22'!K313</f>
        <v>-646859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2381509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3087502</v>
      </c>
      <c r="C1630" s="2" t="s">
        <v>572</v>
      </c>
      <c r="D1630" s="2" t="str">
        <f t="shared" si="24"/>
        <v>Error?</v>
      </c>
    </row>
    <row r="1631" spans="1:4" x14ac:dyDescent="0.2">
      <c r="A1631" s="5">
        <v>1570</v>
      </c>
      <c r="B1631" s="138">
        <f>'Acct Summary 7-8'!D79</f>
        <v>929505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532615</v>
      </c>
      <c r="C1644" s="2" t="s">
        <v>572</v>
      </c>
      <c r="D1644" s="2" t="str">
        <f t="shared" si="24"/>
        <v>Error?</v>
      </c>
    </row>
    <row r="1645" spans="1:4" x14ac:dyDescent="0.2">
      <c r="A1645" s="5">
        <v>1584</v>
      </c>
      <c r="B1645" s="138">
        <f>'Acct Summary 7-8'!E79</f>
        <v>170166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161733</v>
      </c>
      <c r="C1658" s="2" t="s">
        <v>572</v>
      </c>
      <c r="D1658" s="2" t="str">
        <f t="shared" si="24"/>
        <v>Error?</v>
      </c>
    </row>
    <row r="1659" spans="1:4" x14ac:dyDescent="0.2">
      <c r="A1659" s="5">
        <v>1598</v>
      </c>
      <c r="B1659" s="138">
        <f>'Acct Summary 7-8'!F79</f>
        <v>109908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202894</v>
      </c>
      <c r="C1672" s="2" t="s">
        <v>572</v>
      </c>
      <c r="D1672" s="2" t="str">
        <f t="shared" si="25"/>
        <v>Error?</v>
      </c>
    </row>
    <row r="1673" spans="1:4" x14ac:dyDescent="0.2">
      <c r="A1673" s="5">
        <v>1612</v>
      </c>
      <c r="B1673" s="138">
        <f>'Acct Summary 7-8'!G79</f>
        <v>252013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241239</v>
      </c>
      <c r="C1686" s="2" t="s">
        <v>572</v>
      </c>
      <c r="D1686" s="2" t="str">
        <f t="shared" si="25"/>
        <v>Error?</v>
      </c>
    </row>
    <row r="1687" spans="1:4" x14ac:dyDescent="0.2">
      <c r="A1687" s="5">
        <v>1626</v>
      </c>
      <c r="B1687" s="138">
        <f>'Acct Summary 7-8'!H79</f>
        <v>646859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7540862</v>
      </c>
      <c r="C1744" s="2" t="s">
        <v>572</v>
      </c>
      <c r="D1744" s="2" t="str">
        <f t="shared" si="26"/>
        <v>Error?</v>
      </c>
    </row>
    <row r="1745" spans="1:5" x14ac:dyDescent="0.2">
      <c r="A1745" s="5">
        <v>1684</v>
      </c>
      <c r="B1745" s="138">
        <f>'Tax Sched 23'!B5</f>
        <v>914782</v>
      </c>
      <c r="C1745" s="2" t="s">
        <v>572</v>
      </c>
      <c r="D1745" s="2" t="str">
        <f t="shared" si="26"/>
        <v>Error?</v>
      </c>
    </row>
    <row r="1746" spans="1:5" x14ac:dyDescent="0.2">
      <c r="A1746" s="5">
        <v>1685</v>
      </c>
      <c r="B1746" s="138">
        <f>'Tax Sched 23'!B6</f>
        <v>322980</v>
      </c>
      <c r="C1746" s="2" t="s">
        <v>572</v>
      </c>
      <c r="D1746" s="2" t="str">
        <f t="shared" si="26"/>
        <v>Error?</v>
      </c>
    </row>
    <row r="1747" spans="1:5" x14ac:dyDescent="0.2">
      <c r="A1747" s="5">
        <v>1686</v>
      </c>
      <c r="B1747" s="138">
        <f>'Tax Sched 23'!B7</f>
        <v>159664</v>
      </c>
      <c r="C1747" s="2" t="s">
        <v>572</v>
      </c>
      <c r="D1747" s="2" t="str">
        <f t="shared" si="26"/>
        <v>Error?</v>
      </c>
    </row>
    <row r="1748" spans="1:5" x14ac:dyDescent="0.2">
      <c r="A1748" s="5">
        <v>1687</v>
      </c>
      <c r="B1748" s="138">
        <f>'Tax Sched 23'!B8</f>
        <v>132295</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74378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9307312</v>
      </c>
      <c r="C1759" s="2" t="s">
        <v>572</v>
      </c>
      <c r="D1759" s="2" t="str">
        <f t="shared" si="26"/>
        <v>Error?</v>
      </c>
    </row>
    <row r="1760" spans="1:5" x14ac:dyDescent="0.2">
      <c r="A1760" s="5">
        <v>1699</v>
      </c>
      <c r="B1760" s="138">
        <f>'Tax Sched 23'!D4</f>
        <v>3560949</v>
      </c>
      <c r="C1760" s="2" t="s">
        <v>572</v>
      </c>
      <c r="D1760" s="2" t="str">
        <f t="shared" si="26"/>
        <v>Error?</v>
      </c>
    </row>
    <row r="1761" spans="1:5" x14ac:dyDescent="0.2">
      <c r="A1761" s="5">
        <v>1700</v>
      </c>
      <c r="B1761" s="138">
        <f>'Tax Sched 23'!D5</f>
        <v>431925</v>
      </c>
      <c r="C1761" s="2" t="s">
        <v>572</v>
      </c>
      <c r="D1761" s="2" t="str">
        <f t="shared" si="26"/>
        <v>Error?</v>
      </c>
    </row>
    <row r="1762" spans="1:5" s="8" customFormat="1" x14ac:dyDescent="0.2">
      <c r="A1762" s="5">
        <v>1701</v>
      </c>
      <c r="B1762" s="138">
        <f>'Tax Sched 23'!D6</f>
        <v>152675</v>
      </c>
      <c r="C1762" s="2" t="s">
        <v>572</v>
      </c>
      <c r="D1762" s="2" t="str">
        <f t="shared" si="26"/>
        <v>Error?</v>
      </c>
      <c r="E1762" s="9"/>
    </row>
    <row r="1763" spans="1:5" x14ac:dyDescent="0.2">
      <c r="A1763" s="5">
        <v>1702</v>
      </c>
      <c r="B1763" s="138">
        <f>'Tax Sched 23'!D7</f>
        <v>75316</v>
      </c>
      <c r="C1763" s="2" t="s">
        <v>572</v>
      </c>
      <c r="D1763" s="2" t="str">
        <f t="shared" si="26"/>
        <v>Error?</v>
      </c>
    </row>
    <row r="1764" spans="1:5" x14ac:dyDescent="0.2">
      <c r="A1764" s="5">
        <v>1703</v>
      </c>
      <c r="B1764" s="138">
        <f>'Tax Sched 23'!D8</f>
        <v>62422</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35063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4394923</v>
      </c>
      <c r="C1775" s="2" t="s">
        <v>572</v>
      </c>
      <c r="D1775" s="2" t="str">
        <f t="shared" si="26"/>
        <v>Error?</v>
      </c>
    </row>
    <row r="1776" spans="1:5" x14ac:dyDescent="0.2">
      <c r="A1776" s="5">
        <v>1715</v>
      </c>
      <c r="B1776" s="138">
        <f>'Tax Sched 23'!C4</f>
        <v>3979913</v>
      </c>
      <c r="D1776" s="2" t="str">
        <f t="shared" si="26"/>
        <v>Error?</v>
      </c>
    </row>
    <row r="1777" spans="1:4" x14ac:dyDescent="0.2">
      <c r="A1777" s="5">
        <v>1716</v>
      </c>
      <c r="B1777" s="138">
        <f>'Tax Sched 23'!C5</f>
        <v>482857</v>
      </c>
      <c r="D1777" s="2" t="str">
        <f t="shared" si="26"/>
        <v>Error?</v>
      </c>
    </row>
    <row r="1778" spans="1:4" x14ac:dyDescent="0.2">
      <c r="A1778" s="5">
        <v>1717</v>
      </c>
      <c r="B1778" s="138">
        <f>'Tax Sched 23'!C6</f>
        <v>170305</v>
      </c>
      <c r="D1778" s="2" t="str">
        <f t="shared" si="26"/>
        <v>Error?</v>
      </c>
    </row>
    <row r="1779" spans="1:4" x14ac:dyDescent="0.2">
      <c r="A1779" s="5">
        <v>1718</v>
      </c>
      <c r="B1779" s="138">
        <f>'Tax Sched 23'!C7</f>
        <v>84348</v>
      </c>
      <c r="D1779" s="2" t="str">
        <f t="shared" si="26"/>
        <v>Error?</v>
      </c>
    </row>
    <row r="1780" spans="1:4" x14ac:dyDescent="0.2">
      <c r="A1780" s="5">
        <v>1719</v>
      </c>
      <c r="B1780" s="138">
        <f>'Tax Sched 23'!C8</f>
        <v>69873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39315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4912389</v>
      </c>
      <c r="C1791" s="2" t="s">
        <v>572</v>
      </c>
      <c r="D1791" s="2" t="str">
        <f t="shared" ref="D1791:D1854" si="27">IF(ISBLANK(B1791),"OK",IF(A1791-B1791=0,"OK","Error?"))</f>
        <v>Error?</v>
      </c>
    </row>
    <row r="1792" spans="1:4" x14ac:dyDescent="0.2">
      <c r="A1792" s="5">
        <v>1731</v>
      </c>
      <c r="B1792" s="138">
        <f>'Tax Sched 23'!F4</f>
        <v>3746126</v>
      </c>
      <c r="C1792" s="2" t="s">
        <v>572</v>
      </c>
      <c r="D1792" s="2" t="str">
        <f t="shared" si="27"/>
        <v>Error?</v>
      </c>
    </row>
    <row r="1793" spans="1:4" x14ac:dyDescent="0.2">
      <c r="A1793" s="5">
        <v>1732</v>
      </c>
      <c r="B1793" s="138">
        <f>'Tax Sched 23'!F5</f>
        <v>454495</v>
      </c>
      <c r="C1793" s="2" t="s">
        <v>572</v>
      </c>
      <c r="D1793" s="2" t="str">
        <f t="shared" si="27"/>
        <v>Error?</v>
      </c>
    </row>
    <row r="1794" spans="1:4" x14ac:dyDescent="0.2">
      <c r="A1794" s="5">
        <v>1733</v>
      </c>
      <c r="B1794" s="138">
        <f>'Tax Sched 23'!F6</f>
        <v>160300</v>
      </c>
      <c r="C1794" s="2" t="s">
        <v>572</v>
      </c>
      <c r="D1794" s="2" t="str">
        <f t="shared" si="27"/>
        <v>Error?</v>
      </c>
    </row>
    <row r="1795" spans="1:4" x14ac:dyDescent="0.2">
      <c r="A1795" s="5">
        <v>1734</v>
      </c>
      <c r="B1795" s="138">
        <f>'Tax Sched 23'!F7</f>
        <v>79394</v>
      </c>
      <c r="C1795" s="2" t="s">
        <v>572</v>
      </c>
      <c r="D1795" s="2" t="str">
        <f t="shared" si="27"/>
        <v>Error?</v>
      </c>
    </row>
    <row r="1796" spans="1:4" x14ac:dyDescent="0.2">
      <c r="A1796" s="5">
        <v>1735</v>
      </c>
      <c r="B1796" s="138">
        <f>'Tax Sched 23'!F8</f>
        <v>65769</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37005</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4623828</v>
      </c>
      <c r="C1807" s="2" t="s">
        <v>572</v>
      </c>
      <c r="D1807" s="2" t="str">
        <f t="shared" si="27"/>
        <v>Error?</v>
      </c>
    </row>
    <row r="1808" spans="1:4" x14ac:dyDescent="0.2">
      <c r="A1808" s="5">
        <v>1747</v>
      </c>
      <c r="B1808" s="138">
        <f>'Tax Sched 23'!E4</f>
        <v>7726039</v>
      </c>
      <c r="D1808" s="2" t="str">
        <f t="shared" si="27"/>
        <v>Error?</v>
      </c>
    </row>
    <row r="1809" spans="1:4" x14ac:dyDescent="0.2">
      <c r="A1809" s="5">
        <v>1748</v>
      </c>
      <c r="B1809" s="138">
        <f>'Tax Sched 23'!E5</f>
        <v>937352</v>
      </c>
      <c r="D1809" s="2" t="str">
        <f t="shared" si="27"/>
        <v>Error?</v>
      </c>
    </row>
    <row r="1810" spans="1:4" x14ac:dyDescent="0.2">
      <c r="A1810" s="5">
        <v>1749</v>
      </c>
      <c r="B1810" s="138">
        <f>'Tax Sched 23'!E6</f>
        <v>330605</v>
      </c>
      <c r="D1810" s="2" t="str">
        <f t="shared" si="27"/>
        <v>Error?</v>
      </c>
    </row>
    <row r="1811" spans="1:4" x14ac:dyDescent="0.2">
      <c r="A1811" s="5">
        <v>1750</v>
      </c>
      <c r="B1811" s="138">
        <f>'Tax Sched 23'!E7</f>
        <v>163742</v>
      </c>
      <c r="D1811" s="2" t="str">
        <f t="shared" si="27"/>
        <v>Error?</v>
      </c>
    </row>
    <row r="1812" spans="1:4" x14ac:dyDescent="0.2">
      <c r="A1812" s="5">
        <v>1751</v>
      </c>
      <c r="B1812" s="138">
        <f>'Tax Sched 23'!E8</f>
        <v>135642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76320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9536217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7150562</v>
      </c>
      <c r="C1939" s="2" t="s">
        <v>572</v>
      </c>
      <c r="D1939" s="2" t="str">
        <f t="shared" si="29"/>
        <v>Error?</v>
      </c>
    </row>
    <row r="1940" spans="1:5" x14ac:dyDescent="0.2">
      <c r="A1940" s="5">
        <v>1879</v>
      </c>
      <c r="B1940" s="138">
        <f>'Short-Term Long-Term Debt 24'!F49</f>
        <v>312754</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74378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74378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74378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49573</v>
      </c>
      <c r="D2008" s="2" t="str">
        <f t="shared" si="30"/>
        <v>Error?</v>
      </c>
    </row>
    <row r="2009" spans="1:4" x14ac:dyDescent="0.2">
      <c r="A2009" s="5">
        <v>1948</v>
      </c>
      <c r="B2009" s="138">
        <f>'Cap Outlay Deprec 26'!C8</f>
        <v>12318659</v>
      </c>
      <c r="D2009" s="2" t="str">
        <f t="shared" si="30"/>
        <v>Error?</v>
      </c>
    </row>
    <row r="2010" spans="1:4" x14ac:dyDescent="0.2">
      <c r="A2010" s="5">
        <v>1949</v>
      </c>
      <c r="B2010" s="138">
        <f>'Cap Outlay Deprec 26'!C10</f>
        <v>564901</v>
      </c>
      <c r="D2010" s="2" t="str">
        <f t="shared" si="30"/>
        <v>Error?</v>
      </c>
    </row>
    <row r="2011" spans="1:4" x14ac:dyDescent="0.2">
      <c r="A2011" s="5">
        <v>1950</v>
      </c>
      <c r="B2011" s="138">
        <f>'Cap Outlay Deprec 26'!C12</f>
        <v>5122831</v>
      </c>
      <c r="D2011" s="2" t="str">
        <f t="shared" si="30"/>
        <v>Error?</v>
      </c>
    </row>
    <row r="2012" spans="1:4" x14ac:dyDescent="0.2">
      <c r="A2012" s="5">
        <v>1951</v>
      </c>
      <c r="B2012" s="138">
        <f>'Cap Outlay Deprec 26'!C13</f>
        <v>743892</v>
      </c>
      <c r="D2012" s="2" t="str">
        <f t="shared" si="30"/>
        <v>Error?</v>
      </c>
    </row>
    <row r="2013" spans="1:4" x14ac:dyDescent="0.2">
      <c r="A2013" s="5">
        <v>1952</v>
      </c>
      <c r="B2013" s="138">
        <f>'Cap Outlay Deprec 26'!C16</f>
        <v>19926129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2066492</v>
      </c>
      <c r="D2015" s="2" t="str">
        <f t="shared" si="30"/>
        <v>Error?</v>
      </c>
    </row>
    <row r="2016" spans="1:4" x14ac:dyDescent="0.2">
      <c r="A2016" s="5">
        <v>1955</v>
      </c>
      <c r="B2016" s="138">
        <f>'Cap Outlay Deprec 26'!D10</f>
        <v>88348</v>
      </c>
      <c r="D2016" s="2" t="str">
        <f t="shared" si="30"/>
        <v>Error?</v>
      </c>
    </row>
    <row r="2017" spans="1:4" x14ac:dyDescent="0.2">
      <c r="A2017" s="5">
        <v>1956</v>
      </c>
      <c r="B2017" s="138">
        <f>'Cap Outlay Deprec 26'!D12</f>
        <v>189661</v>
      </c>
      <c r="D2017" s="2" t="str">
        <f t="shared" si="30"/>
        <v>Error?</v>
      </c>
    </row>
    <row r="2018" spans="1:4" x14ac:dyDescent="0.2">
      <c r="A2018" s="5">
        <v>1957</v>
      </c>
      <c r="B2018" s="138">
        <f>'Cap Outlay Deprec 26'!D13</f>
        <v>161958</v>
      </c>
      <c r="D2018" s="2" t="str">
        <f t="shared" si="30"/>
        <v>Error?</v>
      </c>
    </row>
    <row r="2019" spans="1:4" x14ac:dyDescent="0.2">
      <c r="A2019" s="5">
        <v>1958</v>
      </c>
      <c r="B2019" s="138">
        <f>'Cap Outlay Deprec 26'!D16</f>
        <v>3258460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1878274</v>
      </c>
      <c r="C2025" s="2" t="s">
        <v>572</v>
      </c>
      <c r="D2025" s="2" t="str">
        <f t="shared" si="30"/>
        <v>Error?</v>
      </c>
    </row>
    <row r="2026" spans="1:4" x14ac:dyDescent="0.2">
      <c r="A2026" s="5">
        <v>1965</v>
      </c>
      <c r="B2026" s="138">
        <f>'Cap Outlay Deprec 26'!F5</f>
        <v>49573</v>
      </c>
      <c r="C2026" s="2" t="s">
        <v>572</v>
      </c>
      <c r="D2026" s="2" t="str">
        <f t="shared" si="30"/>
        <v>Error?</v>
      </c>
    </row>
    <row r="2027" spans="1:4" x14ac:dyDescent="0.2">
      <c r="A2027" s="5">
        <v>1966</v>
      </c>
      <c r="B2027" s="138">
        <f>'Cap Outlay Deprec 26'!F8</f>
        <v>14385151</v>
      </c>
      <c r="C2027" s="2" t="s">
        <v>572</v>
      </c>
      <c r="D2027" s="2" t="str">
        <f t="shared" si="30"/>
        <v>Error?</v>
      </c>
    </row>
    <row r="2028" spans="1:4" x14ac:dyDescent="0.2">
      <c r="A2028" s="5">
        <v>1967</v>
      </c>
      <c r="B2028" s="138">
        <f>'Cap Outlay Deprec 26'!F10</f>
        <v>653249</v>
      </c>
      <c r="C2028" s="2" t="s">
        <v>572</v>
      </c>
      <c r="D2028" s="2" t="str">
        <f t="shared" si="30"/>
        <v>Error?</v>
      </c>
    </row>
    <row r="2029" spans="1:4" x14ac:dyDescent="0.2">
      <c r="A2029" s="5">
        <v>1968</v>
      </c>
      <c r="B2029" s="138">
        <f>'Cap Outlay Deprec 26'!F12</f>
        <v>5312492</v>
      </c>
      <c r="C2029" s="2" t="s">
        <v>572</v>
      </c>
      <c r="D2029" s="2" t="str">
        <f t="shared" si="30"/>
        <v>Error?</v>
      </c>
    </row>
    <row r="2030" spans="1:4" x14ac:dyDescent="0.2">
      <c r="A2030" s="5">
        <v>1969</v>
      </c>
      <c r="B2030" s="138">
        <f>'Cap Outlay Deprec 26'!F13</f>
        <v>905850</v>
      </c>
      <c r="C2030" s="2" t="s">
        <v>572</v>
      </c>
      <c r="D2030" s="2" t="str">
        <f t="shared" si="30"/>
        <v>Error?</v>
      </c>
    </row>
    <row r="2031" spans="1:4" x14ac:dyDescent="0.2">
      <c r="A2031" s="5">
        <v>1970</v>
      </c>
      <c r="B2031" s="138">
        <f>'Cap Outlay Deprec 26'!F16</f>
        <v>21306315</v>
      </c>
      <c r="C2031" s="2" t="s">
        <v>572</v>
      </c>
      <c r="D2031" s="2" t="str">
        <f t="shared" si="30"/>
        <v>Error?</v>
      </c>
    </row>
    <row r="2032" spans="1:4" x14ac:dyDescent="0.2">
      <c r="A2032" s="10">
        <v>1971</v>
      </c>
      <c r="D2032" s="2" t="str">
        <f t="shared" si="30"/>
        <v>OK</v>
      </c>
    </row>
    <row r="2033" spans="1:4" x14ac:dyDescent="0.2">
      <c r="A2033" s="5">
        <v>1972</v>
      </c>
      <c r="B2033" s="138">
        <f>'Cap Outlay Deprec 26'!H8</f>
        <v>8135767</v>
      </c>
      <c r="D2033" s="2" t="str">
        <f t="shared" si="30"/>
        <v>Error?</v>
      </c>
    </row>
    <row r="2034" spans="1:4" x14ac:dyDescent="0.2">
      <c r="A2034" s="5">
        <v>1973</v>
      </c>
      <c r="B2034" s="138">
        <f>'Cap Outlay Deprec 26'!H10</f>
        <v>442084</v>
      </c>
      <c r="D2034" s="2" t="str">
        <f t="shared" si="30"/>
        <v>Error?</v>
      </c>
    </row>
    <row r="2035" spans="1:4" x14ac:dyDescent="0.2">
      <c r="A2035" s="5">
        <v>1974</v>
      </c>
      <c r="B2035" s="138">
        <f>'Cap Outlay Deprec 26'!H12</f>
        <v>4436799</v>
      </c>
      <c r="D2035" s="2" t="str">
        <f t="shared" si="30"/>
        <v>Error?</v>
      </c>
    </row>
    <row r="2036" spans="1:4" x14ac:dyDescent="0.2">
      <c r="A2036" s="5">
        <v>1975</v>
      </c>
      <c r="B2036" s="138">
        <f>'Cap Outlay Deprec 26'!H13</f>
        <v>506030</v>
      </c>
      <c r="D2036" s="2" t="str">
        <f t="shared" si="30"/>
        <v>Error?</v>
      </c>
    </row>
    <row r="2037" spans="1:4" x14ac:dyDescent="0.2">
      <c r="A2037" s="5">
        <v>1976</v>
      </c>
      <c r="B2037" s="138">
        <f>'Cap Outlay Deprec 26'!H16</f>
        <v>13520680</v>
      </c>
      <c r="C2037" s="2" t="s">
        <v>572</v>
      </c>
      <c r="D2037" s="2" t="str">
        <f t="shared" si="30"/>
        <v>Error?</v>
      </c>
    </row>
    <row r="2038" spans="1:4" x14ac:dyDescent="0.2">
      <c r="A2038" s="10">
        <v>1977</v>
      </c>
      <c r="D2038" s="2" t="str">
        <f t="shared" si="30"/>
        <v>OK</v>
      </c>
    </row>
    <row r="2039" spans="1:4" x14ac:dyDescent="0.2">
      <c r="A2039" s="5">
        <v>1978</v>
      </c>
      <c r="B2039" s="138">
        <f>'Cap Outlay Deprec 26'!I8</f>
        <v>421548</v>
      </c>
      <c r="D2039" s="2" t="str">
        <f t="shared" si="30"/>
        <v>Error?</v>
      </c>
    </row>
    <row r="2040" spans="1:4" x14ac:dyDescent="0.2">
      <c r="A2040" s="5">
        <v>1979</v>
      </c>
      <c r="B2040" s="138">
        <f>'Cap Outlay Deprec 26'!I10</f>
        <v>14201</v>
      </c>
      <c r="D2040" s="2" t="str">
        <f t="shared" si="30"/>
        <v>Error?</v>
      </c>
    </row>
    <row r="2041" spans="1:4" x14ac:dyDescent="0.2">
      <c r="A2041" s="5">
        <v>1980</v>
      </c>
      <c r="B2041" s="138">
        <f>'Cap Outlay Deprec 26'!I12</f>
        <v>249639</v>
      </c>
      <c r="D2041" s="2" t="str">
        <f t="shared" si="30"/>
        <v>Error?</v>
      </c>
    </row>
    <row r="2042" spans="1:4" x14ac:dyDescent="0.2">
      <c r="A2042" s="5">
        <v>1981</v>
      </c>
      <c r="B2042" s="138">
        <f>'Cap Outlay Deprec 26'!I13</f>
        <v>87899</v>
      </c>
      <c r="D2042" s="2" t="str">
        <f t="shared" si="30"/>
        <v>Error?</v>
      </c>
    </row>
    <row r="2043" spans="1:4" x14ac:dyDescent="0.2">
      <c r="A2043" s="5">
        <v>1982</v>
      </c>
      <c r="B2043" s="138">
        <f>'Cap Outlay Deprec 26'!I16</f>
        <v>773287</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8557315</v>
      </c>
      <c r="C2051" s="2" t="s">
        <v>572</v>
      </c>
      <c r="D2051" s="2" t="str">
        <f t="shared" si="31"/>
        <v>Error?</v>
      </c>
    </row>
    <row r="2052" spans="1:4" x14ac:dyDescent="0.2">
      <c r="A2052" s="5">
        <v>1991</v>
      </c>
      <c r="B2052" s="138">
        <f>'Cap Outlay Deprec 26'!K10</f>
        <v>456285</v>
      </c>
      <c r="C2052" s="2" t="s">
        <v>572</v>
      </c>
      <c r="D2052" s="2" t="str">
        <f t="shared" si="31"/>
        <v>Error?</v>
      </c>
    </row>
    <row r="2053" spans="1:4" x14ac:dyDescent="0.2">
      <c r="A2053" s="5">
        <v>1992</v>
      </c>
      <c r="B2053" s="138">
        <f>'Cap Outlay Deprec 26'!K12</f>
        <v>4686438</v>
      </c>
      <c r="C2053" s="2" t="s">
        <v>572</v>
      </c>
      <c r="D2053" s="2" t="str">
        <f t="shared" si="31"/>
        <v>Error?</v>
      </c>
    </row>
    <row r="2054" spans="1:4" x14ac:dyDescent="0.2">
      <c r="A2054" s="5">
        <v>1993</v>
      </c>
      <c r="B2054" s="138">
        <f>'Cap Outlay Deprec 26'!K13</f>
        <v>593929</v>
      </c>
      <c r="C2054" s="2" t="s">
        <v>572</v>
      </c>
      <c r="D2054" s="2" t="str">
        <f t="shared" si="31"/>
        <v>Error?</v>
      </c>
    </row>
    <row r="2055" spans="1:4" x14ac:dyDescent="0.2">
      <c r="A2055" s="5">
        <v>1994</v>
      </c>
      <c r="B2055" s="138">
        <f>'Cap Outlay Deprec 26'!K16</f>
        <v>14293967</v>
      </c>
      <c r="C2055" s="2" t="s">
        <v>572</v>
      </c>
      <c r="D2055" s="2" t="str">
        <f t="shared" si="31"/>
        <v>Error?</v>
      </c>
    </row>
    <row r="2056" spans="1:4" x14ac:dyDescent="0.2">
      <c r="A2056" s="5">
        <v>1995</v>
      </c>
      <c r="B2056" s="138">
        <f>'Cap Outlay Deprec 26'!L5</f>
        <v>49573</v>
      </c>
      <c r="C2056" s="2" t="s">
        <v>572</v>
      </c>
      <c r="D2056" s="2" t="str">
        <f t="shared" si="31"/>
        <v>Error?</v>
      </c>
    </row>
    <row r="2057" spans="1:4" x14ac:dyDescent="0.2">
      <c r="A2057" s="5">
        <v>1996</v>
      </c>
      <c r="B2057" s="138">
        <f>'Cap Outlay Deprec 26'!L8</f>
        <v>5827836</v>
      </c>
      <c r="C2057" s="2" t="s">
        <v>572</v>
      </c>
      <c r="D2057" s="2" t="str">
        <f t="shared" si="31"/>
        <v>Error?</v>
      </c>
    </row>
    <row r="2058" spans="1:4" x14ac:dyDescent="0.2">
      <c r="A2058" s="5">
        <v>1997</v>
      </c>
      <c r="B2058" s="138">
        <f>'Cap Outlay Deprec 26'!L10</f>
        <v>196964</v>
      </c>
      <c r="C2058" s="2" t="s">
        <v>572</v>
      </c>
      <c r="D2058" s="2" t="str">
        <f t="shared" si="31"/>
        <v>Error?</v>
      </c>
    </row>
    <row r="2059" spans="1:4" x14ac:dyDescent="0.2">
      <c r="A2059" s="5">
        <v>1998</v>
      </c>
      <c r="B2059" s="138">
        <f>'Cap Outlay Deprec 26'!L12</f>
        <v>626054</v>
      </c>
      <c r="C2059" s="2" t="s">
        <v>572</v>
      </c>
      <c r="D2059" s="2" t="str">
        <f t="shared" si="31"/>
        <v>Error?</v>
      </c>
    </row>
    <row r="2060" spans="1:4" x14ac:dyDescent="0.2">
      <c r="A2060" s="5">
        <v>1999</v>
      </c>
      <c r="B2060" s="138">
        <f>'Cap Outlay Deprec 26'!L13</f>
        <v>311921</v>
      </c>
      <c r="C2060" s="2" t="s">
        <v>572</v>
      </c>
      <c r="D2060" s="2" t="str">
        <f t="shared" si="31"/>
        <v>Error?</v>
      </c>
    </row>
    <row r="2061" spans="1:4" x14ac:dyDescent="0.2">
      <c r="A2061" s="5">
        <v>2000</v>
      </c>
      <c r="B2061" s="138">
        <f>'Cap Outlay Deprec 26'!L16</f>
        <v>7012348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306522</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307441</v>
      </c>
      <c r="C2088" s="2" t="s">
        <v>572</v>
      </c>
      <c r="D2088" s="2" t="str">
        <f t="shared" si="31"/>
        <v>Error?</v>
      </c>
    </row>
    <row r="2089" spans="1:4" x14ac:dyDescent="0.2">
      <c r="A2089" s="5">
        <v>2028</v>
      </c>
      <c r="B2089" s="138">
        <f>'Expenditures 15-22'!K92</f>
        <v>663153</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8235548</v>
      </c>
      <c r="C2551" s="2" t="s">
        <v>572</v>
      </c>
      <c r="D2551" s="2" t="str">
        <f t="shared" si="38"/>
        <v>Error?</v>
      </c>
    </row>
    <row r="2552" spans="1:4" x14ac:dyDescent="0.2">
      <c r="A2552" s="10">
        <v>2491</v>
      </c>
      <c r="D2552" s="2" t="str">
        <f t="shared" si="38"/>
        <v>OK</v>
      </c>
    </row>
    <row r="2553" spans="1:4" x14ac:dyDescent="0.2">
      <c r="A2553" s="5">
        <v>2492</v>
      </c>
      <c r="B2553" s="138">
        <f>'Acct Summary 7-8'!C6</f>
        <v>665623</v>
      </c>
      <c r="C2553" s="2" t="s">
        <v>572</v>
      </c>
      <c r="D2553" s="2" t="str">
        <f t="shared" si="38"/>
        <v>Error?</v>
      </c>
    </row>
    <row r="2554" spans="1:4" x14ac:dyDescent="0.2">
      <c r="A2554" s="5">
        <v>2493</v>
      </c>
      <c r="B2554" s="138">
        <f>'Acct Summary 7-8'!C7</f>
        <v>755868</v>
      </c>
      <c r="C2554" s="2" t="s">
        <v>572</v>
      </c>
      <c r="D2554" s="2" t="str">
        <f t="shared" si="38"/>
        <v>Error?</v>
      </c>
    </row>
    <row r="2555" spans="1:4" x14ac:dyDescent="0.2">
      <c r="A2555" s="5">
        <v>2494</v>
      </c>
      <c r="B2555" s="138">
        <f>'Acct Summary 7-8'!C8</f>
        <v>9657039</v>
      </c>
      <c r="C2555" s="2" t="s">
        <v>572</v>
      </c>
      <c r="D2555" s="2" t="str">
        <f t="shared" si="38"/>
        <v>Error?</v>
      </c>
    </row>
    <row r="2556" spans="1:4" x14ac:dyDescent="0.2">
      <c r="A2556" s="5">
        <v>2495</v>
      </c>
      <c r="B2556" s="138">
        <f>'Acct Summary 7-8'!C12</f>
        <v>5218643</v>
      </c>
      <c r="C2556" s="2" t="s">
        <v>572</v>
      </c>
      <c r="D2556" s="2" t="str">
        <f t="shared" si="38"/>
        <v>Error?</v>
      </c>
    </row>
    <row r="2557" spans="1:4" x14ac:dyDescent="0.2">
      <c r="A2557" s="5">
        <v>2496</v>
      </c>
      <c r="B2557" s="138">
        <f>'Acct Summary 7-8'!C13</f>
        <v>2751842</v>
      </c>
      <c r="C2557" s="2" t="s">
        <v>572</v>
      </c>
      <c r="D2557" s="2" t="str">
        <f t="shared" si="38"/>
        <v>Error?</v>
      </c>
    </row>
    <row r="2558" spans="1:4" x14ac:dyDescent="0.2">
      <c r="A2558" s="5">
        <v>2497</v>
      </c>
      <c r="B2558" s="138">
        <f>'Acct Summary 7-8'!C14</f>
        <v>66195</v>
      </c>
      <c r="C2558" s="2" t="s">
        <v>572</v>
      </c>
      <c r="D2558" s="2" t="str">
        <f t="shared" si="38"/>
        <v>Error?</v>
      </c>
    </row>
    <row r="2559" spans="1:4" x14ac:dyDescent="0.2">
      <c r="A2559" s="5">
        <v>2498</v>
      </c>
      <c r="B2559" s="138">
        <f>'Acct Summary 7-8'!C15</f>
        <v>970594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9007274</v>
      </c>
      <c r="C2561" s="2" t="s">
        <v>572</v>
      </c>
      <c r="D2561" s="2" t="str">
        <f t="shared" si="39"/>
        <v>Error?</v>
      </c>
    </row>
    <row r="2562" spans="1:4" x14ac:dyDescent="0.2">
      <c r="A2562" s="5">
        <v>2501</v>
      </c>
      <c r="B2562" s="138">
        <f>'Acct Summary 7-8'!C20</f>
        <v>649765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1122240</v>
      </c>
      <c r="C2564" s="2" t="s">
        <v>572</v>
      </c>
      <c r="D2564" s="2" t="str">
        <f t="shared" si="39"/>
        <v>Error?</v>
      </c>
    </row>
    <row r="2565" spans="1:4" x14ac:dyDescent="0.2">
      <c r="A2565" s="10">
        <v>2504</v>
      </c>
      <c r="D2565" s="2" t="str">
        <f t="shared" si="39"/>
        <v>OK</v>
      </c>
    </row>
    <row r="2566" spans="1:4" x14ac:dyDescent="0.2">
      <c r="A2566" s="5">
        <v>2505</v>
      </c>
      <c r="B2566" s="138">
        <f>'Acct Summary 7-8'!D6</f>
        <v>102670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1224910</v>
      </c>
      <c r="C2568" s="2" t="s">
        <v>572</v>
      </c>
      <c r="D2568" s="2" t="str">
        <f t="shared" si="39"/>
        <v>Error?</v>
      </c>
    </row>
    <row r="2569" spans="1:4" x14ac:dyDescent="0.2">
      <c r="A2569" s="5">
        <v>2508</v>
      </c>
      <c r="B2569" s="138">
        <f>'Acct Summary 7-8'!D13</f>
        <v>1207812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109934</v>
      </c>
      <c r="C2572" s="2" t="s">
        <v>572</v>
      </c>
      <c r="D2572" s="2" t="str">
        <f t="shared" si="39"/>
        <v>Error?</v>
      </c>
    </row>
    <row r="2573" spans="1:4" x14ac:dyDescent="0.2">
      <c r="A2573" s="5">
        <v>2512</v>
      </c>
      <c r="B2573" s="138">
        <f>'Acct Summary 7-8'!D17</f>
        <v>1317746</v>
      </c>
      <c r="C2573" s="2" t="s">
        <v>572</v>
      </c>
      <c r="D2573" s="2" t="str">
        <f t="shared" si="39"/>
        <v>Error?</v>
      </c>
    </row>
    <row r="2574" spans="1:4" x14ac:dyDescent="0.2">
      <c r="A2574" s="5">
        <v>2513</v>
      </c>
      <c r="B2574" s="138">
        <f>'Acct Summary 7-8'!D20</f>
        <v>-92836</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225555</v>
      </c>
      <c r="C2591" s="2" t="s">
        <v>572</v>
      </c>
      <c r="D2591" s="2" t="str">
        <f t="shared" si="39"/>
        <v>Error?</v>
      </c>
    </row>
    <row r="2592" spans="1:4" x14ac:dyDescent="0.2">
      <c r="A2592" s="10">
        <v>2531</v>
      </c>
      <c r="D2592" s="2" t="str">
        <f t="shared" si="39"/>
        <v>OK</v>
      </c>
    </row>
    <row r="2593" spans="1:4" x14ac:dyDescent="0.2">
      <c r="A2593" s="5">
        <v>2532</v>
      </c>
      <c r="B2593" s="138">
        <f>'Acct Summary 7-8'!F6</f>
        <v>303506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529061</v>
      </c>
      <c r="C2595" s="2" t="s">
        <v>572</v>
      </c>
      <c r="D2595" s="2" t="str">
        <f t="shared" si="39"/>
        <v>Error?</v>
      </c>
    </row>
    <row r="2596" spans="1:4" x14ac:dyDescent="0.2">
      <c r="A2596" s="5">
        <v>2535</v>
      </c>
      <c r="B2596" s="138">
        <f>'Acct Summary 7-8'!F13</f>
        <v>498960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99073</v>
      </c>
      <c r="C2599" s="2" t="s">
        <v>572</v>
      </c>
      <c r="D2599" s="2" t="str">
        <f t="shared" si="39"/>
        <v>Error?</v>
      </c>
    </row>
    <row r="2600" spans="1:4" x14ac:dyDescent="0.2">
      <c r="A2600" s="5">
        <v>2539</v>
      </c>
      <c r="B2600" s="138">
        <f>'Acct Summary 7-8'!F17</f>
        <v>598033</v>
      </c>
      <c r="C2600" s="2" t="s">
        <v>572</v>
      </c>
      <c r="D2600" s="2" t="str">
        <f t="shared" si="39"/>
        <v>Error?</v>
      </c>
    </row>
    <row r="2601" spans="1:4" x14ac:dyDescent="0.2">
      <c r="A2601" s="5">
        <v>2540</v>
      </c>
      <c r="B2601" s="138">
        <f>'Acct Summary 7-8'!F20</f>
        <v>-68972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296888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296888</v>
      </c>
      <c r="C2606" s="2" t="s">
        <v>572</v>
      </c>
      <c r="D2606" s="2" t="str">
        <f t="shared" si="39"/>
        <v>Error?</v>
      </c>
    </row>
    <row r="2607" spans="1:4" x14ac:dyDescent="0.2">
      <c r="A2607" s="5">
        <v>2546</v>
      </c>
      <c r="B2607" s="138">
        <f>'Acct Summary 7-8'!G12</f>
        <v>104430</v>
      </c>
      <c r="C2607" s="2" t="s">
        <v>572</v>
      </c>
      <c r="D2607" s="2" t="str">
        <f t="shared" si="39"/>
        <v>Error?</v>
      </c>
    </row>
    <row r="2608" spans="1:4" x14ac:dyDescent="0.2">
      <c r="A2608" s="5">
        <v>2547</v>
      </c>
      <c r="B2608" s="138">
        <f>'Acct Summary 7-8'!G13</f>
        <v>195149</v>
      </c>
      <c r="C2608" s="2" t="s">
        <v>572</v>
      </c>
      <c r="D2608" s="2" t="str">
        <f t="shared" si="39"/>
        <v>Error?</v>
      </c>
    </row>
    <row r="2609" spans="1:4" x14ac:dyDescent="0.2">
      <c r="A2609" s="5">
        <v>2548</v>
      </c>
      <c r="B2609" s="138">
        <f>'Acct Summary 7-8'!G14</f>
        <v>8083</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307662</v>
      </c>
      <c r="C2612" s="2" t="s">
        <v>572</v>
      </c>
      <c r="D2612" s="2" t="str">
        <f t="shared" si="39"/>
        <v>Error?</v>
      </c>
    </row>
    <row r="2613" spans="1:4" x14ac:dyDescent="0.2">
      <c r="A2613" s="5">
        <v>2552</v>
      </c>
      <c r="B2613" s="138">
        <f>'Acct Summary 7-8'!G20</f>
        <v>-10774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323217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323217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730272</v>
      </c>
      <c r="C2634" s="2" t="s">
        <v>572</v>
      </c>
      <c r="D2634" s="2" t="str">
        <f t="shared" si="40"/>
        <v>Error?</v>
      </c>
    </row>
    <row r="2635" spans="1:4" x14ac:dyDescent="0.2">
      <c r="A2635" s="5">
        <v>2574</v>
      </c>
      <c r="B2635" s="138">
        <f>'Acct Summary 7-8'!E17</f>
        <v>730272</v>
      </c>
      <c r="C2635" s="2" t="s">
        <v>572</v>
      </c>
      <c r="D2635" s="2" t="str">
        <f t="shared" si="40"/>
        <v>Error?</v>
      </c>
    </row>
    <row r="2636" spans="1:4" x14ac:dyDescent="0.2">
      <c r="A2636" s="5">
        <v>2575</v>
      </c>
      <c r="B2636" s="138">
        <f>'Acct Summary 7-8'!E20</f>
        <v>-407055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646859</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646859</v>
      </c>
      <c r="C2661" s="2" t="s">
        <v>572</v>
      </c>
      <c r="D2661" s="2" t="str">
        <f t="shared" si="40"/>
        <v>Error?</v>
      </c>
    </row>
    <row r="2662" spans="1:4" x14ac:dyDescent="0.2">
      <c r="A2662" s="5">
        <v>2601</v>
      </c>
      <c r="B2662" s="138">
        <f>'Acct Summary 7-8'!H20</f>
        <v>-646859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919</v>
      </c>
      <c r="C2789" s="2" t="s">
        <v>572</v>
      </c>
      <c r="D2789" s="2" t="str">
        <f t="shared" si="42"/>
        <v>Error?</v>
      </c>
    </row>
    <row r="2790" spans="1:4" x14ac:dyDescent="0.2">
      <c r="A2790" s="5">
        <v>2729</v>
      </c>
      <c r="B2790" s="138">
        <f>'Expenditures 15-22'!E102</f>
        <v>919</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33105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44099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33105</v>
      </c>
      <c r="D2912" s="2" t="str">
        <f t="shared" si="44"/>
        <v>Error?</v>
      </c>
    </row>
    <row r="2913" spans="1:4" x14ac:dyDescent="0.2">
      <c r="A2913" s="5">
        <v>2852</v>
      </c>
      <c r="B2913" s="138">
        <f>'Assets-Liab 5-6'!I41</f>
        <v>33105</v>
      </c>
      <c r="C2913" s="2" t="s">
        <v>572</v>
      </c>
      <c r="D2913" s="2" t="str">
        <f t="shared" si="44"/>
        <v>Error?</v>
      </c>
    </row>
    <row r="2914" spans="1:4" x14ac:dyDescent="0.2">
      <c r="A2914" s="5">
        <v>2853</v>
      </c>
      <c r="B2914" s="138">
        <f>'Assets-Liab 5-6'!L33</f>
        <v>44099</v>
      </c>
      <c r="D2914" s="2" t="str">
        <f t="shared" si="44"/>
        <v>Error?</v>
      </c>
    </row>
    <row r="2915" spans="1:4" x14ac:dyDescent="0.2">
      <c r="A2915" s="10">
        <v>2854</v>
      </c>
      <c r="D2915" s="2" t="str">
        <f t="shared" si="44"/>
        <v>OK</v>
      </c>
    </row>
    <row r="2916" spans="1:4" x14ac:dyDescent="0.2">
      <c r="A2916" s="5">
        <v>2855</v>
      </c>
      <c r="B2916" s="138">
        <f>'Assets-Liab 5-6'!L34</f>
        <v>44099</v>
      </c>
      <c r="C2916" s="2" t="s">
        <v>572</v>
      </c>
      <c r="D2916" s="2" t="str">
        <f t="shared" si="44"/>
        <v>Error?</v>
      </c>
    </row>
    <row r="2917" spans="1:4" x14ac:dyDescent="0.2">
      <c r="A2917" s="5">
        <v>2856</v>
      </c>
      <c r="B2917" s="138">
        <f>'Assets-Liab 5-6'!L41</f>
        <v>44099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919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306522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307441</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80892</v>
      </c>
      <c r="D3055" s="2" t="str">
        <f t="shared" si="46"/>
        <v>Error?</v>
      </c>
    </row>
    <row r="3056" spans="1:4" x14ac:dyDescent="0.2">
      <c r="A3056" s="5">
        <v>2995</v>
      </c>
      <c r="B3056" s="138">
        <f>'Expenditures 15-22'!D10</f>
        <v>18585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99927</v>
      </c>
      <c r="C3062" s="2" t="s">
        <v>572</v>
      </c>
      <c r="D3062" s="2" t="str">
        <f t="shared" si="46"/>
        <v>Error?</v>
      </c>
    </row>
    <row r="3063" spans="1:4" x14ac:dyDescent="0.2">
      <c r="A3063" s="10">
        <v>3002</v>
      </c>
      <c r="D3063" s="2" t="str">
        <f t="shared" si="46"/>
        <v>OK</v>
      </c>
    </row>
    <row r="3064" spans="1:4" x14ac:dyDescent="0.2">
      <c r="A3064" s="5">
        <v>3003</v>
      </c>
      <c r="B3064" s="138">
        <f>'Expenditures 15-22'!D219</f>
        <v>1173</v>
      </c>
      <c r="D3064" s="2" t="str">
        <f t="shared" si="46"/>
        <v>Error?</v>
      </c>
    </row>
    <row r="3065" spans="1:4" x14ac:dyDescent="0.2">
      <c r="A3065" s="5">
        <v>3004</v>
      </c>
      <c r="B3065" s="138">
        <f>'Expenditures 15-22'!K219</f>
        <v>1173</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277</v>
      </c>
      <c r="C3225" s="2" t="s">
        <v>572</v>
      </c>
      <c r="D3225" s="2" t="str">
        <f t="shared" si="49"/>
        <v>Error?</v>
      </c>
    </row>
    <row r="3226" spans="1:4" x14ac:dyDescent="0.2">
      <c r="A3226" s="5">
        <v>3165</v>
      </c>
      <c r="B3226" s="138">
        <f>'Acct Summary 7-8'!I8</f>
        <v>277</v>
      </c>
      <c r="C3226" s="2" t="s">
        <v>572</v>
      </c>
      <c r="D3226" s="2" t="str">
        <f t="shared" si="49"/>
        <v>Error?</v>
      </c>
    </row>
    <row r="3227" spans="1:4" x14ac:dyDescent="0.2">
      <c r="A3227" s="5">
        <v>3166</v>
      </c>
      <c r="B3227" s="138">
        <f>'Acct Summary 7-8'!I20</f>
        <v>277</v>
      </c>
      <c r="C3227" s="2" t="s">
        <v>572</v>
      </c>
      <c r="D3227" s="2" t="str">
        <f t="shared" si="49"/>
        <v>Error?</v>
      </c>
    </row>
    <row r="3228" spans="1:4" x14ac:dyDescent="0.2">
      <c r="A3228" s="5">
        <v>3167</v>
      </c>
      <c r="B3228" s="138">
        <f>'Acct Summary 7-8'!C43</f>
        <v>150796</v>
      </c>
      <c r="D3228" s="2" t="str">
        <f t="shared" si="49"/>
        <v>Error?</v>
      </c>
    </row>
    <row r="3229" spans="1:4" x14ac:dyDescent="0.2">
      <c r="A3229" s="5">
        <v>3168</v>
      </c>
      <c r="B3229" s="138">
        <f>'Acct Summary 7-8'!C44</f>
        <v>150796</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94568</v>
      </c>
      <c r="C3231" s="2" t="s">
        <v>572</v>
      </c>
      <c r="D3231" s="2" t="str">
        <f t="shared" si="49"/>
        <v>Error?</v>
      </c>
    </row>
    <row r="3232" spans="1:4" x14ac:dyDescent="0.2">
      <c r="A3232" s="5">
        <v>3171</v>
      </c>
      <c r="B3232" s="138">
        <f>'Acct Summary 7-8'!C77</f>
        <v>56228</v>
      </c>
      <c r="C3232" s="2" t="s">
        <v>572</v>
      </c>
      <c r="D3232" s="2" t="str">
        <f t="shared" si="49"/>
        <v>Error?</v>
      </c>
    </row>
    <row r="3233" spans="1:4" x14ac:dyDescent="0.2">
      <c r="A3233" s="5">
        <v>3172</v>
      </c>
      <c r="B3233" s="138">
        <f>'Acct Summary 7-8'!C78</f>
        <v>705993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304054</v>
      </c>
      <c r="C3237" s="2" t="s">
        <v>572</v>
      </c>
      <c r="D3237" s="2" t="str">
        <f t="shared" si="49"/>
        <v>Error?</v>
      </c>
    </row>
    <row r="3238" spans="1:4" x14ac:dyDescent="0.2">
      <c r="A3238" s="5">
        <v>3177</v>
      </c>
      <c r="B3238" s="138">
        <f>'Acct Summary 7-8'!D77</f>
        <v>-304054</v>
      </c>
      <c r="C3238" s="2" t="s">
        <v>572</v>
      </c>
      <c r="D3238" s="2" t="str">
        <f t="shared" si="49"/>
        <v>Error?</v>
      </c>
    </row>
    <row r="3239" spans="1:4" x14ac:dyDescent="0.2">
      <c r="A3239" s="5">
        <v>3178</v>
      </c>
      <c r="B3239" s="138">
        <f>'Acct Summary 7-8'!D78</f>
        <v>-396890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161958</v>
      </c>
      <c r="D3251" s="2" t="str">
        <f t="shared" si="49"/>
        <v>Error?</v>
      </c>
    </row>
    <row r="3252" spans="1:4" x14ac:dyDescent="0.2">
      <c r="A3252" s="5">
        <v>3191</v>
      </c>
      <c r="B3252" s="138">
        <f>'Acct Summary 7-8'!F44</f>
        <v>161958</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161958</v>
      </c>
      <c r="C3255" s="2" t="s">
        <v>572</v>
      </c>
      <c r="D3255" s="2" t="str">
        <f t="shared" si="49"/>
        <v>Error?</v>
      </c>
    </row>
    <row r="3256" spans="1:4" x14ac:dyDescent="0.2">
      <c r="A3256" s="5">
        <v>3195</v>
      </c>
      <c r="B3256" s="138">
        <f>'Acct Summary 7-8'!F78</f>
        <v>92986</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-10774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398622</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398622</v>
      </c>
      <c r="C3277" s="2" t="s">
        <v>572</v>
      </c>
      <c r="D3277" s="2" t="str">
        <f t="shared" si="50"/>
        <v>Error?</v>
      </c>
    </row>
    <row r="3278" spans="1:4" x14ac:dyDescent="0.2">
      <c r="A3278" s="5">
        <v>3217</v>
      </c>
      <c r="B3278" s="138">
        <f>'Acct Summary 7-8'!E78</f>
        <v>-8433</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-646859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277</v>
      </c>
      <c r="C3320" s="2" t="s">
        <v>572</v>
      </c>
      <c r="D3320" s="2" t="str">
        <f t="shared" si="50"/>
        <v>Error?</v>
      </c>
    </row>
    <row r="3321" spans="1:4" x14ac:dyDescent="0.2">
      <c r="A3321" s="5">
        <v>3260</v>
      </c>
      <c r="B3321" s="138">
        <f>'Acct Summary 7-8'!I79</f>
        <v>32828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33105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750169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145076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118735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10778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1024758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55605</v>
      </c>
      <c r="D3387" s="2" t="str">
        <f t="shared" si="51"/>
        <v>Error?</v>
      </c>
    </row>
    <row r="3388" spans="1:4" x14ac:dyDescent="0.2">
      <c r="A3388" s="5">
        <v>3327</v>
      </c>
      <c r="B3388" s="138">
        <f>'Expenditures 15-22'!D217</f>
        <v>46220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55605</v>
      </c>
      <c r="C3390" s="2" t="s">
        <v>572</v>
      </c>
      <c r="D3390" s="2" t="str">
        <f t="shared" si="51"/>
        <v>Error?</v>
      </c>
    </row>
    <row r="3391" spans="1:4" x14ac:dyDescent="0.2">
      <c r="A3391" s="5">
        <v>3330</v>
      </c>
      <c r="B3391" s="138">
        <f>'Expenditures 15-22'!K217</f>
        <v>46220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3087502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532615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161733</v>
      </c>
      <c r="D3417" s="2" t="str">
        <f t="shared" si="52"/>
        <v>Error?</v>
      </c>
    </row>
    <row r="3418" spans="1:4" x14ac:dyDescent="0.2">
      <c r="A3418" s="10">
        <v>3357</v>
      </c>
      <c r="D3418" s="2" t="str">
        <f t="shared" si="52"/>
        <v>OK</v>
      </c>
    </row>
    <row r="3419" spans="1:4" x14ac:dyDescent="0.2">
      <c r="A3419" s="5">
        <v>3358</v>
      </c>
      <c r="B3419" s="138">
        <f>'Assets-Liab 5-6'!F4</f>
        <v>202894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241239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33105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44099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162351</v>
      </c>
      <c r="C3446" s="2" t="s">
        <v>572</v>
      </c>
      <c r="D3446" s="2" t="str">
        <f t="shared" si="52"/>
        <v>Error?</v>
      </c>
    </row>
    <row r="3447" spans="1:4" x14ac:dyDescent="0.2">
      <c r="A3447" s="5">
        <v>3386</v>
      </c>
      <c r="B3447" s="138">
        <f>'Tax Sched 23'!D16</f>
        <v>76573</v>
      </c>
      <c r="C3447" s="2" t="s">
        <v>572</v>
      </c>
      <c r="D3447" s="2" t="str">
        <f t="shared" si="52"/>
        <v>Error?</v>
      </c>
    </row>
    <row r="3448" spans="1:4" x14ac:dyDescent="0.2">
      <c r="A3448" s="5">
        <v>3387</v>
      </c>
      <c r="B3448" s="138">
        <f>'Tax Sched 23'!C16</f>
        <v>85778</v>
      </c>
      <c r="D3448" s="2" t="str">
        <f t="shared" si="52"/>
        <v>Error?</v>
      </c>
    </row>
    <row r="3449" spans="1:4" x14ac:dyDescent="0.2">
      <c r="A3449" s="5">
        <v>3388</v>
      </c>
      <c r="B3449" s="138">
        <f>'Tax Sched 23'!F16</f>
        <v>80739</v>
      </c>
      <c r="C3449" s="2" t="s">
        <v>572</v>
      </c>
      <c r="D3449" s="2" t="str">
        <f t="shared" si="52"/>
        <v>Error?</v>
      </c>
    </row>
    <row r="3450" spans="1:4" x14ac:dyDescent="0.2">
      <c r="A3450" s="5">
        <v>3389</v>
      </c>
      <c r="B3450" s="138">
        <f>'Tax Sched 23'!E16</f>
        <v>166517</v>
      </c>
      <c r="D3450" s="2" t="str">
        <f t="shared" si="52"/>
        <v>Error?</v>
      </c>
    </row>
    <row r="3451" spans="1:4" x14ac:dyDescent="0.2">
      <c r="A3451" s="5">
        <v>3390</v>
      </c>
      <c r="B3451" s="138">
        <f>'Cap Outlay Deprec 26'!C15</f>
        <v>1126273</v>
      </c>
      <c r="D3451" s="2" t="str">
        <f t="shared" si="52"/>
        <v>Error?</v>
      </c>
    </row>
    <row r="3452" spans="1:4" x14ac:dyDescent="0.2">
      <c r="A3452" s="5">
        <v>3391</v>
      </c>
      <c r="B3452" s="138">
        <f>'Cap Outlay Deprec 26'!D15</f>
        <v>752001</v>
      </c>
      <c r="D3452" s="2" t="str">
        <f t="shared" si="52"/>
        <v>Error?</v>
      </c>
    </row>
    <row r="3453" spans="1:4" x14ac:dyDescent="0.2">
      <c r="A3453" s="5">
        <v>3392</v>
      </c>
      <c r="B3453" s="138">
        <f>'Cap Outlay Deprec 26'!E15</f>
        <v>1878274</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541</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541</v>
      </c>
      <c r="D3567" s="2" t="str">
        <f t="shared" si="54"/>
        <v>Error?</v>
      </c>
    </row>
    <row r="3568" spans="1:4" x14ac:dyDescent="0.2">
      <c r="A3568" s="5">
        <v>3507</v>
      </c>
      <c r="B3568" s="138">
        <f>'Assets-Liab 5-6'!K41</f>
        <v>541</v>
      </c>
      <c r="C3568" s="2" t="s">
        <v>572</v>
      </c>
      <c r="D3568" s="2" t="str">
        <f t="shared" si="54"/>
        <v>Error?</v>
      </c>
    </row>
    <row r="3569" spans="1:4" x14ac:dyDescent="0.2">
      <c r="A3569" s="5">
        <v>3508</v>
      </c>
      <c r="B3569" s="138">
        <f>'Acct Summary 7-8'!K4</f>
        <v>12</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12</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12</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12</v>
      </c>
      <c r="C3588" s="2" t="s">
        <v>572</v>
      </c>
      <c r="D3588" s="2" t="str">
        <f t="shared" si="55"/>
        <v>Error?</v>
      </c>
    </row>
    <row r="3589" spans="1:4" x14ac:dyDescent="0.2">
      <c r="A3589" s="5">
        <v>3528</v>
      </c>
      <c r="B3589" s="138">
        <f>'Acct Summary 7-8'!K79</f>
        <v>529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541</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63125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3916182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13573221</v>
      </c>
      <c r="C4122" s="2" t="s">
        <v>572</v>
      </c>
      <c r="D4122" s="2" t="str">
        <f t="shared" si="63"/>
        <v>Error?</v>
      </c>
    </row>
    <row r="4123" spans="1:4" x14ac:dyDescent="0.2">
      <c r="A4123" s="5">
        <v>4062</v>
      </c>
      <c r="B4123" s="138">
        <f>'Acct Summary 7-8'!D10</f>
        <v>1224910</v>
      </c>
      <c r="C4123" s="2" t="s">
        <v>572</v>
      </c>
      <c r="D4123" s="2" t="str">
        <f t="shared" si="63"/>
        <v>Error?</v>
      </c>
    </row>
    <row r="4124" spans="1:4" x14ac:dyDescent="0.2">
      <c r="A4124" s="5">
        <v>4063</v>
      </c>
      <c r="B4124" s="138">
        <f>'Acct Summary 7-8'!E10</f>
        <v>323217</v>
      </c>
      <c r="C4124" s="2" t="s">
        <v>572</v>
      </c>
      <c r="D4124" s="2" t="str">
        <f t="shared" si="63"/>
        <v>Error?</v>
      </c>
    </row>
    <row r="4125" spans="1:4" x14ac:dyDescent="0.2">
      <c r="A4125" s="5">
        <v>4064</v>
      </c>
      <c r="B4125" s="138">
        <f>'Acct Summary 7-8'!F10</f>
        <v>529061</v>
      </c>
      <c r="C4125" s="2" t="s">
        <v>572</v>
      </c>
      <c r="D4125" s="2" t="str">
        <f t="shared" si="63"/>
        <v>Error?</v>
      </c>
    </row>
    <row r="4126" spans="1:4" x14ac:dyDescent="0.2">
      <c r="A4126" s="5">
        <v>4065</v>
      </c>
      <c r="B4126" s="138">
        <f>'Acct Summary 7-8'!G10</f>
        <v>296888</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277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12</v>
      </c>
      <c r="C4130" s="2" t="s">
        <v>572</v>
      </c>
      <c r="D4130" s="2" t="str">
        <f t="shared" si="63"/>
        <v>Error?</v>
      </c>
    </row>
    <row r="4131" spans="1:4" x14ac:dyDescent="0.2">
      <c r="A4131" s="5">
        <v>4070</v>
      </c>
      <c r="B4131" s="138">
        <f>'Acct Summary 7-8'!C18</f>
        <v>3916182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12923456</v>
      </c>
      <c r="C4136" s="2" t="s">
        <v>572</v>
      </c>
      <c r="D4136" s="2" t="str">
        <f t="shared" si="63"/>
        <v>Error?</v>
      </c>
    </row>
    <row r="4137" spans="1:4" x14ac:dyDescent="0.2">
      <c r="A4137" s="5">
        <v>4076</v>
      </c>
      <c r="B4137" s="138">
        <f>'Acct Summary 7-8'!D19</f>
        <v>1317746</v>
      </c>
      <c r="C4137" s="2" t="s">
        <v>572</v>
      </c>
      <c r="D4137" s="2" t="str">
        <f t="shared" si="63"/>
        <v>Error?</v>
      </c>
    </row>
    <row r="4138" spans="1:4" x14ac:dyDescent="0.2">
      <c r="A4138" s="5">
        <v>4077</v>
      </c>
      <c r="B4138" s="138">
        <f>'Acct Summary 7-8'!E19</f>
        <v>730272</v>
      </c>
      <c r="C4138" s="2" t="s">
        <v>572</v>
      </c>
      <c r="D4138" s="2" t="str">
        <f t="shared" si="63"/>
        <v>Error?</v>
      </c>
    </row>
    <row r="4139" spans="1:4" x14ac:dyDescent="0.2">
      <c r="A4139" s="5">
        <v>4078</v>
      </c>
      <c r="B4139" s="138">
        <f>'Acct Summary 7-8'!F19</f>
        <v>598033</v>
      </c>
      <c r="C4139" s="2" t="s">
        <v>572</v>
      </c>
      <c r="D4139" s="2" t="str">
        <f t="shared" si="63"/>
        <v>Error?</v>
      </c>
    </row>
    <row r="4140" spans="1:4" x14ac:dyDescent="0.2">
      <c r="A4140" s="5">
        <v>4079</v>
      </c>
      <c r="B4140" s="138">
        <f>'Acct Summary 7-8'!G19</f>
        <v>307662</v>
      </c>
      <c r="C4140" s="2" t="s">
        <v>572</v>
      </c>
      <c r="D4140" s="2" t="str">
        <f t="shared" si="63"/>
        <v>Error?</v>
      </c>
    </row>
    <row r="4141" spans="1:4" x14ac:dyDescent="0.2">
      <c r="A4141" s="5">
        <v>4080</v>
      </c>
      <c r="B4141" s="138">
        <f>'Acct Summary 7-8'!H19</f>
        <v>646859</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6892581</v>
      </c>
      <c r="C4171" s="2" t="s">
        <v>572</v>
      </c>
      <c r="D4171" s="2" t="str">
        <f t="shared" si="64"/>
        <v>Error?</v>
      </c>
    </row>
    <row r="4172" spans="1:4" x14ac:dyDescent="0.2">
      <c r="A4172" s="5">
        <v>4111</v>
      </c>
      <c r="B4172" s="138">
        <f>'Short-Term Long-Term Debt 24'!J49</f>
        <v>6730848</v>
      </c>
      <c r="C4172" s="2" t="s">
        <v>572</v>
      </c>
      <c r="D4172" s="2" t="str">
        <f t="shared" si="64"/>
        <v>Error?</v>
      </c>
    </row>
    <row r="4173" spans="1:4" x14ac:dyDescent="0.2">
      <c r="A4173" s="5">
        <v>4112</v>
      </c>
      <c r="B4173" s="138">
        <f>'Short-Term Long-Term Debt 24'!H49</f>
        <v>570735</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93490</v>
      </c>
      <c r="D4210" s="2" t="str">
        <f t="shared" si="64"/>
        <v>Error?</v>
      </c>
    </row>
    <row r="4211" spans="1:4" x14ac:dyDescent="0.2">
      <c r="A4211" s="5">
        <v>4150</v>
      </c>
      <c r="B4211" s="138">
        <f>'Expenditures 15-22'!K206</f>
        <v>93490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2227.1</v>
      </c>
      <c r="C4265" s="2" t="s">
        <v>572</v>
      </c>
      <c r="D4265" s="2" t="str">
        <f t="shared" si="65"/>
        <v>Error?</v>
      </c>
      <c r="E4265" s="128"/>
    </row>
    <row r="4266" spans="1:5" x14ac:dyDescent="0.2">
      <c r="A4266" s="12">
        <v>4205</v>
      </c>
      <c r="B4266" s="138">
        <f>('FP Info 3'!F10)*100000</f>
        <v>278.8</v>
      </c>
      <c r="C4266" s="2" t="s">
        <v>572</v>
      </c>
      <c r="D4266" s="2" t="str">
        <f t="shared" si="65"/>
        <v>Error?</v>
      </c>
      <c r="E4266" s="128"/>
    </row>
    <row r="4267" spans="1:5" x14ac:dyDescent="0.2">
      <c r="A4267" s="12">
        <v>4206</v>
      </c>
      <c r="B4267" s="138">
        <f>('FP Info 3'!H10)*100000</f>
        <v>48.7</v>
      </c>
      <c r="C4267" s="2" t="s">
        <v>572</v>
      </c>
      <c r="D4267" s="2" t="str">
        <f t="shared" si="65"/>
        <v>Error?</v>
      </c>
      <c r="E4267" s="128"/>
    </row>
    <row r="4268" spans="1:5" x14ac:dyDescent="0.2">
      <c r="A4268" s="12">
        <v>4207</v>
      </c>
      <c r="B4268" s="138">
        <f>('FP Info 3'!J10)*100000</f>
        <v>2555</v>
      </c>
      <c r="C4268" s="2" t="s">
        <v>572</v>
      </c>
      <c r="D4268" s="2" t="str">
        <f t="shared" si="65"/>
        <v>Error?</v>
      </c>
    </row>
    <row r="4269" spans="1:5" x14ac:dyDescent="0.2">
      <c r="A4269" s="12">
        <v>4208</v>
      </c>
      <c r="B4269" s="138">
        <f>'FP Info 3'!J16</f>
        <v>3856116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28054</v>
      </c>
      <c r="D4300" s="2" t="str">
        <f t="shared" si="66"/>
        <v>Error?</v>
      </c>
    </row>
    <row r="4301" spans="1:4" x14ac:dyDescent="0.2">
      <c r="A4301" s="5">
        <v>4240</v>
      </c>
      <c r="B4301" s="138">
        <f>'Rest Tax Levies-Tort Im 25'!G37</f>
        <v>1977</v>
      </c>
      <c r="D4301" s="2" t="str">
        <f t="shared" si="66"/>
        <v>Error?</v>
      </c>
    </row>
    <row r="4302" spans="1:4" x14ac:dyDescent="0.2">
      <c r="A4302" s="5">
        <v>4241</v>
      </c>
      <c r="B4302" s="138">
        <f>'Rest Tax Levies-Tort Im 25'!G38</f>
        <v>67210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8353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20081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14388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69385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346910291</v>
      </c>
      <c r="D4995" s="2" t="str">
        <f t="shared" si="77"/>
        <v>Error?</v>
      </c>
    </row>
    <row r="4996" spans="1:4" x14ac:dyDescent="0.2">
      <c r="A4996" s="12">
        <v>4935</v>
      </c>
      <c r="B4996" s="138">
        <f>'FP Info 3'!H31</f>
        <v>23936810.079000004</v>
      </c>
      <c r="D4996" s="2" t="str">
        <f t="shared" si="77"/>
        <v>Error?</v>
      </c>
    </row>
    <row r="4997" spans="1:4" x14ac:dyDescent="0.2">
      <c r="A4997" s="12">
        <v>4936</v>
      </c>
      <c r="B4997" s="138">
        <f>'FP Info 3'!H37</f>
        <v>6892581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7540862</v>
      </c>
      <c r="D5061" s="2" t="str">
        <f t="shared" si="78"/>
        <v>Error?</v>
      </c>
    </row>
    <row r="5062" spans="1:4" x14ac:dyDescent="0.2">
      <c r="A5062" s="10">
        <v>5001</v>
      </c>
      <c r="D5062" s="2" t="str">
        <f t="shared" si="78"/>
        <v>OK</v>
      </c>
    </row>
    <row r="5063" spans="1:4" x14ac:dyDescent="0.2">
      <c r="A5063" s="5">
        <v>5002</v>
      </c>
      <c r="B5063" s="138">
        <f>'Revenues 9-14'!C7</f>
        <v>74378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7615240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24258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24258</v>
      </c>
      <c r="C5071" s="2" t="s">
        <v>572</v>
      </c>
      <c r="D5071" s="2" t="str">
        <f t="shared" si="78"/>
        <v>Error?</v>
      </c>
    </row>
    <row r="5072" spans="1:4" x14ac:dyDescent="0.2">
      <c r="A5072" s="5">
        <v>5011</v>
      </c>
      <c r="B5072" s="138">
        <f>'Revenues 9-14'!C20</f>
        <v>12578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12578</v>
      </c>
      <c r="C5087" s="2" t="s">
        <v>572</v>
      </c>
      <c r="D5087" s="2" t="str">
        <f t="shared" si="78"/>
        <v>Error?</v>
      </c>
    </row>
    <row r="5088" spans="1:4" x14ac:dyDescent="0.2">
      <c r="A5088" s="5">
        <v>5027</v>
      </c>
      <c r="B5088" s="138">
        <f>'Revenues 9-14'!C65</f>
        <v>62817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62817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106539</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176029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176029</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17834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93427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119422</v>
      </c>
      <c r="D5118" s="2" t="str">
        <f t="shared" si="78"/>
        <v>Error?</v>
      </c>
    </row>
    <row r="5119" spans="1:4" x14ac:dyDescent="0.2">
      <c r="A5119" s="5">
        <v>5058</v>
      </c>
      <c r="B5119" s="138">
        <f>'Revenues 9-14'!C107</f>
        <v>1612</v>
      </c>
      <c r="D5119" s="2" t="str">
        <f t="shared" ref="D5119:D5182" si="79">IF(ISBLANK(B5119),"OK",IF(A5119-B5119=0,"OK","Error?"))</f>
        <v>Error?</v>
      </c>
    </row>
    <row r="5120" spans="1:4" x14ac:dyDescent="0.2">
      <c r="A5120" s="5">
        <v>5059</v>
      </c>
      <c r="B5120" s="138">
        <f>'Revenues 9-14'!C108</f>
        <v>238087</v>
      </c>
      <c r="C5120" s="2" t="s">
        <v>572</v>
      </c>
      <c r="D5120" s="2" t="str">
        <f t="shared" si="79"/>
        <v>Error?</v>
      </c>
    </row>
    <row r="5121" spans="1:4" x14ac:dyDescent="0.2">
      <c r="A5121" s="5">
        <v>5060</v>
      </c>
      <c r="B5121" s="138">
        <f>'Revenues 9-14'!C109</f>
        <v>8235548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291610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291610</v>
      </c>
      <c r="C5132" s="2" t="s">
        <v>572</v>
      </c>
      <c r="D5132" s="2" t="str">
        <f t="shared" si="79"/>
        <v>Error?</v>
      </c>
    </row>
    <row r="5133" spans="1:4" x14ac:dyDescent="0.2">
      <c r="A5133" s="5">
        <v>5072</v>
      </c>
      <c r="B5133" s="138">
        <f>'Revenues 9-14'!C125</f>
        <v>27861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27861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897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275870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374013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665623</v>
      </c>
      <c r="C5223" s="2" t="s">
        <v>572</v>
      </c>
      <c r="D5223" s="2" t="str">
        <f t="shared" si="80"/>
        <v>Error?</v>
      </c>
    </row>
    <row r="5224" spans="1:4" x14ac:dyDescent="0.2">
      <c r="A5224" s="5">
        <v>5163</v>
      </c>
      <c r="B5224" s="138">
        <f>'Revenues 9-14'!C173</f>
        <v>387378</v>
      </c>
      <c r="D5224" s="2" t="str">
        <f t="shared" si="80"/>
        <v>Error?</v>
      </c>
    </row>
    <row r="5225" spans="1:4" x14ac:dyDescent="0.2">
      <c r="A5225" s="5">
        <v>5164</v>
      </c>
      <c r="B5225" s="138">
        <f>'Revenues 9-14'!C175</f>
        <v>387378</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63125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63125</v>
      </c>
      <c r="C5246" s="2" t="s">
        <v>572</v>
      </c>
      <c r="D5246" s="2" t="str">
        <f t="shared" si="80"/>
        <v>Error?</v>
      </c>
    </row>
    <row r="5247" spans="1:4" x14ac:dyDescent="0.2">
      <c r="A5247" s="5">
        <v>5186</v>
      </c>
      <c r="B5247" s="138">
        <f>'Revenues 9-14'!C200</f>
        <v>70624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70624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4289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153166</v>
      </c>
      <c r="D5278" s="2" t="str">
        <f t="shared" si="81"/>
        <v>Error?</v>
      </c>
    </row>
    <row r="5279" spans="1:4" x14ac:dyDescent="0.2">
      <c r="A5279" s="5">
        <v>5218</v>
      </c>
      <c r="B5279" s="138">
        <f>'Revenues 9-14'!C214</f>
        <v>24464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181919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368490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755868</v>
      </c>
      <c r="C5326" s="2" t="s">
        <v>572</v>
      </c>
      <c r="D5326" s="2" t="str">
        <f t="shared" si="82"/>
        <v>Error?</v>
      </c>
    </row>
    <row r="5327" spans="1:5" x14ac:dyDescent="0.2">
      <c r="A5327" s="5">
        <v>5266</v>
      </c>
      <c r="B5327" s="138">
        <f>'Revenues 9-14'!C268</f>
        <v>9657039</v>
      </c>
      <c r="C5327" s="2" t="s">
        <v>572</v>
      </c>
      <c r="D5327" s="2" t="str">
        <f t="shared" si="82"/>
        <v>Error?</v>
      </c>
    </row>
    <row r="5328" spans="1:5" x14ac:dyDescent="0.2">
      <c r="A5328" s="5">
        <v>5267</v>
      </c>
      <c r="B5328" s="138">
        <f>'Revenues 9-14'!D5</f>
        <v>914782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914782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390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390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198546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8522</v>
      </c>
      <c r="D5354" s="2" t="str">
        <f t="shared" si="82"/>
        <v>Error?</v>
      </c>
    </row>
    <row r="5355" spans="1:4" x14ac:dyDescent="0.2">
      <c r="A5355" s="5">
        <v>5294</v>
      </c>
      <c r="B5355" s="138">
        <f>'Revenues 9-14'!D108</f>
        <v>207068</v>
      </c>
      <c r="C5355" s="2" t="s">
        <v>572</v>
      </c>
      <c r="D5355" s="2" t="str">
        <f t="shared" si="82"/>
        <v>Error?</v>
      </c>
    </row>
    <row r="5356" spans="1:4" x14ac:dyDescent="0.2">
      <c r="A5356" s="5">
        <v>5295</v>
      </c>
      <c r="B5356" s="138">
        <f>'Revenues 9-14'!D109</f>
        <v>1122240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102670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102670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102670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1224910</v>
      </c>
      <c r="C5508" s="2" t="s">
        <v>572</v>
      </c>
      <c r="D5508" s="2" t="str">
        <f t="shared" si="85"/>
        <v>Error?</v>
      </c>
    </row>
    <row r="5509" spans="1:4" x14ac:dyDescent="0.2">
      <c r="A5509" s="5">
        <v>5448</v>
      </c>
      <c r="B5509" s="138">
        <f>'Revenues 9-14'!E5</f>
        <v>322980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322980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237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323217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323217</v>
      </c>
      <c r="C5552" s="2" t="s">
        <v>572</v>
      </c>
      <c r="D5552" s="2" t="str">
        <f t="shared" si="85"/>
        <v>Error?</v>
      </c>
    </row>
    <row r="5553" spans="1:4" x14ac:dyDescent="0.2">
      <c r="A5553" s="5">
        <v>5492</v>
      </c>
      <c r="B5553" s="138">
        <f>'Revenues 9-14'!F5</f>
        <v>159664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159664</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64770</v>
      </c>
      <c r="D5563" s="2" t="str">
        <f t="shared" si="85"/>
        <v>Error?</v>
      </c>
    </row>
    <row r="5564" spans="1:4" x14ac:dyDescent="0.2">
      <c r="A5564" s="5">
        <v>5503</v>
      </c>
      <c r="B5564" s="138">
        <f>'Revenues 9-14'!F43</f>
        <v>1055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65825</v>
      </c>
      <c r="C5579" s="2" t="s">
        <v>572</v>
      </c>
      <c r="D5579" s="2" t="str">
        <f t="shared" si="86"/>
        <v>Error?</v>
      </c>
    </row>
    <row r="5580" spans="1:4" x14ac:dyDescent="0.2">
      <c r="A5580" s="5">
        <v>5519</v>
      </c>
      <c r="B5580" s="138">
        <f>'Revenues 9-14'!F65</f>
        <v>66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225555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145595</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145595</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5069</v>
      </c>
      <c r="D5615" s="2" t="str">
        <f t="shared" si="86"/>
        <v>Error?</v>
      </c>
    </row>
    <row r="5616" spans="1:4" x14ac:dyDescent="0.2">
      <c r="A5616" s="10">
        <v>5555</v>
      </c>
      <c r="D5616" s="2" t="str">
        <f t="shared" si="86"/>
        <v>OK</v>
      </c>
    </row>
    <row r="5617" spans="1:5" x14ac:dyDescent="0.2">
      <c r="A5617" s="5">
        <v>5556</v>
      </c>
      <c r="B5617" s="138">
        <f>'Revenues 9-14'!F153</f>
        <v>152842</v>
      </c>
      <c r="D5617" s="2" t="str">
        <f t="shared" si="86"/>
        <v>Error?</v>
      </c>
    </row>
    <row r="5618" spans="1:5" x14ac:dyDescent="0.2">
      <c r="A5618" s="5">
        <v>5557</v>
      </c>
      <c r="B5618" s="138">
        <f>'Revenues 9-14'!F155</f>
        <v>157911</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157911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303506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529061</v>
      </c>
      <c r="C5720" s="2" t="s">
        <v>572</v>
      </c>
      <c r="D5720" s="2" t="str">
        <f t="shared" si="88"/>
        <v>Error?</v>
      </c>
    </row>
    <row r="5721" spans="1:4" x14ac:dyDescent="0.2">
      <c r="A5721" s="5">
        <v>5660</v>
      </c>
      <c r="B5721" s="138">
        <f>'Revenues 9-14'!G5</f>
        <v>132295</v>
      </c>
      <c r="D5721" s="2" t="str">
        <f t="shared" si="88"/>
        <v>Error?</v>
      </c>
    </row>
    <row r="5722" spans="1:4" x14ac:dyDescent="0.2">
      <c r="A5722" s="5">
        <v>5661</v>
      </c>
      <c r="B5722" s="138">
        <f>'Revenues 9-14'!G7</f>
        <v>0</v>
      </c>
      <c r="D5722" s="2" t="str">
        <f t="shared" si="88"/>
        <v>Error?</v>
      </c>
    </row>
    <row r="5723" spans="1:4" x14ac:dyDescent="0.2">
      <c r="A5723" s="5">
        <v>5662</v>
      </c>
      <c r="B5723" s="138">
        <f>'Revenues 9-14'!G8</f>
        <v>162351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294646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2121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2121</v>
      </c>
      <c r="C5730" s="2" t="s">
        <v>572</v>
      </c>
      <c r="D5730" s="2" t="str">
        <f t="shared" si="88"/>
        <v>Error?</v>
      </c>
    </row>
    <row r="5731" spans="1:4" x14ac:dyDescent="0.2">
      <c r="A5731" s="5">
        <v>5670</v>
      </c>
      <c r="B5731" s="138">
        <f>'Revenues 9-14'!G65</f>
        <v>121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296888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277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12</v>
      </c>
      <c r="C6023" s="2" t="s">
        <v>572</v>
      </c>
      <c r="D6023" s="2" t="str">
        <f t="shared" si="93"/>
        <v>Error?</v>
      </c>
    </row>
    <row r="6024" spans="1:5" x14ac:dyDescent="0.2">
      <c r="A6024" s="5">
        <v>5963</v>
      </c>
      <c r="B6024" s="138">
        <f>'Revenues 9-14'!G109</f>
        <v>296888</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277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106539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7827</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680.6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91446</v>
      </c>
      <c r="D6240" s="2" t="str">
        <f t="shared" si="96"/>
        <v>Error?</v>
      </c>
      <c r="E6240" s="2" t="s">
        <v>190</v>
      </c>
    </row>
    <row r="6241" spans="1:5" x14ac:dyDescent="0.2">
      <c r="A6241">
        <v>6180</v>
      </c>
      <c r="B6241" s="138">
        <f>'Acct Summary 7-8'!D54</f>
        <v>12637</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3122</v>
      </c>
      <c r="D6243" s="2" t="str">
        <f t="shared" si="96"/>
        <v>Error?</v>
      </c>
      <c r="E6243" s="2" t="s">
        <v>190</v>
      </c>
    </row>
    <row r="6244" spans="1:5" x14ac:dyDescent="0.2">
      <c r="A6244">
        <v>6183</v>
      </c>
      <c r="B6244" s="138">
        <f>'Acct Summary 7-8'!D58</f>
        <v>1417</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290000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705993</v>
      </c>
      <c r="D6267" s="2" t="str">
        <f t="shared" si="96"/>
        <v>Error?</v>
      </c>
      <c r="E6267" s="2" t="s">
        <v>190</v>
      </c>
    </row>
    <row r="6268" spans="1:5" x14ac:dyDescent="0.2">
      <c r="A6268">
        <v>6207</v>
      </c>
      <c r="B6268" s="138">
        <f>'Acct Summary 7-8'!D82</f>
        <v>-396890</v>
      </c>
      <c r="D6268" s="2" t="str">
        <f t="shared" si="96"/>
        <v>Error?</v>
      </c>
      <c r="E6268" s="2" t="s">
        <v>190</v>
      </c>
    </row>
    <row r="6269" spans="1:5" x14ac:dyDescent="0.2">
      <c r="A6269">
        <v>6208</v>
      </c>
      <c r="B6269" s="138">
        <f>'Acct Summary 7-8'!E82</f>
        <v>-8433</v>
      </c>
      <c r="D6269" s="2" t="str">
        <f t="shared" si="96"/>
        <v>Error?</v>
      </c>
      <c r="E6269" s="2" t="s">
        <v>190</v>
      </c>
    </row>
    <row r="6270" spans="1:5" x14ac:dyDescent="0.2">
      <c r="A6270">
        <v>6209</v>
      </c>
      <c r="B6270" s="138">
        <f>'Acct Summary 7-8'!F82</f>
        <v>92986</v>
      </c>
      <c r="D6270" s="2" t="str">
        <f t="shared" si="96"/>
        <v>Error?</v>
      </c>
      <c r="E6270" s="2" t="s">
        <v>190</v>
      </c>
    </row>
    <row r="6271" spans="1:5" x14ac:dyDescent="0.2">
      <c r="A6271">
        <v>6210</v>
      </c>
      <c r="B6271" s="138">
        <f>'Acct Summary 7-8'!G82</f>
        <v>-10774</v>
      </c>
      <c r="D6271" s="2" t="str">
        <f t="shared" ref="D6271:D6334" si="97">IF(ISBLANK(B6271),"OK",IF(A6271-B6271=0,"OK","Error?"))</f>
        <v>Error?</v>
      </c>
      <c r="E6271" s="2" t="s">
        <v>190</v>
      </c>
    </row>
    <row r="6272" spans="1:5" x14ac:dyDescent="0.2">
      <c r="A6272">
        <v>6211</v>
      </c>
      <c r="B6272" s="138">
        <f>'Acct Summary 7-8'!H82</f>
        <v>-646859</v>
      </c>
      <c r="D6272" s="2" t="str">
        <f t="shared" si="97"/>
        <v>Error?</v>
      </c>
      <c r="E6272" s="2" t="s">
        <v>190</v>
      </c>
    </row>
    <row r="6273" spans="1:5" x14ac:dyDescent="0.2">
      <c r="A6273">
        <v>6212</v>
      </c>
      <c r="B6273" s="138">
        <f>'Acct Summary 7-8'!I82</f>
        <v>277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12</v>
      </c>
      <c r="D6275" s="2" t="str">
        <f t="shared" si="97"/>
        <v>Error?</v>
      </c>
      <c r="E6275" s="2" t="s">
        <v>190</v>
      </c>
    </row>
    <row r="6276" spans="1:5" x14ac:dyDescent="0.2">
      <c r="A6276">
        <v>6215</v>
      </c>
      <c r="B6276" s="138">
        <f>'Acct Summary 7-8'!C83</f>
        <v>0.22866155228401472</v>
      </c>
      <c r="D6276" s="2" t="str">
        <f t="shared" si="97"/>
        <v>Error?</v>
      </c>
      <c r="E6276" s="2" t="s">
        <v>190</v>
      </c>
    </row>
    <row r="6277" spans="1:5" x14ac:dyDescent="0.2">
      <c r="A6277">
        <v>6216</v>
      </c>
      <c r="B6277" s="138">
        <f>'Acct Summary 7-8'!D83</f>
        <v>-0.74517240408174756</v>
      </c>
      <c r="D6277" s="2" t="str">
        <f t="shared" si="97"/>
        <v>Error?</v>
      </c>
      <c r="E6277" s="2" t="s">
        <v>190</v>
      </c>
    </row>
    <row r="6278" spans="1:5" x14ac:dyDescent="0.2">
      <c r="A6278">
        <v>6217</v>
      </c>
      <c r="B6278" s="138">
        <f>'Acct Summary 7-8'!E83</f>
        <v>-5.2141492459794846E-2</v>
      </c>
      <c r="D6278" s="2" t="str">
        <f t="shared" si="97"/>
        <v>Error?</v>
      </c>
      <c r="E6278" s="2" t="s">
        <v>190</v>
      </c>
    </row>
    <row r="6279" spans="1:5" x14ac:dyDescent="0.2">
      <c r="A6279">
        <v>6218</v>
      </c>
      <c r="B6279" s="138">
        <f>'Acct Summary 7-8'!F83</f>
        <v>0.45829842183603259</v>
      </c>
      <c r="D6279" s="2" t="str">
        <f t="shared" si="97"/>
        <v>Error?</v>
      </c>
      <c r="E6279" s="2" t="s">
        <v>190</v>
      </c>
    </row>
    <row r="6280" spans="1:5" x14ac:dyDescent="0.2">
      <c r="A6280">
        <v>6219</v>
      </c>
      <c r="B6280" s="138">
        <f>'Acct Summary 7-8'!G83</f>
        <v>-4.466110371871878E-2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8.3673161153904243E-3</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2.2181146025878003E-2</v>
      </c>
      <c r="D6284" s="2" t="str">
        <f t="shared" si="97"/>
        <v>Error?</v>
      </c>
      <c r="E6284" s="2" t="s">
        <v>190</v>
      </c>
    </row>
    <row r="6285" spans="1:5" x14ac:dyDescent="0.2">
      <c r="A6285">
        <v>6224</v>
      </c>
      <c r="B6285" s="138">
        <f>'Acct Summary 7-8'!E37</f>
        <v>104083</v>
      </c>
      <c r="D6285" s="2" t="str">
        <f t="shared" si="97"/>
        <v>Error?</v>
      </c>
      <c r="E6285" s="2" t="s">
        <v>190</v>
      </c>
    </row>
    <row r="6286" spans="1:5" x14ac:dyDescent="0.2">
      <c r="A6286">
        <v>6225</v>
      </c>
      <c r="B6286" s="138">
        <f>'Acct Summary 7-8'!E38</f>
        <v>4539</v>
      </c>
      <c r="D6286" s="2" t="str">
        <f t="shared" si="97"/>
        <v>Error?</v>
      </c>
      <c r="E6286" s="2" t="s">
        <v>190</v>
      </c>
    </row>
    <row r="6287" spans="1:5" x14ac:dyDescent="0.2">
      <c r="A6287">
        <v>6226</v>
      </c>
      <c r="B6287" s="138">
        <f>'Acct Summary 7-8'!E39</f>
        <v>290000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5792</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53743</v>
      </c>
      <c r="D6880" s="2" t="str">
        <f t="shared" si="106"/>
        <v>Error?</v>
      </c>
    </row>
    <row r="6881" spans="1:4" x14ac:dyDescent="0.2">
      <c r="A6881">
        <v>6820</v>
      </c>
      <c r="B6881" s="138">
        <f>'Expenditures 15-22'!K22</f>
        <v>53743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663153</v>
      </c>
      <c r="D6983" s="2" t="str">
        <f t="shared" si="108"/>
        <v>Error?</v>
      </c>
    </row>
    <row r="6984" spans="1:4" x14ac:dyDescent="0.2">
      <c r="A6984">
        <v>6923</v>
      </c>
      <c r="B6984" s="138">
        <f>'Expenditures 15-22'!K86</f>
        <v>663153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663153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109934</v>
      </c>
      <c r="D7049" s="2" t="str">
        <f t="shared" si="109"/>
        <v>Error?</v>
      </c>
    </row>
    <row r="7050" spans="1:5" x14ac:dyDescent="0.2">
      <c r="A7050">
        <v>6989</v>
      </c>
      <c r="B7050" s="138">
        <f>'Expenditures 15-22'!K148</f>
        <v>109934</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5583</v>
      </c>
      <c r="D7067" s="2" t="str">
        <f t="shared" si="109"/>
        <v>Error?</v>
      </c>
    </row>
    <row r="7068" spans="1:4" x14ac:dyDescent="0.2">
      <c r="A7068">
        <v>7007</v>
      </c>
      <c r="B7068" s="138">
        <f>'Expenditures 15-22'!K205</f>
        <v>5583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773287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74378</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563099</v>
      </c>
      <c r="D7797" s="2" t="str">
        <f t="shared" si="127"/>
        <v>Error?</v>
      </c>
      <c r="E7797" s="4" t="s">
        <v>1903</v>
      </c>
    </row>
    <row r="7798" spans="1:5" x14ac:dyDescent="0.2">
      <c r="A7798">
        <v>7737</v>
      </c>
      <c r="B7798" s="138">
        <f>'Contracts Paid in CY 29'!F141</f>
        <v>225000</v>
      </c>
      <c r="D7798" s="2" t="str">
        <f t="shared" si="127"/>
        <v>Error?</v>
      </c>
      <c r="E7798" s="4" t="s">
        <v>1903</v>
      </c>
    </row>
    <row r="7799" spans="1:5" x14ac:dyDescent="0.2">
      <c r="A7799">
        <v>7738</v>
      </c>
      <c r="B7799" s="138">
        <f>'Contracts Paid in CY 29'!G141</f>
        <v>338099</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1190</v>
      </c>
      <c r="B2" s="2380"/>
      <c r="C2" s="2380"/>
      <c r="D2" s="2380"/>
      <c r="E2" s="2380"/>
      <c r="F2" s="2380"/>
      <c r="G2" s="2380"/>
      <c r="H2" s="2380"/>
      <c r="I2" s="2380"/>
      <c r="J2" s="2380"/>
      <c r="K2" s="2380"/>
      <c r="L2" s="2380"/>
    </row>
    <row r="3" spans="1:29" ht="13.5" customHeight="1" x14ac:dyDescent="0.2">
      <c r="A3" s="2411" t="s">
        <v>1189</v>
      </c>
      <c r="B3" s="2411"/>
      <c r="C3" s="2411"/>
      <c r="D3" s="2411"/>
      <c r="E3" s="2411"/>
      <c r="F3" s="2411"/>
      <c r="G3" s="2411"/>
      <c r="H3" s="2411"/>
      <c r="I3" s="2411"/>
      <c r="J3" s="2411"/>
      <c r="K3" s="2411"/>
      <c r="L3" s="2411"/>
    </row>
    <row r="4" spans="1:29" ht="13.5" customHeight="1" x14ac:dyDescent="0.2">
      <c r="A4" s="2380" t="s">
        <v>1988</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2" t="str">
        <f>COVER!A17</f>
        <v>Cass SD 63</v>
      </c>
      <c r="B7" s="2403"/>
      <c r="C7" s="2403"/>
      <c r="D7" s="2404"/>
      <c r="E7" s="2405">
        <f>COVER!A13</f>
        <v>19022063002</v>
      </c>
      <c r="F7" s="2406"/>
      <c r="G7" s="2412" t="str">
        <f>COVER!T23</f>
        <v>066-003289</v>
      </c>
      <c r="H7" s="2413"/>
      <c r="I7" s="2413"/>
      <c r="J7" s="2413"/>
      <c r="K7" s="2413"/>
      <c r="L7" s="2414"/>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15"/>
      <c r="B9" s="2416"/>
      <c r="C9" s="2416"/>
      <c r="D9" s="2416"/>
      <c r="E9" s="2416"/>
      <c r="F9" s="2417"/>
      <c r="G9" s="2386" t="str">
        <f>COVER!T13</f>
        <v>EVOY, KAMSCHULTE, JACOBS &amp; CO. LLP</v>
      </c>
      <c r="H9" s="2418"/>
      <c r="I9" s="2418"/>
      <c r="J9" s="2418"/>
      <c r="K9" s="2418"/>
      <c r="L9" s="2419"/>
    </row>
    <row r="10" spans="1:29" ht="13.5" customHeight="1" x14ac:dyDescent="0.2">
      <c r="A10" s="2392" t="str">
        <f>COVER!A38</f>
        <v>DR. KERRY FODERARO</v>
      </c>
      <c r="B10" s="2393"/>
      <c r="C10" s="2393"/>
      <c r="D10" s="2393"/>
      <c r="E10" s="2393"/>
      <c r="F10" s="2394"/>
      <c r="G10" s="2386" t="str">
        <f>COVER!T17</f>
        <v>2122 YEOMAN STREET</v>
      </c>
      <c r="H10" s="2387"/>
      <c r="I10" s="2387"/>
      <c r="J10" s="2387"/>
      <c r="K10" s="2387"/>
      <c r="L10" s="2388"/>
    </row>
    <row r="11" spans="1:29" ht="13.5" customHeight="1" x14ac:dyDescent="0.2">
      <c r="A11" s="1184" t="s">
        <v>1518</v>
      </c>
      <c r="B11" s="1185"/>
      <c r="C11" s="1186"/>
      <c r="D11" s="1191"/>
      <c r="E11" s="1186"/>
      <c r="F11" s="1190"/>
      <c r="G11" s="2386" t="str">
        <f>COVER!T19</f>
        <v>WAUKEGAN</v>
      </c>
      <c r="H11" s="2387"/>
      <c r="I11" s="2387"/>
      <c r="J11" s="2387"/>
      <c r="K11" s="2387"/>
      <c r="L11" s="2388"/>
    </row>
    <row r="12" spans="1:29" ht="13.5" customHeight="1" x14ac:dyDescent="0.2">
      <c r="A12" s="2395" t="s">
        <v>1517</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1519</v>
      </c>
      <c r="H13" s="2382"/>
      <c r="I13" s="2398" t="str">
        <f>COVER!T25</f>
        <v>JHENRY@EKJLLP.COM</v>
      </c>
      <c r="J13" s="2399"/>
      <c r="K13" s="2399"/>
      <c r="L13" s="2400"/>
    </row>
    <row r="14" spans="1:29" ht="13.5" customHeight="1" x14ac:dyDescent="0.2">
      <c r="A14" s="2386" t="str">
        <f>COVER!A19</f>
        <v>8502 BAILEY ROAD</v>
      </c>
      <c r="B14" s="2387"/>
      <c r="C14" s="2387"/>
      <c r="D14" s="2387"/>
      <c r="E14" s="2387"/>
      <c r="F14" s="2388"/>
      <c r="G14" s="1195" t="s">
        <v>1184</v>
      </c>
      <c r="H14" s="1193"/>
      <c r="I14" s="1193"/>
      <c r="J14" s="1193"/>
      <c r="K14" s="1193"/>
      <c r="L14" s="1194"/>
    </row>
    <row r="15" spans="1:29" ht="13.5" customHeight="1" x14ac:dyDescent="0.2">
      <c r="A15" s="2386" t="str">
        <f>COVER!A21</f>
        <v>DARIEN</v>
      </c>
      <c r="B15" s="2387"/>
      <c r="C15" s="2387"/>
      <c r="D15" s="2387"/>
      <c r="E15" s="2387"/>
      <c r="F15" s="2388"/>
      <c r="G15" s="2383" t="str">
        <f>COVER!T15</f>
        <v>JAMES HENRY, CPA</v>
      </c>
      <c r="H15" s="2384"/>
      <c r="I15" s="2384"/>
      <c r="J15" s="2384"/>
      <c r="K15" s="2384"/>
      <c r="L15" s="2385"/>
    </row>
    <row r="16" spans="1:29" ht="12.2" customHeight="1" x14ac:dyDescent="0.2">
      <c r="A16" s="2408">
        <f>COVER!A25</f>
        <v>60561</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1183</v>
      </c>
      <c r="H17" s="1193"/>
      <c r="I17" s="1193"/>
      <c r="J17" s="1193"/>
      <c r="K17" s="1197" t="s">
        <v>1182</v>
      </c>
      <c r="L17" s="1190"/>
      <c r="M17" s="1183"/>
    </row>
    <row r="18" spans="1:13" ht="12.2" customHeight="1" x14ac:dyDescent="0.2">
      <c r="A18" s="2392"/>
      <c r="B18" s="2393"/>
      <c r="C18" s="2393"/>
      <c r="D18" s="2393"/>
      <c r="E18" s="2393"/>
      <c r="F18" s="2394"/>
      <c r="G18" s="2402" t="str">
        <f>COVER!T21</f>
        <v>847-662-8300</v>
      </c>
      <c r="H18" s="2403"/>
      <c r="I18" s="2403"/>
      <c r="J18" s="2403"/>
      <c r="K18" s="2402" t="str">
        <f>COVER!X21</f>
        <v>847-662-8305</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Cass SD 63</v>
      </c>
      <c r="B1" s="2401"/>
      <c r="C1" s="2401"/>
      <c r="D1" s="2401"/>
    </row>
    <row r="2" spans="1:11" s="1212" customFormat="1" ht="12.75" x14ac:dyDescent="0.2">
      <c r="A2" s="2425">
        <f>'Single Audit Cover'!E7</f>
        <v>19022063002</v>
      </c>
      <c r="B2" s="2426"/>
      <c r="C2" s="2426"/>
      <c r="D2" s="2426"/>
    </row>
    <row r="3" spans="1:11" s="1212" customFormat="1" ht="12.75" x14ac:dyDescent="0.2">
      <c r="A3" s="2424" t="s">
        <v>1512</v>
      </c>
      <c r="B3" s="2401"/>
      <c r="C3" s="2401"/>
      <c r="D3" s="2401"/>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Cass SD 63</v>
      </c>
      <c r="B1" s="2428"/>
      <c r="C1" s="2428"/>
      <c r="D1" s="2428"/>
      <c r="E1" s="2428"/>
    </row>
    <row r="2" spans="1:5" x14ac:dyDescent="0.2">
      <c r="A2" s="2429">
        <f>'Single Audit Cover'!E7</f>
        <v>19022063002</v>
      </c>
      <c r="B2" s="2429"/>
      <c r="C2" s="2429"/>
      <c r="D2" s="2429"/>
      <c r="E2" s="2429"/>
    </row>
    <row r="3" spans="1:5" ht="4.5" customHeight="1" x14ac:dyDescent="0.2"/>
    <row r="4" spans="1:5" x14ac:dyDescent="0.2">
      <c r="A4" s="2428" t="s">
        <v>1244</v>
      </c>
      <c r="B4" s="2428"/>
      <c r="C4" s="2428"/>
      <c r="D4" s="2428"/>
      <c r="E4" s="2428"/>
    </row>
    <row r="5" spans="1:5" x14ac:dyDescent="0.2">
      <c r="A5" s="2431" t="str">
        <f>'Single Audit Cover'!A4</f>
        <v>Year Ending June 30, 2019</v>
      </c>
      <c r="B5" s="2431"/>
      <c r="C5" s="2431"/>
      <c r="D5" s="2431"/>
      <c r="E5" s="2431"/>
    </row>
    <row r="6" spans="1:5" x14ac:dyDescent="0.2">
      <c r="A6" s="2428" t="s">
        <v>1243</v>
      </c>
      <c r="B6" s="2428"/>
      <c r="C6" s="2428"/>
      <c r="D6" s="2428"/>
      <c r="E6" s="2428"/>
    </row>
    <row r="8" spans="1:5" x14ac:dyDescent="0.2">
      <c r="A8" s="1257" t="s">
        <v>1242</v>
      </c>
    </row>
    <row r="10" spans="1:5" x14ac:dyDescent="0.2">
      <c r="A10" s="1258" t="s">
        <v>1241</v>
      </c>
      <c r="B10" s="1259" t="s">
        <v>1240</v>
      </c>
      <c r="C10" s="1259"/>
      <c r="D10" s="1260">
        <f>SUM('Acct Summary 7-8'!C7:K7)</f>
        <v>755868</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7827</v>
      </c>
    </row>
    <row r="15" spans="1:5" x14ac:dyDescent="0.2">
      <c r="A15" s="1258"/>
      <c r="B15" s="1259"/>
      <c r="C15" s="1259"/>
    </row>
    <row r="16" spans="1:5" x14ac:dyDescent="0.2">
      <c r="A16" s="1258" t="s">
        <v>1843</v>
      </c>
      <c r="B16" s="1259"/>
      <c r="C16" s="1259"/>
    </row>
    <row r="17" spans="1:4" x14ac:dyDescent="0.2">
      <c r="A17" s="1258" t="s">
        <v>2060</v>
      </c>
      <c r="B17" s="1259" t="s">
        <v>1235</v>
      </c>
      <c r="C17" s="1259"/>
      <c r="D17" s="1261">
        <f>-SUM('Revenues 9-14'!C264:D264,'Revenues 9-14'!F264:G264)</f>
        <v>-20081</v>
      </c>
    </row>
    <row r="19" spans="1:4" ht="13.5" thickBot="1" x14ac:dyDescent="0.25">
      <c r="A19" s="1262" t="s">
        <v>1234</v>
      </c>
      <c r="D19" s="1263">
        <f>SUM(D10:D17)</f>
        <v>743614</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1232</v>
      </c>
      <c r="D32" s="1260">
        <f>SUM(D19:D30)</f>
        <v>743614</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1226</v>
      </c>
      <c r="C47" s="1269"/>
      <c r="D47" s="1270">
        <f>SUM(D35:D45)</f>
        <v>0</v>
      </c>
    </row>
    <row r="49" spans="2:4" x14ac:dyDescent="0.2">
      <c r="B49" s="1269" t="s">
        <v>1225</v>
      </c>
      <c r="C49" s="1269"/>
      <c r="D49" s="1270">
        <f>D32-D47</f>
        <v>743614</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7" sqref="I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Cass SD 63</v>
      </c>
      <c r="C1" s="2432"/>
      <c r="D1" s="2432"/>
      <c r="E1" s="2432"/>
      <c r="F1" s="2432"/>
      <c r="G1" s="2432"/>
      <c r="H1" s="2432"/>
      <c r="I1" s="2432"/>
      <c r="J1" s="2432"/>
      <c r="K1" s="2432"/>
      <c r="L1" s="2432"/>
      <c r="M1" s="2432"/>
    </row>
    <row r="2" spans="2:14" ht="15" x14ac:dyDescent="0.2">
      <c r="B2" s="2433">
        <f>'Single Audit Cover'!E7</f>
        <v>19022063002</v>
      </c>
      <c r="C2" s="2433"/>
      <c r="D2" s="2433"/>
      <c r="E2" s="2433"/>
      <c r="F2" s="2433"/>
      <c r="G2" s="2433"/>
      <c r="H2" s="2433"/>
      <c r="I2" s="2433"/>
      <c r="J2" s="2433"/>
      <c r="K2" s="2433"/>
      <c r="L2" s="2433"/>
      <c r="M2" s="2433"/>
      <c r="N2" s="1299"/>
    </row>
    <row r="3" spans="2:14" ht="15" x14ac:dyDescent="0.2">
      <c r="B3" s="2434" t="s">
        <v>1218</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2111</v>
      </c>
      <c r="C11" s="1335"/>
      <c r="D11" s="1336"/>
      <c r="E11" s="1337"/>
      <c r="F11" s="1337"/>
      <c r="G11" s="1337"/>
      <c r="H11" s="1337"/>
      <c r="I11" s="1337"/>
      <c r="J11" s="1337"/>
      <c r="K11" s="1337"/>
      <c r="L11" s="1337">
        <f>+G11+I11+K11</f>
        <v>0</v>
      </c>
      <c r="M11" s="1337"/>
    </row>
    <row r="12" spans="2:14" ht="20.100000000000001" customHeight="1" x14ac:dyDescent="0.2">
      <c r="B12" s="1334" t="s">
        <v>2112</v>
      </c>
      <c r="C12" s="1338"/>
      <c r="D12" s="1339"/>
      <c r="E12" s="1340"/>
      <c r="F12" s="1340"/>
      <c r="G12" s="1340"/>
      <c r="H12" s="1340"/>
      <c r="I12" s="1340"/>
      <c r="J12" s="1340"/>
      <c r="K12" s="1340"/>
      <c r="L12" s="1337">
        <f t="shared" ref="L12:L27" si="0">+G12+I12+K12</f>
        <v>0</v>
      </c>
      <c r="M12" s="1340"/>
    </row>
    <row r="13" spans="2:14" ht="20.100000000000001" customHeight="1" x14ac:dyDescent="0.2">
      <c r="B13" s="1334" t="s">
        <v>2113</v>
      </c>
      <c r="C13" s="1338"/>
      <c r="D13" s="1339"/>
      <c r="E13" s="1340"/>
      <c r="F13" s="1340"/>
      <c r="G13" s="1340"/>
      <c r="H13" s="1340"/>
      <c r="I13" s="1340"/>
      <c r="J13" s="1340"/>
      <c r="K13" s="1340"/>
      <c r="L13" s="1337">
        <f t="shared" si="0"/>
        <v>0</v>
      </c>
      <c r="M13" s="1340"/>
    </row>
    <row r="14" spans="2:14" ht="20.100000000000001" customHeight="1" x14ac:dyDescent="0.2">
      <c r="B14" s="1334" t="s">
        <v>2114</v>
      </c>
      <c r="C14" s="1338">
        <v>10.555</v>
      </c>
      <c r="D14" s="1339" t="s">
        <v>2115</v>
      </c>
      <c r="E14" s="1340"/>
      <c r="F14" s="1340">
        <v>45635</v>
      </c>
      <c r="G14" s="1340"/>
      <c r="H14" s="1340"/>
      <c r="I14" s="1340">
        <v>45635</v>
      </c>
      <c r="J14" s="1340"/>
      <c r="K14" s="1340"/>
      <c r="L14" s="1337">
        <f t="shared" si="0"/>
        <v>45635</v>
      </c>
      <c r="M14" s="1340"/>
    </row>
    <row r="15" spans="2:14" ht="20.100000000000001" customHeight="1" x14ac:dyDescent="0.2">
      <c r="B15" s="1334" t="s">
        <v>2114</v>
      </c>
      <c r="C15" s="1338">
        <v>10.555</v>
      </c>
      <c r="D15" s="1339" t="s">
        <v>2116</v>
      </c>
      <c r="E15" s="1340">
        <v>42419</v>
      </c>
      <c r="F15" s="1340">
        <v>17490</v>
      </c>
      <c r="G15" s="1340">
        <v>42419</v>
      </c>
      <c r="H15" s="1340"/>
      <c r="I15" s="1340">
        <v>17490</v>
      </c>
      <c r="J15" s="1340"/>
      <c r="K15" s="1340"/>
      <c r="L15" s="1337">
        <f t="shared" si="0"/>
        <v>59909</v>
      </c>
      <c r="M15" s="1340"/>
    </row>
    <row r="16" spans="2:14" ht="20.100000000000001" customHeight="1" x14ac:dyDescent="0.2">
      <c r="B16" s="1334" t="s">
        <v>2117</v>
      </c>
      <c r="C16" s="1338">
        <v>10.555</v>
      </c>
      <c r="D16" s="1339" t="s">
        <v>2115</v>
      </c>
      <c r="E16" s="1340"/>
      <c r="F16" s="1340">
        <v>6389</v>
      </c>
      <c r="G16" s="1340"/>
      <c r="H16" s="1340"/>
      <c r="I16" s="1340">
        <v>6389</v>
      </c>
      <c r="J16" s="1340"/>
      <c r="K16" s="1340"/>
      <c r="L16" s="1337">
        <f t="shared" si="0"/>
        <v>6389</v>
      </c>
      <c r="M16" s="1340"/>
    </row>
    <row r="17" spans="2:14" ht="20.100000000000001" customHeight="1" x14ac:dyDescent="0.2">
      <c r="B17" s="1334" t="s">
        <v>2118</v>
      </c>
      <c r="C17" s="1338">
        <v>10.555</v>
      </c>
      <c r="D17" s="1339" t="s">
        <v>2115</v>
      </c>
      <c r="E17" s="1340"/>
      <c r="F17" s="1340">
        <v>1438</v>
      </c>
      <c r="G17" s="1340"/>
      <c r="H17" s="1340"/>
      <c r="I17" s="1340">
        <v>1438</v>
      </c>
      <c r="J17" s="1340"/>
      <c r="K17" s="1340"/>
      <c r="L17" s="1337">
        <f t="shared" si="0"/>
        <v>1438</v>
      </c>
      <c r="M17" s="1340"/>
    </row>
    <row r="18" spans="2:14" ht="20.100000000000001" customHeight="1" x14ac:dyDescent="0.2">
      <c r="B18" s="1334" t="s">
        <v>2119</v>
      </c>
      <c r="C18" s="1338"/>
      <c r="D18" s="1339"/>
      <c r="E18" s="1340">
        <v>42419</v>
      </c>
      <c r="F18" s="1340">
        <v>70952</v>
      </c>
      <c r="G18" s="1340">
        <v>42419</v>
      </c>
      <c r="H18" s="1340"/>
      <c r="I18" s="1340">
        <v>70952</v>
      </c>
      <c r="J18" s="1340"/>
      <c r="K18" s="1340"/>
      <c r="L18" s="1337">
        <f>+G18+I18+K18</f>
        <v>113371</v>
      </c>
      <c r="M18" s="1340"/>
    </row>
    <row r="19" spans="2:14" ht="20.100000000000001" customHeight="1" x14ac:dyDescent="0.2">
      <c r="B19" s="1334" t="s">
        <v>2120</v>
      </c>
      <c r="C19" s="1338"/>
      <c r="D19" s="1339"/>
      <c r="E19" s="1340">
        <v>42419</v>
      </c>
      <c r="F19" s="1340">
        <v>70952</v>
      </c>
      <c r="G19" s="1340">
        <v>42419</v>
      </c>
      <c r="H19" s="1340"/>
      <c r="I19" s="1340">
        <v>70952</v>
      </c>
      <c r="J19" s="1340"/>
      <c r="K19" s="1340"/>
      <c r="L19" s="1337">
        <f>+G19+I19+K19</f>
        <v>113371</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2110</v>
      </c>
      <c r="C21" s="1338"/>
      <c r="D21" s="1339"/>
      <c r="E21" s="1340"/>
      <c r="F21" s="1340"/>
      <c r="G21" s="1340"/>
      <c r="H21" s="1340"/>
      <c r="I21" s="1340"/>
      <c r="J21" s="1340"/>
      <c r="K21" s="1340"/>
      <c r="L21" s="1337">
        <f t="shared" si="0"/>
        <v>0</v>
      </c>
      <c r="M21" s="1340"/>
    </row>
    <row r="22" spans="2:14" ht="20.100000000000001" customHeight="1" x14ac:dyDescent="0.2">
      <c r="B22" s="1334" t="s">
        <v>2125</v>
      </c>
      <c r="C22" s="1338"/>
      <c r="D22" s="1339"/>
      <c r="E22" s="1340"/>
      <c r="F22" s="1340"/>
      <c r="G22" s="1340"/>
      <c r="H22" s="1340"/>
      <c r="I22" s="1340"/>
      <c r="J22" s="1340"/>
      <c r="K22" s="1340"/>
      <c r="L22" s="1337">
        <f t="shared" si="0"/>
        <v>0</v>
      </c>
      <c r="M22" s="1340"/>
    </row>
    <row r="23" spans="2:14" ht="20.100000000000001" customHeight="1" x14ac:dyDescent="0.2">
      <c r="B23" s="1334" t="s">
        <v>2121</v>
      </c>
      <c r="C23" s="1338">
        <v>84.040999999999997</v>
      </c>
      <c r="D23" s="1339" t="s">
        <v>2122</v>
      </c>
      <c r="E23" s="1340"/>
      <c r="F23" s="1340">
        <v>368499</v>
      </c>
      <c r="G23" s="1340"/>
      <c r="H23" s="1340"/>
      <c r="I23" s="1340">
        <v>368499</v>
      </c>
      <c r="J23" s="1340"/>
      <c r="K23" s="1340"/>
      <c r="L23" s="1337">
        <f t="shared" si="0"/>
        <v>368499</v>
      </c>
      <c r="M23" s="1340"/>
    </row>
    <row r="24" spans="2:14" ht="20.100000000000001" customHeight="1" x14ac:dyDescent="0.2">
      <c r="B24" s="1334" t="s">
        <v>2121</v>
      </c>
      <c r="C24" s="1338">
        <v>84.040999999999997</v>
      </c>
      <c r="D24" s="1339" t="s">
        <v>2123</v>
      </c>
      <c r="E24" s="1340">
        <v>368499</v>
      </c>
      <c r="F24" s="1340"/>
      <c r="G24" s="1340">
        <v>368499</v>
      </c>
      <c r="H24" s="1340"/>
      <c r="I24" s="1340">
        <v>0</v>
      </c>
      <c r="J24" s="1340"/>
      <c r="K24" s="1340"/>
      <c r="L24" s="1337">
        <f t="shared" si="0"/>
        <v>368499</v>
      </c>
      <c r="M24" s="1340"/>
    </row>
    <row r="25" spans="2:14" ht="20.100000000000001" customHeight="1" x14ac:dyDescent="0.2">
      <c r="B25" s="1334" t="s">
        <v>2121</v>
      </c>
      <c r="C25" s="1338">
        <v>84.040999999999997</v>
      </c>
      <c r="D25" s="1339" t="s">
        <v>2124</v>
      </c>
      <c r="E25" s="1340"/>
      <c r="F25" s="1340">
        <v>18879</v>
      </c>
      <c r="G25" s="1340"/>
      <c r="H25" s="1340"/>
      <c r="I25" s="1340">
        <v>0</v>
      </c>
      <c r="J25" s="1340"/>
      <c r="K25" s="1340"/>
      <c r="L25" s="1337">
        <f t="shared" si="0"/>
        <v>0</v>
      </c>
      <c r="M25" s="1340"/>
    </row>
    <row r="26" spans="2:14" ht="20.100000000000001" customHeight="1" x14ac:dyDescent="0.2">
      <c r="B26" s="1334" t="s">
        <v>2126</v>
      </c>
      <c r="C26" s="1338"/>
      <c r="D26" s="1339"/>
      <c r="E26" s="1340">
        <v>368499</v>
      </c>
      <c r="F26" s="1340">
        <v>387378</v>
      </c>
      <c r="G26" s="1340">
        <v>368499</v>
      </c>
      <c r="H26" s="1340"/>
      <c r="I26" s="1340">
        <v>368499</v>
      </c>
      <c r="J26" s="1340"/>
      <c r="K26" s="1340"/>
      <c r="L26" s="1337">
        <f t="shared" si="0"/>
        <v>736998</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J26" sqref="J2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Cass SD 63</v>
      </c>
      <c r="C1" s="2432"/>
      <c r="D1" s="2432"/>
      <c r="E1" s="2432"/>
      <c r="F1" s="2432"/>
      <c r="G1" s="2432"/>
      <c r="H1" s="2432"/>
      <c r="I1" s="2432"/>
      <c r="J1" s="2432"/>
      <c r="K1" s="2432"/>
      <c r="L1" s="2432"/>
      <c r="M1" s="2432"/>
    </row>
    <row r="2" spans="2:14" ht="15" x14ac:dyDescent="0.2">
      <c r="B2" s="2433">
        <f>'Single Audit Cover'!E7</f>
        <v>19022063002</v>
      </c>
      <c r="C2" s="2433"/>
      <c r="D2" s="2433"/>
      <c r="E2" s="2433"/>
      <c r="F2" s="2433"/>
      <c r="G2" s="2433"/>
      <c r="H2" s="2433"/>
      <c r="I2" s="2433"/>
      <c r="J2" s="2433"/>
      <c r="K2" s="2433"/>
      <c r="L2" s="2433"/>
      <c r="M2" s="2433"/>
      <c r="N2" s="1299"/>
    </row>
    <row r="3" spans="2:14" ht="15" x14ac:dyDescent="0.2">
      <c r="B3" s="2434" t="s">
        <v>1218</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2127</v>
      </c>
      <c r="C11" s="1335"/>
      <c r="D11" s="1336"/>
      <c r="E11" s="1337"/>
      <c r="F11" s="1337"/>
      <c r="G11" s="1337"/>
      <c r="H11" s="1337"/>
      <c r="I11" s="1337"/>
      <c r="J11" s="1337"/>
      <c r="K11" s="1337"/>
      <c r="L11" s="1337">
        <f>+G11+I11+K11</f>
        <v>0</v>
      </c>
      <c r="M11" s="1337"/>
    </row>
    <row r="12" spans="2:14" ht="20.100000000000001" customHeight="1" x14ac:dyDescent="0.2">
      <c r="B12" s="1334" t="s">
        <v>2112</v>
      </c>
      <c r="C12" s="1338"/>
      <c r="D12" s="1339"/>
      <c r="E12" s="1340"/>
      <c r="F12" s="1340"/>
      <c r="G12" s="1340"/>
      <c r="H12" s="1340"/>
      <c r="I12" s="1340"/>
      <c r="J12" s="1340"/>
      <c r="K12" s="1340"/>
      <c r="L12" s="1337">
        <f t="shared" ref="L12:L27" si="0">+G12+I12+K12</f>
        <v>0</v>
      </c>
      <c r="M12" s="1340"/>
    </row>
    <row r="13" spans="2:14" ht="20.100000000000001" customHeight="1" x14ac:dyDescent="0.2">
      <c r="B13" s="1334" t="s">
        <v>2128</v>
      </c>
      <c r="C13" s="1338">
        <v>84.01</v>
      </c>
      <c r="D13" s="1339" t="s">
        <v>2129</v>
      </c>
      <c r="E13" s="1340"/>
      <c r="F13" s="1340">
        <v>55200</v>
      </c>
      <c r="G13" s="1340"/>
      <c r="H13" s="1340"/>
      <c r="I13" s="1340">
        <v>61030</v>
      </c>
      <c r="J13" s="1340"/>
      <c r="K13" s="1340"/>
      <c r="L13" s="1337">
        <f t="shared" si="0"/>
        <v>61030</v>
      </c>
      <c r="M13" s="1340"/>
    </row>
    <row r="14" spans="2:14" ht="20.100000000000001" customHeight="1" x14ac:dyDescent="0.2">
      <c r="B14" s="1334" t="s">
        <v>2128</v>
      </c>
      <c r="C14" s="1338">
        <v>84.01</v>
      </c>
      <c r="D14" s="1339" t="s">
        <v>2130</v>
      </c>
      <c r="E14" s="1340">
        <v>63880</v>
      </c>
      <c r="F14" s="1340">
        <v>15424</v>
      </c>
      <c r="G14" s="1340">
        <v>79304</v>
      </c>
      <c r="H14" s="1340"/>
      <c r="I14" s="1340">
        <v>0</v>
      </c>
      <c r="J14" s="1340"/>
      <c r="K14" s="1340"/>
      <c r="L14" s="1337">
        <f t="shared" si="0"/>
        <v>79304</v>
      </c>
      <c r="M14" s="1340"/>
    </row>
    <row r="15" spans="2:14" ht="20.100000000000001" customHeight="1" x14ac:dyDescent="0.2">
      <c r="B15" s="1334" t="s">
        <v>2131</v>
      </c>
      <c r="C15" s="1338">
        <v>84.424000000000007</v>
      </c>
      <c r="D15" s="1339" t="s">
        <v>2132</v>
      </c>
      <c r="E15" s="1340"/>
      <c r="F15" s="1340">
        <v>10000</v>
      </c>
      <c r="G15" s="1340"/>
      <c r="H15" s="1340"/>
      <c r="I15" s="1340">
        <v>10000</v>
      </c>
      <c r="J15" s="1340"/>
      <c r="K15" s="1340"/>
      <c r="L15" s="1337">
        <f t="shared" si="0"/>
        <v>10000</v>
      </c>
      <c r="M15" s="1340"/>
    </row>
    <row r="16" spans="2:14" ht="20.100000000000001" customHeight="1" x14ac:dyDescent="0.2">
      <c r="B16" s="1334" t="s">
        <v>2133</v>
      </c>
      <c r="C16" s="1338">
        <v>84.367000000000004</v>
      </c>
      <c r="D16" s="1339" t="s">
        <v>2134</v>
      </c>
      <c r="E16" s="1340"/>
      <c r="F16" s="1340">
        <v>14388</v>
      </c>
      <c r="G16" s="1340"/>
      <c r="H16" s="1340"/>
      <c r="I16" s="1340">
        <v>14388</v>
      </c>
      <c r="J16" s="1340"/>
      <c r="K16" s="1340"/>
      <c r="L16" s="1337">
        <f t="shared" si="0"/>
        <v>14388</v>
      </c>
      <c r="M16" s="1340"/>
    </row>
    <row r="17" spans="2:14" ht="20.100000000000001" customHeight="1" x14ac:dyDescent="0.2">
      <c r="B17" s="1334" t="s">
        <v>2133</v>
      </c>
      <c r="C17" s="1338">
        <v>84.367000000000004</v>
      </c>
      <c r="D17" s="1339" t="s">
        <v>2135</v>
      </c>
      <c r="E17" s="1340">
        <v>18260</v>
      </c>
      <c r="F17" s="1340"/>
      <c r="G17" s="1340">
        <v>18260</v>
      </c>
      <c r="H17" s="1340"/>
      <c r="I17" s="1340">
        <v>0</v>
      </c>
      <c r="J17" s="1340"/>
      <c r="K17" s="1340"/>
      <c r="L17" s="1337">
        <f t="shared" si="0"/>
        <v>18260</v>
      </c>
      <c r="M17" s="1340"/>
    </row>
    <row r="18" spans="2:14" ht="20.100000000000001" customHeight="1" x14ac:dyDescent="0.2">
      <c r="B18" s="1334" t="s">
        <v>2145</v>
      </c>
      <c r="C18" s="1338"/>
      <c r="D18" s="1339"/>
      <c r="E18" s="1340"/>
      <c r="F18" s="1340"/>
      <c r="G18" s="1340"/>
      <c r="H18" s="1340"/>
      <c r="I18" s="1340"/>
      <c r="J18" s="1340"/>
      <c r="K18" s="1340"/>
      <c r="L18" s="1337">
        <f t="shared" si="0"/>
        <v>0</v>
      </c>
      <c r="M18" s="1340"/>
    </row>
    <row r="19" spans="2:14" ht="20.100000000000001" customHeight="1" x14ac:dyDescent="0.2">
      <c r="B19" s="1334" t="s">
        <v>2136</v>
      </c>
      <c r="C19" s="1338">
        <v>84.027000000000001</v>
      </c>
      <c r="D19" s="1339" t="s">
        <v>2137</v>
      </c>
      <c r="E19" s="1340"/>
      <c r="F19" s="1340">
        <v>24464</v>
      </c>
      <c r="G19" s="1340">
        <v>24464</v>
      </c>
      <c r="H19" s="1340"/>
      <c r="I19" s="1340">
        <v>0</v>
      </c>
      <c r="J19" s="1340"/>
      <c r="K19" s="1340"/>
      <c r="L19" s="1337">
        <f t="shared" si="0"/>
        <v>24464</v>
      </c>
      <c r="M19" s="1340"/>
    </row>
    <row r="20" spans="2:14" ht="20.100000000000001" customHeight="1" x14ac:dyDescent="0.2">
      <c r="B20" s="1334" t="s">
        <v>2138</v>
      </c>
      <c r="C20" s="1338"/>
      <c r="D20" s="1339"/>
      <c r="E20" s="1340"/>
      <c r="F20" s="1340"/>
      <c r="G20" s="1340"/>
      <c r="H20" s="1340"/>
      <c r="I20" s="1340"/>
      <c r="J20" s="1340"/>
      <c r="K20" s="1340"/>
      <c r="L20" s="1337">
        <f t="shared" si="0"/>
        <v>0</v>
      </c>
      <c r="M20" s="1340"/>
    </row>
    <row r="21" spans="2:14" ht="20.100000000000001" customHeight="1" x14ac:dyDescent="0.2">
      <c r="B21" s="1334" t="s">
        <v>2139</v>
      </c>
      <c r="C21" s="1338">
        <v>84.173000000000002</v>
      </c>
      <c r="D21" s="1339" t="s">
        <v>2140</v>
      </c>
      <c r="E21" s="1340"/>
      <c r="F21" s="1340">
        <v>4289</v>
      </c>
      <c r="G21" s="1340"/>
      <c r="H21" s="1340"/>
      <c r="I21" s="1340">
        <v>4289</v>
      </c>
      <c r="J21" s="1340"/>
      <c r="K21" s="1340"/>
      <c r="L21" s="1337">
        <f t="shared" si="0"/>
        <v>4289</v>
      </c>
      <c r="M21" s="1340"/>
    </row>
    <row r="22" spans="2:14" ht="20.100000000000001" customHeight="1" x14ac:dyDescent="0.2">
      <c r="B22" s="1334" t="s">
        <v>2139</v>
      </c>
      <c r="C22" s="1338">
        <v>84.173000000000002</v>
      </c>
      <c r="D22" s="1339" t="s">
        <v>2141</v>
      </c>
      <c r="E22" s="1340">
        <v>4612</v>
      </c>
      <c r="F22" s="1340"/>
      <c r="G22" s="1340">
        <v>4612</v>
      </c>
      <c r="H22" s="1340"/>
      <c r="I22" s="1340">
        <v>0</v>
      </c>
      <c r="J22" s="1340"/>
      <c r="K22" s="1340"/>
      <c r="L22" s="1337">
        <f t="shared" si="0"/>
        <v>4612</v>
      </c>
      <c r="M22" s="1340"/>
    </row>
    <row r="23" spans="2:14" ht="20.100000000000001" customHeight="1" x14ac:dyDescent="0.2">
      <c r="B23" s="1334" t="s">
        <v>2142</v>
      </c>
      <c r="C23" s="1338">
        <v>84.027000000000001</v>
      </c>
      <c r="D23" s="1339" t="s">
        <v>2143</v>
      </c>
      <c r="E23" s="1340"/>
      <c r="F23" s="1340">
        <v>142186</v>
      </c>
      <c r="G23" s="1340"/>
      <c r="H23" s="1340"/>
      <c r="I23" s="1340">
        <v>143676</v>
      </c>
      <c r="J23" s="1340"/>
      <c r="K23" s="1340"/>
      <c r="L23" s="1337">
        <f t="shared" si="0"/>
        <v>143676</v>
      </c>
      <c r="M23" s="1340"/>
    </row>
    <row r="24" spans="2:14" ht="20.100000000000001" customHeight="1" x14ac:dyDescent="0.2">
      <c r="B24" s="1334" t="s">
        <v>2142</v>
      </c>
      <c r="C24" s="1338">
        <v>84.027000000000001</v>
      </c>
      <c r="D24" s="1339" t="s">
        <v>2144</v>
      </c>
      <c r="E24" s="1340">
        <v>135199</v>
      </c>
      <c r="F24" s="1340">
        <v>10980</v>
      </c>
      <c r="G24" s="1340">
        <v>146179</v>
      </c>
      <c r="H24" s="1340"/>
      <c r="I24" s="1340">
        <v>0</v>
      </c>
      <c r="J24" s="1340"/>
      <c r="K24" s="1340"/>
      <c r="L24" s="1337">
        <f t="shared" si="0"/>
        <v>146179</v>
      </c>
      <c r="M24" s="1340"/>
    </row>
    <row r="25" spans="2:14" ht="20.100000000000001" customHeight="1" x14ac:dyDescent="0.2">
      <c r="B25" s="1334" t="s">
        <v>2146</v>
      </c>
      <c r="C25" s="1338"/>
      <c r="D25" s="1339"/>
      <c r="E25" s="1340">
        <v>139811</v>
      </c>
      <c r="F25" s="1340">
        <v>181919</v>
      </c>
      <c r="G25" s="1340">
        <v>175255</v>
      </c>
      <c r="H25" s="1340"/>
      <c r="I25" s="1340">
        <v>147965</v>
      </c>
      <c r="J25" s="1340"/>
      <c r="K25" s="1340"/>
      <c r="L25" s="1337">
        <f t="shared" si="0"/>
        <v>323220</v>
      </c>
      <c r="M25" s="1340"/>
    </row>
    <row r="26" spans="2:14" ht="20.100000000000001" customHeight="1" x14ac:dyDescent="0.2">
      <c r="B26" s="1334" t="s">
        <v>2147</v>
      </c>
      <c r="C26" s="1338"/>
      <c r="D26" s="1339"/>
      <c r="E26" s="1340">
        <v>590450</v>
      </c>
      <c r="F26" s="1340">
        <v>664309</v>
      </c>
      <c r="G26" s="1340">
        <v>641318</v>
      </c>
      <c r="H26" s="1340"/>
      <c r="I26" s="1340">
        <v>601882</v>
      </c>
      <c r="J26" s="1340"/>
      <c r="K26" s="1340"/>
      <c r="L26" s="1337">
        <f t="shared" si="0"/>
        <v>1243200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1167</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7" t="s">
        <v>1632</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312</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2063</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1322</v>
      </c>
      <c r="B70" s="2070"/>
      <c r="C70" s="2070"/>
      <c r="D70" s="2070"/>
      <c r="E70" s="2071"/>
      <c r="F70" s="2071"/>
      <c r="G70" s="2071"/>
      <c r="H70" s="2071"/>
      <c r="I70" s="207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1319</v>
      </c>
      <c r="B83" s="2072"/>
      <c r="C83" s="2072"/>
      <c r="D83" s="207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2072</v>
      </c>
      <c r="D114" s="206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1329</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J18" sqref="J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Cass SD 63</v>
      </c>
      <c r="C1" s="2432"/>
      <c r="D1" s="2432"/>
      <c r="E1" s="2432"/>
      <c r="F1" s="2432"/>
      <c r="G1" s="2432"/>
      <c r="H1" s="2432"/>
      <c r="I1" s="2432"/>
      <c r="J1" s="2432"/>
      <c r="K1" s="2432"/>
      <c r="L1" s="2432"/>
      <c r="M1" s="2432"/>
    </row>
    <row r="2" spans="2:14" ht="15" x14ac:dyDescent="0.2">
      <c r="B2" s="2433">
        <f>'Single Audit Cover'!E7</f>
        <v>19022063002</v>
      </c>
      <c r="C2" s="2433"/>
      <c r="D2" s="2433"/>
      <c r="E2" s="2433"/>
      <c r="F2" s="2433"/>
      <c r="G2" s="2433"/>
      <c r="H2" s="2433"/>
      <c r="I2" s="2433"/>
      <c r="J2" s="2433"/>
      <c r="K2" s="2433"/>
      <c r="L2" s="2433"/>
      <c r="M2" s="2433"/>
      <c r="N2" s="1299"/>
    </row>
    <row r="3" spans="2:14" ht="15" x14ac:dyDescent="0.2">
      <c r="B3" s="2434" t="s">
        <v>1218</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2148</v>
      </c>
      <c r="C11" s="1335"/>
      <c r="D11" s="1336"/>
      <c r="E11" s="1337"/>
      <c r="F11" s="1337"/>
      <c r="G11" s="1337"/>
      <c r="H11" s="1337"/>
      <c r="I11" s="1337"/>
      <c r="J11" s="1337"/>
      <c r="K11" s="1337"/>
      <c r="L11" s="1337">
        <f>+G11+I11+K11</f>
        <v>0</v>
      </c>
      <c r="M11" s="1337"/>
    </row>
    <row r="12" spans="2:14" ht="20.100000000000001" customHeight="1" x14ac:dyDescent="0.2">
      <c r="B12" s="1334" t="s">
        <v>2149</v>
      </c>
      <c r="C12" s="1338"/>
      <c r="D12" s="1339"/>
      <c r="E12" s="1340"/>
      <c r="F12" s="1340"/>
      <c r="G12" s="1340"/>
      <c r="H12" s="1340"/>
      <c r="I12" s="1340"/>
      <c r="J12" s="1340"/>
      <c r="K12" s="1340"/>
      <c r="L12" s="1337">
        <f t="shared" ref="L12:L27" si="0">+G12+I12+K12</f>
        <v>0</v>
      </c>
      <c r="M12" s="1340"/>
    </row>
    <row r="13" spans="2:14" ht="20.100000000000001" customHeight="1" x14ac:dyDescent="0.2">
      <c r="B13" s="1334" t="s">
        <v>2150</v>
      </c>
      <c r="C13" s="1338">
        <v>93.778000000000006</v>
      </c>
      <c r="D13" s="1339" t="s">
        <v>2151</v>
      </c>
      <c r="E13" s="1340"/>
      <c r="F13" s="1340">
        <v>6116</v>
      </c>
      <c r="G13" s="1340"/>
      <c r="H13" s="1340"/>
      <c r="I13" s="1340">
        <v>7421</v>
      </c>
      <c r="J13" s="1340"/>
      <c r="K13" s="1340"/>
      <c r="L13" s="1337">
        <f t="shared" si="0"/>
        <v>7421</v>
      </c>
      <c r="M13" s="1340"/>
    </row>
    <row r="14" spans="2:14" ht="20.100000000000001" customHeight="1" x14ac:dyDescent="0.2">
      <c r="B14" s="1334" t="s">
        <v>2150</v>
      </c>
      <c r="C14" s="1338">
        <v>93.778000000000006</v>
      </c>
      <c r="D14" s="1339" t="s">
        <v>2152</v>
      </c>
      <c r="E14" s="1340">
        <v>7708</v>
      </c>
      <c r="F14" s="1340">
        <v>2237</v>
      </c>
      <c r="G14" s="1340">
        <v>9945</v>
      </c>
      <c r="H14" s="1340"/>
      <c r="I14" s="1340">
        <v>0</v>
      </c>
      <c r="J14" s="1340"/>
      <c r="K14" s="1340"/>
      <c r="L14" s="1337">
        <f t="shared" si="0"/>
        <v>9945</v>
      </c>
      <c r="M14" s="1340"/>
    </row>
    <row r="15" spans="2:14" ht="20.100000000000001" customHeight="1" x14ac:dyDescent="0.2">
      <c r="B15" s="1334" t="s">
        <v>2153</v>
      </c>
      <c r="C15" s="1338"/>
      <c r="D15" s="1339"/>
      <c r="E15" s="1340">
        <v>7708</v>
      </c>
      <c r="F15" s="1340">
        <v>8353</v>
      </c>
      <c r="G15" s="1340">
        <v>9945</v>
      </c>
      <c r="H15" s="1340"/>
      <c r="I15" s="1340">
        <v>7421</v>
      </c>
      <c r="J15" s="1340"/>
      <c r="K15" s="1340"/>
      <c r="L15" s="1337">
        <f t="shared" si="0"/>
        <v>17366</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2154</v>
      </c>
      <c r="C18" s="1338"/>
      <c r="D18" s="1339"/>
      <c r="E18" s="1340">
        <v>640577</v>
      </c>
      <c r="F18" s="1340">
        <v>743614</v>
      </c>
      <c r="G18" s="1340">
        <v>693682</v>
      </c>
      <c r="H18" s="1340"/>
      <c r="I18" s="1340">
        <v>680255</v>
      </c>
      <c r="J18" s="1340"/>
      <c r="K18" s="1340"/>
      <c r="L18" s="1337">
        <f t="shared" si="0"/>
        <v>1373937</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Cass SD 63</v>
      </c>
      <c r="B1" s="2445"/>
      <c r="C1" s="2445"/>
      <c r="D1" s="2445"/>
      <c r="E1" s="2445"/>
      <c r="F1" s="2445"/>
    </row>
    <row r="2" spans="1:7" ht="13.5" customHeight="1" x14ac:dyDescent="0.2">
      <c r="A2" s="2433">
        <f>'Single Audit Cover'!E7</f>
        <v>19022063002</v>
      </c>
      <c r="B2" s="2433"/>
      <c r="C2" s="2433"/>
      <c r="D2" s="2433"/>
      <c r="E2" s="2433"/>
      <c r="F2" s="2433"/>
      <c r="G2" s="1272"/>
    </row>
    <row r="3" spans="1:7" ht="15.75" customHeight="1" x14ac:dyDescent="0.2">
      <c r="A3" s="2446" t="s">
        <v>1270</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1727</v>
      </c>
      <c r="C6" s="317"/>
      <c r="D6" s="317"/>
    </row>
    <row r="7" spans="1:7" ht="60.95" customHeight="1" x14ac:dyDescent="0.2">
      <c r="A7" s="2444" t="s">
        <v>1728</v>
      </c>
      <c r="B7" s="2444"/>
      <c r="C7" s="2444"/>
      <c r="D7" s="2444"/>
      <c r="E7" s="2444"/>
      <c r="F7" s="244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4" t="s">
        <v>1730</v>
      </c>
      <c r="B13" s="2444"/>
      <c r="C13" s="2444"/>
      <c r="D13" s="2444"/>
      <c r="E13" s="2444"/>
      <c r="F13" s="2444"/>
    </row>
    <row r="14" spans="1:7" ht="9.75" customHeight="1" x14ac:dyDescent="0.2">
      <c r="C14" s="1257"/>
      <c r="D14" s="1257"/>
    </row>
    <row r="15" spans="1:7" ht="13.5" customHeight="1" x14ac:dyDescent="0.2">
      <c r="C15" s="1846" t="s">
        <v>1269</v>
      </c>
      <c r="D15" s="2442" t="s">
        <v>1268</v>
      </c>
      <c r="E15" s="2442"/>
      <c r="F15" s="2442"/>
    </row>
    <row r="16" spans="1:7" ht="13.5" customHeight="1" x14ac:dyDescent="0.2">
      <c r="A16" s="1279"/>
      <c r="B16" s="1273" t="s">
        <v>1267</v>
      </c>
      <c r="C16" s="1846" t="s">
        <v>1266</v>
      </c>
      <c r="D16" s="2443" t="s">
        <v>1587</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38" t="s">
        <v>1731</v>
      </c>
      <c r="B32" s="2438"/>
      <c r="C32" s="2438"/>
      <c r="D32" s="2438"/>
      <c r="E32" s="2438"/>
      <c r="F32" s="2438"/>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39">
        <f>+C33+C34</f>
        <v>0</v>
      </c>
      <c r="F34" s="2440"/>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1589</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1550</v>
      </c>
      <c r="C51" s="2436"/>
      <c r="D51" s="2436"/>
    </row>
    <row r="52" spans="1:5" ht="14.25" customHeight="1" x14ac:dyDescent="0.2">
      <c r="A52" s="1298"/>
      <c r="B52" s="2436"/>
      <c r="C52" s="2436"/>
      <c r="D52" s="243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Cass SD 63</v>
      </c>
      <c r="C1" s="2460"/>
      <c r="D1" s="2460"/>
      <c r="E1" s="2460"/>
      <c r="F1" s="2460"/>
      <c r="G1" s="2460"/>
      <c r="H1" s="2460"/>
      <c r="I1" s="2460"/>
      <c r="J1" s="1406"/>
    </row>
    <row r="2" spans="2:10" s="317" customFormat="1" ht="12.75" customHeight="1" x14ac:dyDescent="0.2">
      <c r="B2" s="2461">
        <f>'Single Audit Cover'!E7</f>
        <v>19022063002</v>
      </c>
      <c r="C2" s="2462"/>
      <c r="D2" s="2462"/>
      <c r="E2" s="2462"/>
      <c r="F2" s="2462"/>
      <c r="G2" s="2462"/>
      <c r="H2" s="2462"/>
      <c r="I2" s="2462"/>
      <c r="J2" s="1406"/>
    </row>
    <row r="3" spans="2:10" s="317" customFormat="1" ht="12.75" customHeight="1" x14ac:dyDescent="0.2">
      <c r="B3" s="2463" t="s">
        <v>1284</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1283</v>
      </c>
      <c r="C7" s="2464"/>
      <c r="D7" s="2464"/>
      <c r="E7" s="2464"/>
      <c r="F7" s="2464"/>
      <c r="G7" s="2464"/>
      <c r="H7" s="2464"/>
      <c r="I7" s="2464"/>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5"/>
      <c r="D11" s="2465"/>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6"/>
      <c r="E29" s="2466"/>
      <c r="F29" s="2466"/>
      <c r="G29" s="2466"/>
      <c r="H29" s="2466"/>
      <c r="I29" s="2466"/>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7" t="s">
        <v>1750</v>
      </c>
      <c r="D37" s="2468"/>
      <c r="E37" s="2468"/>
      <c r="F37" s="2469"/>
      <c r="G37" s="2467" t="s">
        <v>1591</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1592</v>
      </c>
      <c r="D43" s="2449"/>
      <c r="E43" s="2449"/>
      <c r="F43" s="2450"/>
      <c r="G43" s="2451">
        <f>SUM(G38:I42)</f>
        <v>0</v>
      </c>
      <c r="H43" s="2451"/>
      <c r="I43" s="2451"/>
    </row>
    <row r="44" spans="2:9" ht="12.75" customHeight="1" x14ac:dyDescent="0.2"/>
    <row r="45" spans="2:9" ht="12.75" customHeight="1" x14ac:dyDescent="0.2">
      <c r="B45" s="1419" t="s">
        <v>1840</v>
      </c>
      <c r="D45" s="2452">
        <v>0</v>
      </c>
      <c r="E45" s="2453"/>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54"/>
      <c r="F49" s="2454"/>
      <c r="G49" s="2454"/>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Cass SD 63</v>
      </c>
      <c r="C1" s="2459"/>
      <c r="D1" s="2459"/>
      <c r="E1" s="2459"/>
      <c r="F1" s="2459"/>
      <c r="G1" s="2459"/>
      <c r="H1" s="2459"/>
      <c r="I1" s="2459"/>
      <c r="J1" s="2459"/>
      <c r="K1" s="2459"/>
      <c r="L1" s="1371"/>
      <c r="M1" s="1371"/>
    </row>
    <row r="2" spans="1:13" ht="12" customHeight="1" x14ac:dyDescent="0.2">
      <c r="B2" s="2461">
        <f>'Single Audit Cover'!E7</f>
        <v>19022063002</v>
      </c>
      <c r="C2" s="2461"/>
      <c r="D2" s="2461"/>
      <c r="E2" s="2461"/>
      <c r="F2" s="2461"/>
      <c r="G2" s="2461"/>
      <c r="H2" s="2461"/>
      <c r="I2" s="2461"/>
      <c r="J2" s="2461"/>
      <c r="K2" s="2461"/>
      <c r="L2" s="1372"/>
      <c r="M2" s="1373"/>
    </row>
    <row r="3" spans="1:13" ht="10.35" customHeight="1" x14ac:dyDescent="0.2">
      <c r="B3" s="2475" t="s">
        <v>1284</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1295</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Cass SD 63</v>
      </c>
      <c r="C1" s="2482"/>
      <c r="D1" s="2482"/>
      <c r="E1" s="2482"/>
      <c r="F1" s="2482"/>
      <c r="G1" s="2482"/>
      <c r="H1" s="2482"/>
      <c r="I1" s="2482"/>
      <c r="J1" s="2482"/>
      <c r="K1" s="2482"/>
      <c r="L1" s="1449"/>
    </row>
    <row r="2" spans="1:12" ht="12.75" customHeight="1" x14ac:dyDescent="0.2">
      <c r="B2" s="2483">
        <f>'Single Audit Cover'!E7</f>
        <v>19022063002</v>
      </c>
      <c r="C2" s="2483"/>
      <c r="D2" s="2483"/>
      <c r="E2" s="2483"/>
      <c r="F2" s="2483"/>
      <c r="G2" s="2483"/>
      <c r="H2" s="2483"/>
      <c r="I2" s="2483"/>
      <c r="J2" s="2483"/>
      <c r="K2" s="2483"/>
      <c r="L2" s="1450"/>
    </row>
    <row r="3" spans="1:12" ht="12.75" customHeight="1" x14ac:dyDescent="0.2">
      <c r="B3" s="2475" t="s">
        <v>1284</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1168</v>
      </c>
      <c r="C5" s="1257"/>
      <c r="L5" s="322"/>
    </row>
    <row r="6" spans="1:12" ht="30.75" customHeight="1" x14ac:dyDescent="0.2">
      <c r="A6" s="322"/>
      <c r="B6" s="2484" t="s">
        <v>1307</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79"/>
      <c r="E14" s="2479"/>
      <c r="F14" s="2479"/>
      <c r="H14" s="1459" t="s">
        <v>1302</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0"/>
      <c r="E16" s="2480"/>
      <c r="F16" s="2480"/>
      <c r="G16" s="2480"/>
      <c r="H16" s="2480"/>
      <c r="I16" s="2480"/>
      <c r="J16" s="2480"/>
      <c r="K16" s="2480"/>
      <c r="L16" s="322"/>
    </row>
    <row r="17" spans="2:12" ht="13.5" customHeight="1" x14ac:dyDescent="0.2">
      <c r="B17" s="1384" t="s">
        <v>1300</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Cass SD 63</v>
      </c>
      <c r="C1" s="2459"/>
      <c r="D1" s="2459"/>
      <c r="E1" s="1469"/>
    </row>
    <row r="2" spans="2:5" s="1279" customFormat="1" ht="12.75" customHeight="1" x14ac:dyDescent="0.2">
      <c r="B2" s="2461">
        <f>'Single Audit Cover'!E7</f>
        <v>19022063002</v>
      </c>
      <c r="C2" s="2461"/>
      <c r="D2" s="2461"/>
      <c r="E2" s="1470"/>
    </row>
    <row r="3" spans="2:5" ht="12.75" customHeight="1" x14ac:dyDescent="0.2">
      <c r="B3" s="2475" t="s">
        <v>1765</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385</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346910291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2.2270999999999999E-2</v>
      </c>
      <c r="E10" s="356" t="s">
        <v>1004</v>
      </c>
      <c r="F10" s="355">
        <v>2.7880000000000001E-3</v>
      </c>
      <c r="G10" s="356" t="s">
        <v>1004</v>
      </c>
      <c r="H10" s="355">
        <v>4.8700000000000002E-4</v>
      </c>
      <c r="I10" s="356" t="s">
        <v>1005</v>
      </c>
      <c r="J10" s="1732">
        <f>ROUND(D10+F10+H10,5)</f>
        <v>2.555E-2</v>
      </c>
      <c r="K10" s="222"/>
      <c r="L10" s="355">
        <v>0</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11411287</v>
      </c>
      <c r="E16" s="356"/>
      <c r="F16" s="1733">
        <f>SUM('Acct Summary 7-8'!C17,'Acct Summary 7-8'!D17,'Acct Summary 7-8'!F17)</f>
        <v>10923053</v>
      </c>
      <c r="G16" s="356"/>
      <c r="H16" s="1733">
        <f>SUM(D16-F16)</f>
        <v>488234</v>
      </c>
      <c r="I16" s="222"/>
      <c r="J16" s="1733">
        <f>SUM('Acct Summary 7-8'!C81,'Acct Summary 7-8'!D81,'Acct Summary 7-8'!F81,'Acct Summary 7-8'!I81)</f>
        <v>3856116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585</v>
      </c>
      <c r="D31" s="237" t="s">
        <v>1071</v>
      </c>
      <c r="E31" s="222"/>
      <c r="F31" s="222"/>
      <c r="G31" s="363"/>
      <c r="H31" s="1735">
        <f>IF(B31="X",(J7*0.069),IF(B32="X",(J7*0.138),"Enter x in a.or b."))</f>
        <v>23936810.079000004</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6892581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555</v>
      </c>
      <c r="B2" s="2102"/>
      <c r="C2" s="2102"/>
      <c r="D2" s="2102"/>
      <c r="E2" s="2102"/>
      <c r="F2" s="2102"/>
      <c r="G2" s="2102"/>
      <c r="H2" s="2102"/>
      <c r="I2" s="2102"/>
      <c r="J2" s="2102"/>
      <c r="K2" s="2102"/>
      <c r="L2" s="2102"/>
      <c r="M2" s="2102"/>
      <c r="N2" s="2102"/>
      <c r="O2" s="2102"/>
      <c r="P2" s="2102"/>
      <c r="Q2" s="2102"/>
      <c r="R2" s="2102"/>
    </row>
    <row r="3" spans="1:18" ht="12.75" x14ac:dyDescent="0.2">
      <c r="A3" s="2103" t="s">
        <v>1412</v>
      </c>
      <c r="B3" s="2103"/>
      <c r="C3" s="2103"/>
      <c r="D3" s="2103"/>
      <c r="E3" s="2103"/>
      <c r="F3" s="2103"/>
      <c r="G3" s="2103"/>
      <c r="H3" s="2103"/>
      <c r="I3" s="2103"/>
      <c r="J3" s="2103"/>
      <c r="K3" s="2103"/>
      <c r="L3" s="2103"/>
      <c r="M3" s="2103"/>
      <c r="N3" s="2103"/>
      <c r="O3" s="2103"/>
      <c r="P3" s="2103"/>
      <c r="Q3" s="2103"/>
      <c r="R3" s="2103"/>
    </row>
    <row r="4" spans="1:18" x14ac:dyDescent="0.2">
      <c r="A4" s="2104" t="s">
        <v>1553</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Cass SD 63</v>
      </c>
      <c r="E7" s="391"/>
      <c r="G7" s="252"/>
      <c r="H7" s="387"/>
      <c r="I7" s="387"/>
      <c r="J7" s="387"/>
      <c r="K7" s="387"/>
      <c r="L7" s="329"/>
      <c r="M7" s="329"/>
      <c r="N7" s="329"/>
      <c r="O7" s="329"/>
      <c r="P7" s="329"/>
    </row>
    <row r="8" spans="1:18" ht="12.75" x14ac:dyDescent="0.2">
      <c r="A8" s="329"/>
      <c r="B8" s="329"/>
      <c r="C8" s="389" t="s">
        <v>1124</v>
      </c>
      <c r="D8" s="392">
        <f>COVER!A13</f>
        <v>19022063002</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3856116</v>
      </c>
      <c r="I12" s="404"/>
      <c r="J12" s="404"/>
      <c r="K12" s="405">
        <f>TRUNC((H12/H13*100000),5)/100000</f>
        <v>0.35015284670000002</v>
      </c>
      <c r="L12" s="406"/>
      <c r="M12" s="360" t="s">
        <v>1143</v>
      </c>
      <c r="N12" s="360"/>
      <c r="O12" s="407">
        <v>0.35</v>
      </c>
      <c r="P12" s="218"/>
      <c r="Q12" s="218"/>
    </row>
    <row r="13" spans="1:18" s="408" customFormat="1" ht="12.75" x14ac:dyDescent="0.2">
      <c r="A13" s="218"/>
      <c r="B13" s="401"/>
      <c r="C13" s="2100" t="s">
        <v>1323</v>
      </c>
      <c r="D13" s="2101"/>
      <c r="E13" s="218"/>
      <c r="F13" s="409" t="s">
        <v>792</v>
      </c>
      <c r="G13" s="402"/>
      <c r="H13" s="403">
        <f>SUM('Acct Summary 7-8'!C8+'Acct Summary 7-8'!D8+'Acct Summary 7-8'!F8+'Acct Summary 7-8'!I8)+H14</f>
        <v>11012665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-398622</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10923053</v>
      </c>
      <c r="I17" s="404"/>
      <c r="J17" s="416"/>
      <c r="K17" s="405">
        <f>TRUNC((H17/H18*100000),5)/100000</f>
        <v>0.99186282329999997</v>
      </c>
      <c r="L17" s="406"/>
      <c r="M17" s="417" t="s">
        <v>1170</v>
      </c>
      <c r="O17" s="418" t="str">
        <f>IF(AND(O16="2", J20 &gt; 2),"1",IF(AND(O16 = "1", J20 &gt; 2),"2",IF(AND(O16="1", J20 &gt;1),"1","0")))</f>
        <v>0</v>
      </c>
      <c r="P17" s="218"/>
    </row>
    <row r="18" spans="1:18" s="408" customFormat="1" ht="11.25" x14ac:dyDescent="0.2">
      <c r="A18" s="218"/>
      <c r="B18" s="401"/>
      <c r="C18" s="2100" t="s">
        <v>1316</v>
      </c>
      <c r="D18" s="2101"/>
      <c r="E18" s="218"/>
      <c r="F18" s="419" t="s">
        <v>793</v>
      </c>
      <c r="G18" s="402"/>
      <c r="H18" s="403">
        <f>SUM('Acct Summary 7-8'!C8+'Acct Summary 7-8'!D8+'Acct Summary 7-8'!F8+'Acct Summary 7-8'!I8)+H19</f>
        <v>11012665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-398622</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97" t="s">
        <v>1411</v>
      </c>
      <c r="D24" s="2097"/>
      <c r="E24" s="218"/>
      <c r="F24" s="218" t="s">
        <v>444</v>
      </c>
      <c r="G24" s="402"/>
      <c r="H24" s="403">
        <f>SUM('Assets-Liab 5-6'!C4+'Assets-Liab 5-6'!D4+'Assets-Liab 5-6'!F4+'Assets-Liab 5-6'!I4+'Assets-Liab 5-6'!C5+'Assets-Liab 5-6'!D5+'Assets-Liab 5-6'!F5+'Assets-Liab 5-6'!I5)</f>
        <v>3856116</v>
      </c>
      <c r="I24" s="422"/>
      <c r="J24" s="422"/>
      <c r="K24" s="423">
        <f>TRUNC(((H24/H25*100000)/100000),2)</f>
        <v>127.08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30341.813890000001</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7534024.2447899999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6892581</v>
      </c>
      <c r="I32" s="420"/>
      <c r="J32" s="420"/>
      <c r="K32" s="423">
        <f>TRUNC(100-((((H32/H33*100))*100)/100),2)</f>
        <v>71.2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23936810.079000004</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7" t="s">
        <v>972</v>
      </c>
      <c r="B3" s="2108"/>
      <c r="C3" s="1559"/>
      <c r="D3" s="1560"/>
      <c r="E3" s="1560"/>
      <c r="F3" s="1560"/>
      <c r="G3" s="1560"/>
      <c r="H3" s="1560"/>
      <c r="I3" s="1560"/>
      <c r="J3" s="1560"/>
      <c r="K3" s="1560"/>
      <c r="L3" s="1560"/>
      <c r="M3" s="1561"/>
      <c r="N3" s="1562"/>
    </row>
    <row r="4" spans="1:14" ht="13.5" customHeight="1" x14ac:dyDescent="0.2">
      <c r="A4" s="463" t="s">
        <v>1650</v>
      </c>
      <c r="B4" s="464"/>
      <c r="C4" s="465">
        <v>3087502</v>
      </c>
      <c r="D4" s="466">
        <v>532615</v>
      </c>
      <c r="E4" s="466">
        <v>161733</v>
      </c>
      <c r="F4" s="466">
        <v>202894</v>
      </c>
      <c r="G4" s="466">
        <v>241239</v>
      </c>
      <c r="H4" s="466">
        <v>0</v>
      </c>
      <c r="I4" s="466">
        <v>33105</v>
      </c>
      <c r="J4" s="467">
        <v>0</v>
      </c>
      <c r="K4" s="466">
        <v>541</v>
      </c>
      <c r="L4" s="466">
        <v>44099</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3087502</v>
      </c>
      <c r="D13" s="1737">
        <f t="shared" ref="D13:L13" si="0">SUM(D4:D12)</f>
        <v>532615</v>
      </c>
      <c r="E13" s="1737">
        <f t="shared" si="0"/>
        <v>161733</v>
      </c>
      <c r="F13" s="1737">
        <f t="shared" si="0"/>
        <v>202894</v>
      </c>
      <c r="G13" s="1737">
        <f t="shared" si="0"/>
        <v>241239</v>
      </c>
      <c r="H13" s="1737">
        <f t="shared" si="0"/>
        <v>0</v>
      </c>
      <c r="I13" s="1737">
        <f t="shared" si="0"/>
        <v>33105</v>
      </c>
      <c r="J13" s="1737">
        <f t="shared" si="0"/>
        <v>0</v>
      </c>
      <c r="K13" s="1737">
        <f t="shared" si="0"/>
        <v>541</v>
      </c>
      <c r="L13" s="1737">
        <f t="shared" si="0"/>
        <v>44099</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49573</v>
      </c>
      <c r="N16" s="484"/>
    </row>
    <row r="17" spans="1:14" s="485" customFormat="1" ht="12.75" customHeight="1" x14ac:dyDescent="0.2">
      <c r="A17" s="482" t="s">
        <v>1402</v>
      </c>
      <c r="B17" s="483">
        <v>230</v>
      </c>
      <c r="C17" s="477"/>
      <c r="D17" s="477"/>
      <c r="E17" s="477"/>
      <c r="F17" s="477"/>
      <c r="G17" s="477"/>
      <c r="H17" s="477"/>
      <c r="I17" s="477"/>
      <c r="J17" s="477"/>
      <c r="K17" s="477"/>
      <c r="L17" s="477"/>
      <c r="M17" s="467">
        <v>5827836</v>
      </c>
      <c r="N17" s="484"/>
    </row>
    <row r="18" spans="1:14" s="485" customFormat="1" ht="12.75" customHeight="1" x14ac:dyDescent="0.2">
      <c r="A18" s="482" t="s">
        <v>1403</v>
      </c>
      <c r="B18" s="483">
        <v>240</v>
      </c>
      <c r="C18" s="477"/>
      <c r="D18" s="477"/>
      <c r="E18" s="477"/>
      <c r="F18" s="477"/>
      <c r="G18" s="477"/>
      <c r="H18" s="477"/>
      <c r="I18" s="477"/>
      <c r="J18" s="477"/>
      <c r="K18" s="477"/>
      <c r="L18" s="477"/>
      <c r="M18" s="467">
        <v>196964</v>
      </c>
      <c r="N18" s="484"/>
    </row>
    <row r="19" spans="1:14" s="485" customFormat="1" ht="12.75" customHeight="1" x14ac:dyDescent="0.2">
      <c r="A19" s="482" t="s">
        <v>1404</v>
      </c>
      <c r="B19" s="483">
        <v>250</v>
      </c>
      <c r="C19" s="477"/>
      <c r="D19" s="477"/>
      <c r="E19" s="477"/>
      <c r="F19" s="477"/>
      <c r="G19" s="477"/>
      <c r="H19" s="477"/>
      <c r="I19" s="477"/>
      <c r="J19" s="477"/>
      <c r="K19" s="477"/>
      <c r="L19" s="477"/>
      <c r="M19" s="467">
        <v>937975</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161733</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6730848</v>
      </c>
    </row>
    <row r="23" spans="1:14" ht="13.5" customHeight="1" thickBot="1" x14ac:dyDescent="0.25">
      <c r="A23" s="1736" t="s">
        <v>642</v>
      </c>
      <c r="B23" s="1741"/>
      <c r="C23" s="468"/>
      <c r="D23" s="468"/>
      <c r="E23" s="468"/>
      <c r="F23" s="468"/>
      <c r="G23" s="468"/>
      <c r="H23" s="468"/>
      <c r="I23" s="468"/>
      <c r="J23" s="468"/>
      <c r="K23" s="468"/>
      <c r="L23" s="468"/>
      <c r="M23" s="1688">
        <f>SUM(M15:M22)</f>
        <v>7012348</v>
      </c>
      <c r="N23" s="1688">
        <f>SUM(N21:N22)</f>
        <v>6892581</v>
      </c>
    </row>
    <row r="24" spans="1:14" ht="18" customHeight="1" thickTop="1" x14ac:dyDescent="0.2">
      <c r="A24" s="2111" t="s">
        <v>597</v>
      </c>
      <c r="B24" s="2112"/>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44099</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44099</v>
      </c>
      <c r="M34" s="468"/>
      <c r="N34" s="480"/>
    </row>
    <row r="35" spans="1:14" ht="18" customHeight="1" thickTop="1" x14ac:dyDescent="0.2">
      <c r="A35" s="2113" t="s">
        <v>528</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6892581</v>
      </c>
    </row>
    <row r="37" spans="1:14" ht="13.5" thickBot="1" x14ac:dyDescent="0.25">
      <c r="A37" s="1736" t="s">
        <v>652</v>
      </c>
      <c r="B37" s="1741"/>
      <c r="C37" s="477"/>
      <c r="D37" s="477"/>
      <c r="E37" s="477"/>
      <c r="F37" s="477"/>
      <c r="G37" s="477"/>
      <c r="H37" s="477"/>
      <c r="I37" s="477"/>
      <c r="J37" s="477"/>
      <c r="K37" s="477"/>
      <c r="L37" s="480"/>
      <c r="M37" s="468"/>
      <c r="N37" s="1688">
        <f>SUM(N36:N36)</f>
        <v>6892581</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3087502</v>
      </c>
      <c r="D39" s="466">
        <v>532615</v>
      </c>
      <c r="E39" s="466">
        <v>161733</v>
      </c>
      <c r="F39" s="466">
        <v>202894</v>
      </c>
      <c r="G39" s="466">
        <v>241239</v>
      </c>
      <c r="H39" s="466">
        <v>0</v>
      </c>
      <c r="I39" s="466">
        <v>33105</v>
      </c>
      <c r="J39" s="467">
        <v>0</v>
      </c>
      <c r="K39" s="466">
        <v>541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7012348</v>
      </c>
      <c r="N40" s="497"/>
    </row>
    <row r="41" spans="1:14" ht="13.5" customHeight="1" thickBot="1" x14ac:dyDescent="0.25">
      <c r="A41" s="1736" t="s">
        <v>654</v>
      </c>
      <c r="B41" s="1706"/>
      <c r="C41" s="1688">
        <f>(SUM(C34,C37,C38,C39))</f>
        <v>3087502</v>
      </c>
      <c r="D41" s="1688">
        <f t="shared" ref="D41:L41" si="2">SUM(D34,D37,D38:D39)</f>
        <v>532615</v>
      </c>
      <c r="E41" s="1688">
        <f t="shared" si="2"/>
        <v>161733</v>
      </c>
      <c r="F41" s="1688">
        <f t="shared" si="2"/>
        <v>202894</v>
      </c>
      <c r="G41" s="1688">
        <f t="shared" si="2"/>
        <v>241239</v>
      </c>
      <c r="H41" s="1688">
        <f t="shared" si="2"/>
        <v>0</v>
      </c>
      <c r="I41" s="1688">
        <f t="shared" si="2"/>
        <v>33105</v>
      </c>
      <c r="J41" s="1688">
        <f t="shared" si="2"/>
        <v>0</v>
      </c>
      <c r="K41" s="1688">
        <f t="shared" si="2"/>
        <v>541</v>
      </c>
      <c r="L41" s="1688">
        <f t="shared" si="2"/>
        <v>44099</v>
      </c>
      <c r="M41" s="1688">
        <f>SUM(M40)</f>
        <v>7012348</v>
      </c>
      <c r="N41" s="1688">
        <f>SUM(N37)</f>
        <v>6892581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pane="bottomLeft" activeCell="C86" sqref="C8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5" t="s">
        <v>1174</v>
      </c>
      <c r="B3" s="2136"/>
      <c r="C3" s="1573"/>
      <c r="D3" s="1574"/>
      <c r="E3" s="1574"/>
      <c r="F3" s="1574"/>
      <c r="G3" s="1574"/>
      <c r="H3" s="1574"/>
      <c r="I3" s="1574"/>
      <c r="J3" s="1574"/>
      <c r="K3" s="1575"/>
      <c r="L3" s="506"/>
    </row>
    <row r="4" spans="1:13" ht="15.75" customHeight="1" x14ac:dyDescent="0.2">
      <c r="A4" s="1928" t="s">
        <v>1498</v>
      </c>
      <c r="B4" s="1929">
        <v>1000</v>
      </c>
      <c r="C4" s="1742">
        <f>'Revenues 9-14'!C109</f>
        <v>8235548</v>
      </c>
      <c r="D4" s="1742">
        <f>'Revenues 9-14'!D109</f>
        <v>1122240</v>
      </c>
      <c r="E4" s="1742">
        <f>'Revenues 9-14'!E109</f>
        <v>323217</v>
      </c>
      <c r="F4" s="1742">
        <f>'Revenues 9-14'!F109</f>
        <v>225555</v>
      </c>
      <c r="G4" s="1742">
        <f>'Revenues 9-14'!G109</f>
        <v>296888</v>
      </c>
      <c r="H4" s="1742">
        <f>'Revenues 9-14'!H109</f>
        <v>0</v>
      </c>
      <c r="I4" s="1742">
        <f>'Revenues 9-14'!I109</f>
        <v>277</v>
      </c>
      <c r="J4" s="1742">
        <f>'Revenues 9-14'!J109</f>
        <v>0</v>
      </c>
      <c r="K4" s="1742">
        <f>'Revenues 9-14'!K109</f>
        <v>12</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665623</v>
      </c>
      <c r="D6" s="1743">
        <f>'Revenues 9-14'!D170</f>
        <v>102670</v>
      </c>
      <c r="E6" s="1743">
        <f>'Revenues 9-14'!E170</f>
        <v>0</v>
      </c>
      <c r="F6" s="1743">
        <f>'Revenues 9-14'!F170</f>
        <v>303506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755868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9657039</v>
      </c>
      <c r="D8" s="1688">
        <f t="shared" ref="D8:K8" si="0">SUM(D4:D7)</f>
        <v>1224910</v>
      </c>
      <c r="E8" s="1688">
        <f t="shared" si="0"/>
        <v>323217</v>
      </c>
      <c r="F8" s="1688">
        <f t="shared" si="0"/>
        <v>529061</v>
      </c>
      <c r="G8" s="1688">
        <f t="shared" si="0"/>
        <v>296888</v>
      </c>
      <c r="H8" s="1688">
        <f t="shared" si="0"/>
        <v>0</v>
      </c>
      <c r="I8" s="1688">
        <f t="shared" si="0"/>
        <v>277</v>
      </c>
      <c r="J8" s="1688">
        <f t="shared" si="0"/>
        <v>0</v>
      </c>
      <c r="K8" s="1688">
        <f t="shared" si="0"/>
        <v>12</v>
      </c>
      <c r="L8" s="347"/>
    </row>
    <row r="9" spans="1:13" ht="15.75" thickTop="1" x14ac:dyDescent="0.2">
      <c r="A9" s="514" t="s">
        <v>1652</v>
      </c>
      <c r="B9" s="515">
        <v>3998</v>
      </c>
      <c r="C9" s="481">
        <v>3916182</v>
      </c>
      <c r="D9" s="516"/>
      <c r="E9" s="481"/>
      <c r="F9" s="481"/>
      <c r="G9" s="517"/>
      <c r="H9" s="481"/>
      <c r="I9" s="509" t="s">
        <v>1168</v>
      </c>
      <c r="J9" s="478"/>
      <c r="K9" s="481"/>
      <c r="L9" s="347"/>
    </row>
    <row r="10" spans="1:13" s="519" customFormat="1" ht="13.5" thickBot="1" x14ac:dyDescent="0.25">
      <c r="A10" s="1736" t="s">
        <v>1172</v>
      </c>
      <c r="B10" s="1709"/>
      <c r="C10" s="1688">
        <f>SUM(C8:C9)</f>
        <v>13573221</v>
      </c>
      <c r="D10" s="1688">
        <f t="shared" ref="D10:K10" si="1">SUM(D8:D9)</f>
        <v>1224910</v>
      </c>
      <c r="E10" s="1688">
        <f t="shared" si="1"/>
        <v>323217</v>
      </c>
      <c r="F10" s="1688">
        <f t="shared" si="1"/>
        <v>529061</v>
      </c>
      <c r="G10" s="1688">
        <f t="shared" si="1"/>
        <v>296888</v>
      </c>
      <c r="H10" s="1688">
        <f t="shared" si="1"/>
        <v>0</v>
      </c>
      <c r="I10" s="1688">
        <f t="shared" si="1"/>
        <v>277</v>
      </c>
      <c r="J10" s="1688">
        <f t="shared" si="1"/>
        <v>0</v>
      </c>
      <c r="K10" s="1688">
        <f t="shared" si="1"/>
        <v>12</v>
      </c>
      <c r="L10" s="518"/>
    </row>
    <row r="11" spans="1:13" s="519" customFormat="1" ht="16.7" customHeight="1" thickTop="1" x14ac:dyDescent="0.2">
      <c r="A11" s="2109" t="s">
        <v>1175</v>
      </c>
      <c r="B11" s="2110"/>
      <c r="C11" s="1570"/>
      <c r="D11" s="1571"/>
      <c r="E11" s="1571"/>
      <c r="F11" s="1571"/>
      <c r="G11" s="1571"/>
      <c r="H11" s="1571"/>
      <c r="I11" s="1571"/>
      <c r="J11" s="1571"/>
      <c r="K11" s="1572"/>
      <c r="L11" s="518"/>
    </row>
    <row r="12" spans="1:13" ht="15.75" customHeight="1" x14ac:dyDescent="0.2">
      <c r="A12" s="1576" t="s">
        <v>455</v>
      </c>
      <c r="B12" s="1578">
        <v>1000</v>
      </c>
      <c r="C12" s="1742">
        <f>'Expenditures 15-22'!K33</f>
        <v>5218643</v>
      </c>
      <c r="D12" s="520" t="s">
        <v>1168</v>
      </c>
      <c r="E12" s="468" t="s">
        <v>1168</v>
      </c>
      <c r="F12" s="468" t="s">
        <v>1168</v>
      </c>
      <c r="G12" s="1742">
        <f>'Expenditures 15-22'!K229</f>
        <v>104430</v>
      </c>
      <c r="H12" s="521"/>
      <c r="I12" s="468" t="s">
        <v>1168</v>
      </c>
      <c r="J12" s="468" t="s">
        <v>1168</v>
      </c>
      <c r="K12" s="521" t="s">
        <v>1168</v>
      </c>
      <c r="L12" s="347"/>
    </row>
    <row r="13" spans="1:13" ht="15.75" customHeight="1" x14ac:dyDescent="0.2">
      <c r="A13" s="1576" t="s">
        <v>456</v>
      </c>
      <c r="B13" s="1578">
        <v>2000</v>
      </c>
      <c r="C13" s="1743">
        <f>'Expenditures 15-22'!K74</f>
        <v>2751842</v>
      </c>
      <c r="D13" s="1743">
        <f>'Expenditures 15-22'!K129</f>
        <v>1207812</v>
      </c>
      <c r="E13" s="469" t="s">
        <v>1168</v>
      </c>
      <c r="F13" s="1743">
        <f>'Expenditures 15-22'!K184</f>
        <v>498960</v>
      </c>
      <c r="G13" s="1743">
        <f>'Expenditures 15-22'!K279</f>
        <v>195149</v>
      </c>
      <c r="H13" s="1743">
        <f>'Expenditures 15-22'!K303</f>
        <v>646859</v>
      </c>
      <c r="I13" s="468" t="s">
        <v>1168</v>
      </c>
      <c r="J13" s="1743">
        <f>'Expenditures 15-22'!K330</f>
        <v>0</v>
      </c>
      <c r="K13" s="1747">
        <f>'Expenditures 15-22'!K352</f>
        <v>0</v>
      </c>
      <c r="L13" s="347"/>
    </row>
    <row r="14" spans="1:13" ht="15.75" customHeight="1" x14ac:dyDescent="0.2">
      <c r="A14" s="1576" t="s">
        <v>448</v>
      </c>
      <c r="B14" s="1578">
        <v>3000</v>
      </c>
      <c r="C14" s="1743">
        <f>'Expenditures 15-22'!K75</f>
        <v>66195</v>
      </c>
      <c r="D14" s="1743">
        <f>'Expenditures 15-22'!K130</f>
        <v>0</v>
      </c>
      <c r="E14" s="520" t="s">
        <v>1168</v>
      </c>
      <c r="F14" s="1743">
        <f>'Expenditures 15-22'!K185</f>
        <v>0</v>
      </c>
      <c r="G14" s="1743">
        <f>'Expenditures 15-22'!K280</f>
        <v>8083</v>
      </c>
      <c r="H14" s="512"/>
      <c r="I14" s="468" t="s">
        <v>1168</v>
      </c>
      <c r="J14" s="468" t="s">
        <v>1168</v>
      </c>
      <c r="K14" s="512" t="s">
        <v>1168</v>
      </c>
      <c r="L14" s="347"/>
    </row>
    <row r="15" spans="1:13" ht="15.75" customHeight="1" x14ac:dyDescent="0.2">
      <c r="A15" s="1576" t="s">
        <v>107</v>
      </c>
      <c r="B15" s="1578">
        <v>4000</v>
      </c>
      <c r="C15" s="1743">
        <f>'Expenditures 15-22'!K102</f>
        <v>970594</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109934</v>
      </c>
      <c r="E16" s="1743">
        <f>'Expenditures 15-22'!K172</f>
        <v>730272</v>
      </c>
      <c r="F16" s="1743">
        <f>'Expenditures 15-22'!K208</f>
        <v>99073</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9007274</v>
      </c>
      <c r="D17" s="1688">
        <f t="shared" si="2"/>
        <v>1317746</v>
      </c>
      <c r="E17" s="1688">
        <f t="shared" si="2"/>
        <v>730272</v>
      </c>
      <c r="F17" s="1688">
        <f t="shared" si="2"/>
        <v>598033</v>
      </c>
      <c r="G17" s="1688">
        <f t="shared" si="2"/>
        <v>307662</v>
      </c>
      <c r="H17" s="1688">
        <f t="shared" si="2"/>
        <v>646859</v>
      </c>
      <c r="I17" s="468"/>
      <c r="J17" s="1688">
        <f>SUM(J12:J16)</f>
        <v>0</v>
      </c>
      <c r="K17" s="1688">
        <f>SUM(K12:K16)</f>
        <v>0</v>
      </c>
      <c r="L17" s="347"/>
    </row>
    <row r="18" spans="1:12" ht="15" customHeight="1" thickTop="1" x14ac:dyDescent="0.2">
      <c r="A18" s="1744" t="s">
        <v>1653</v>
      </c>
      <c r="B18" s="1745">
        <v>4180</v>
      </c>
      <c r="C18" s="1742">
        <f t="shared" ref="C18:H18" si="3">C9</f>
        <v>3916182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12923456</v>
      </c>
      <c r="D19" s="1688">
        <f t="shared" si="4"/>
        <v>1317746</v>
      </c>
      <c r="E19" s="1688">
        <f t="shared" si="4"/>
        <v>730272</v>
      </c>
      <c r="F19" s="1688">
        <f t="shared" si="4"/>
        <v>598033</v>
      </c>
      <c r="G19" s="1688">
        <f t="shared" si="4"/>
        <v>307662</v>
      </c>
      <c r="H19" s="1688">
        <f t="shared" si="4"/>
        <v>646859</v>
      </c>
      <c r="I19" s="468"/>
      <c r="J19" s="1688">
        <f>SUM(J17:J18)</f>
        <v>0</v>
      </c>
      <c r="K19" s="1688">
        <f>SUM(K17:K18)</f>
        <v>0</v>
      </c>
      <c r="L19" s="347"/>
    </row>
    <row r="20" spans="1:12" ht="16.5" thickTop="1" thickBot="1" x14ac:dyDescent="0.25">
      <c r="A20" s="2125" t="s">
        <v>1654</v>
      </c>
      <c r="B20" s="2126"/>
      <c r="C20" s="1746">
        <f>C8-C17</f>
        <v>649765</v>
      </c>
      <c r="D20" s="1746">
        <f t="shared" ref="D20:K20" si="5">D8-D17</f>
        <v>-92836</v>
      </c>
      <c r="E20" s="1746">
        <f t="shared" si="5"/>
        <v>-407055</v>
      </c>
      <c r="F20" s="1746">
        <f t="shared" si="5"/>
        <v>-68972</v>
      </c>
      <c r="G20" s="1746">
        <f t="shared" si="5"/>
        <v>-10774</v>
      </c>
      <c r="H20" s="1746">
        <f t="shared" si="5"/>
        <v>-646859</v>
      </c>
      <c r="I20" s="1746">
        <f t="shared" si="5"/>
        <v>277</v>
      </c>
      <c r="J20" s="1746">
        <f t="shared" si="5"/>
        <v>0</v>
      </c>
      <c r="K20" s="1746">
        <f t="shared" si="5"/>
        <v>12</v>
      </c>
      <c r="L20" s="347"/>
    </row>
    <row r="21" spans="1:12" ht="16.7" customHeight="1" thickTop="1" x14ac:dyDescent="0.2">
      <c r="A21" s="2137" t="s">
        <v>594</v>
      </c>
      <c r="B21" s="2138"/>
      <c r="C21" s="1570"/>
      <c r="D21" s="1571"/>
      <c r="E21" s="1571"/>
      <c r="F21" s="1571"/>
      <c r="G21" s="1571"/>
      <c r="H21" s="1571"/>
      <c r="I21" s="1571"/>
      <c r="J21" s="1571"/>
      <c r="K21" s="1572"/>
      <c r="L21" s="524"/>
    </row>
    <row r="22" spans="1:12" ht="15.75" customHeight="1" collapsed="1" x14ac:dyDescent="0.2">
      <c r="A22" s="2133" t="s">
        <v>595</v>
      </c>
      <c r="B22" s="2134"/>
      <c r="C22" s="477"/>
      <c r="D22" s="477"/>
      <c r="E22" s="477"/>
      <c r="F22" s="477"/>
      <c r="G22" s="477"/>
      <c r="H22" s="477"/>
      <c r="I22" s="477"/>
      <c r="J22" s="477"/>
      <c r="K22" s="477"/>
      <c r="L22" s="347"/>
    </row>
    <row r="23" spans="1:12" s="485" customFormat="1" ht="15.75" customHeight="1" x14ac:dyDescent="0.2">
      <c r="A23" s="2129" t="s">
        <v>292</v>
      </c>
      <c r="B23" s="2130"/>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1" t="s">
        <v>980</v>
      </c>
      <c r="B32" s="2132"/>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104083</v>
      </c>
      <c r="F37" s="475"/>
      <c r="G37" s="475"/>
      <c r="H37" s="475"/>
      <c r="I37" s="477"/>
      <c r="J37" s="475"/>
      <c r="K37" s="475"/>
      <c r="L37" s="524"/>
    </row>
    <row r="38" spans="1:12" s="485" customFormat="1" x14ac:dyDescent="0.2">
      <c r="A38" s="1489" t="s">
        <v>441</v>
      </c>
      <c r="B38" s="525">
        <v>7500</v>
      </c>
      <c r="C38" s="477"/>
      <c r="D38" s="477"/>
      <c r="E38" s="1743">
        <f>SUM(C58:D61,H58:H61)</f>
        <v>4539</v>
      </c>
      <c r="F38" s="477"/>
      <c r="G38" s="477"/>
      <c r="H38" s="477"/>
      <c r="I38" s="477"/>
      <c r="J38" s="477"/>
      <c r="K38" s="477"/>
      <c r="L38" s="524"/>
    </row>
    <row r="39" spans="1:12" s="485" customFormat="1" x14ac:dyDescent="0.2">
      <c r="A39" s="1489" t="s">
        <v>442</v>
      </c>
      <c r="B39" s="525">
        <v>7600</v>
      </c>
      <c r="C39" s="477"/>
      <c r="D39" s="477"/>
      <c r="E39" s="1743">
        <f>SUM(C62:D65)</f>
        <v>290000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v>150796</v>
      </c>
      <c r="D43" s="467"/>
      <c r="E43" s="467"/>
      <c r="F43" s="467">
        <v>161958</v>
      </c>
      <c r="G43" s="467"/>
      <c r="H43" s="467"/>
      <c r="I43" s="467"/>
      <c r="J43" s="467"/>
      <c r="K43" s="467"/>
      <c r="L43" s="524"/>
    </row>
    <row r="44" spans="1:12" s="485" customFormat="1" ht="13.5" customHeight="1" thickBot="1" x14ac:dyDescent="0.25">
      <c r="A44" s="2139" t="s">
        <v>373</v>
      </c>
      <c r="B44" s="2140"/>
      <c r="C44" s="1703">
        <f>SUM(C24:C43)</f>
        <v>150796</v>
      </c>
      <c r="D44" s="1703">
        <f t="shared" ref="D44:K44" si="6">SUM(D24:D43)</f>
        <v>0</v>
      </c>
      <c r="E44" s="1703">
        <f t="shared" si="6"/>
        <v>398622</v>
      </c>
      <c r="F44" s="1703">
        <f t="shared" si="6"/>
        <v>161958</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v>91446</v>
      </c>
      <c r="D54" s="530">
        <v>12637</v>
      </c>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v>3122</v>
      </c>
      <c r="D58" s="531">
        <v>1417</v>
      </c>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v>290000</v>
      </c>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15" t="s">
        <v>439</v>
      </c>
      <c r="B76" s="2116"/>
      <c r="C76" s="1703">
        <f t="shared" ref="C76:K76" si="7">SUM(C47:C75)</f>
        <v>94568</v>
      </c>
      <c r="D76" s="1703">
        <f t="shared" si="7"/>
        <v>304054</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1176</v>
      </c>
      <c r="B77" s="2118"/>
      <c r="C77" s="1703">
        <f t="shared" ref="C77:K77" si="8">C44-C76</f>
        <v>56228</v>
      </c>
      <c r="D77" s="1703">
        <f t="shared" si="8"/>
        <v>-304054</v>
      </c>
      <c r="E77" s="1703">
        <f t="shared" si="8"/>
        <v>398622</v>
      </c>
      <c r="F77" s="1703">
        <f t="shared" si="8"/>
        <v>161958</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596</v>
      </c>
      <c r="B78" s="2122"/>
      <c r="C78" s="1702">
        <f t="shared" ref="C78:K78" si="9">C20+C77</f>
        <v>705993</v>
      </c>
      <c r="D78" s="1702">
        <f t="shared" si="9"/>
        <v>-396890</v>
      </c>
      <c r="E78" s="1702">
        <f t="shared" si="9"/>
        <v>-8433</v>
      </c>
      <c r="F78" s="1702">
        <f t="shared" si="9"/>
        <v>92986</v>
      </c>
      <c r="G78" s="1702">
        <f t="shared" si="9"/>
        <v>-10774</v>
      </c>
      <c r="H78" s="1702">
        <f t="shared" si="9"/>
        <v>-646859</v>
      </c>
      <c r="I78" s="1702">
        <f t="shared" si="9"/>
        <v>277</v>
      </c>
      <c r="J78" s="1702">
        <f t="shared" si="9"/>
        <v>0</v>
      </c>
      <c r="K78" s="1702">
        <f t="shared" si="9"/>
        <v>12</v>
      </c>
      <c r="L78" s="533"/>
    </row>
    <row r="79" spans="1:12" ht="13.5" thickTop="1" x14ac:dyDescent="0.2">
      <c r="A79" s="1494" t="s">
        <v>1948</v>
      </c>
      <c r="B79" s="534"/>
      <c r="C79" s="478">
        <v>2381509</v>
      </c>
      <c r="D79" s="535">
        <v>929505</v>
      </c>
      <c r="E79" s="535">
        <v>170166</v>
      </c>
      <c r="F79" s="535">
        <v>109908</v>
      </c>
      <c r="G79" s="535">
        <v>252013</v>
      </c>
      <c r="H79" s="535">
        <v>646859</v>
      </c>
      <c r="I79" s="535">
        <v>32828</v>
      </c>
      <c r="J79" s="535">
        <v>0</v>
      </c>
      <c r="K79" s="535">
        <v>529</v>
      </c>
      <c r="L79" s="347"/>
    </row>
    <row r="80" spans="1:12" x14ac:dyDescent="0.2">
      <c r="A80" s="2127" t="s">
        <v>1794</v>
      </c>
      <c r="B80" s="2128"/>
      <c r="C80" s="467"/>
      <c r="D80" s="467"/>
      <c r="E80" s="467"/>
      <c r="F80" s="467"/>
      <c r="G80" s="467"/>
      <c r="H80" s="467"/>
      <c r="I80" s="467"/>
      <c r="J80" s="467"/>
      <c r="K80" s="467"/>
      <c r="L80" s="347"/>
    </row>
    <row r="81" spans="1:12" ht="13.5" thickBot="1" x14ac:dyDescent="0.25">
      <c r="A81" s="2119" t="s">
        <v>1949</v>
      </c>
      <c r="B81" s="2120"/>
      <c r="C81" s="1688">
        <f>(SUM(C78:C80))</f>
        <v>3087502</v>
      </c>
      <c r="D81" s="1688">
        <f>SUM(D78:D80)</f>
        <v>532615</v>
      </c>
      <c r="E81" s="1688">
        <f t="shared" ref="E81:K81" si="10">SUM(E78:E80)</f>
        <v>161733</v>
      </c>
      <c r="F81" s="1688">
        <f t="shared" si="10"/>
        <v>202894</v>
      </c>
      <c r="G81" s="1688">
        <f t="shared" si="10"/>
        <v>241239</v>
      </c>
      <c r="H81" s="1688">
        <f t="shared" si="10"/>
        <v>0</v>
      </c>
      <c r="I81" s="1688">
        <f t="shared" si="10"/>
        <v>33105</v>
      </c>
      <c r="J81" s="1688">
        <f t="shared" si="10"/>
        <v>0</v>
      </c>
      <c r="K81" s="1688">
        <f t="shared" si="10"/>
        <v>541</v>
      </c>
      <c r="L81" s="347"/>
    </row>
    <row r="82" spans="1:12" ht="0.75" customHeight="1" thickTop="1" thickBot="1" x14ac:dyDescent="0.25">
      <c r="A82" s="536" t="s">
        <v>342</v>
      </c>
      <c r="B82" s="537"/>
      <c r="C82" s="538">
        <f>(C81-C79)</f>
        <v>705993</v>
      </c>
      <c r="D82" s="538">
        <f t="shared" ref="D82:K82" si="11">(D81-D79)</f>
        <v>-396890</v>
      </c>
      <c r="E82" s="538">
        <f t="shared" si="11"/>
        <v>-8433</v>
      </c>
      <c r="F82" s="538">
        <f t="shared" si="11"/>
        <v>92986</v>
      </c>
      <c r="G82" s="538">
        <f t="shared" si="11"/>
        <v>-10774</v>
      </c>
      <c r="H82" s="538">
        <f t="shared" si="11"/>
        <v>-646859</v>
      </c>
      <c r="I82" s="538">
        <f t="shared" si="11"/>
        <v>277</v>
      </c>
      <c r="J82" s="538">
        <f t="shared" si="11"/>
        <v>0</v>
      </c>
      <c r="K82" s="538">
        <f t="shared" si="11"/>
        <v>12</v>
      </c>
    </row>
    <row r="83" spans="1:12" ht="14.25" hidden="1" thickTop="1" thickBot="1" x14ac:dyDescent="0.25">
      <c r="A83" s="539" t="s">
        <v>343</v>
      </c>
      <c r="B83" s="464"/>
      <c r="C83" s="540">
        <f>C82/C81</f>
        <v>0.22866155228401472</v>
      </c>
      <c r="D83" s="540">
        <f t="shared" ref="D83:K83" si="12">D82/D81</f>
        <v>-0.74517240408174756</v>
      </c>
      <c r="E83" s="540">
        <f t="shared" si="12"/>
        <v>-5.2141492459794846E-2</v>
      </c>
      <c r="F83" s="540">
        <f t="shared" si="12"/>
        <v>0.45829842183603259</v>
      </c>
      <c r="G83" s="540">
        <f t="shared" si="12"/>
        <v>-4.466110371871878E-2</v>
      </c>
      <c r="H83" s="540" t="e">
        <f t="shared" si="12"/>
        <v>#DIV/0!</v>
      </c>
      <c r="I83" s="540">
        <f t="shared" si="12"/>
        <v>8.3673161153904243E-3</v>
      </c>
      <c r="J83" s="540" t="e">
        <f t="shared" si="12"/>
        <v>#DIV/0!</v>
      </c>
      <c r="K83" s="540">
        <f t="shared" si="12"/>
        <v>2.2181146025878003E-2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6" activePane="bottomLeft" state="frozen"/>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1801</v>
      </c>
      <c r="B1" s="452"/>
      <c r="C1" s="453" t="s">
        <v>424</v>
      </c>
      <c r="D1" s="453" t="s">
        <v>425</v>
      </c>
      <c r="E1" s="453" t="s">
        <v>426</v>
      </c>
      <c r="F1" s="453" t="s">
        <v>427</v>
      </c>
      <c r="G1" s="453" t="s">
        <v>428</v>
      </c>
      <c r="H1" s="453" t="s">
        <v>429</v>
      </c>
      <c r="I1" s="453" t="s">
        <v>430</v>
      </c>
      <c r="J1" s="453" t="s">
        <v>431</v>
      </c>
      <c r="K1" s="453" t="s">
        <v>755</v>
      </c>
    </row>
    <row r="2" spans="1:12" ht="36" x14ac:dyDescent="0.2">
      <c r="A2" s="212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7540862</v>
      </c>
      <c r="D5" s="481">
        <v>914782</v>
      </c>
      <c r="E5" s="466">
        <v>322980</v>
      </c>
      <c r="F5" s="548">
        <v>159664</v>
      </c>
      <c r="G5" s="466">
        <v>132295</v>
      </c>
      <c r="H5" s="466"/>
      <c r="I5" s="466"/>
      <c r="J5" s="467"/>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v>74378</v>
      </c>
      <c r="D7" s="466"/>
      <c r="E7" s="468"/>
      <c r="F7" s="467"/>
      <c r="G7" s="467"/>
      <c r="H7" s="467"/>
      <c r="I7" s="468"/>
      <c r="J7" s="468"/>
      <c r="K7" s="468"/>
    </row>
    <row r="8" spans="1:12" x14ac:dyDescent="0.2">
      <c r="A8" s="463" t="s">
        <v>412</v>
      </c>
      <c r="B8" s="470">
        <v>1150</v>
      </c>
      <c r="C8" s="475"/>
      <c r="D8" s="475"/>
      <c r="E8" s="477"/>
      <c r="F8" s="477"/>
      <c r="G8" s="481">
        <v>162351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7615240</v>
      </c>
      <c r="D12" s="1707">
        <f t="shared" si="0"/>
        <v>914782</v>
      </c>
      <c r="E12" s="1707">
        <f t="shared" si="0"/>
        <v>322980</v>
      </c>
      <c r="F12" s="1707">
        <f t="shared" si="0"/>
        <v>159664</v>
      </c>
      <c r="G12" s="1707">
        <f t="shared" si="0"/>
        <v>294646</v>
      </c>
      <c r="H12" s="1707">
        <f t="shared" si="0"/>
        <v>0</v>
      </c>
      <c r="I12" s="1707">
        <f t="shared" si="0"/>
        <v>0</v>
      </c>
      <c r="J12" s="1707">
        <f t="shared" si="0"/>
        <v>0</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24258</v>
      </c>
      <c r="D16" s="466"/>
      <c r="E16" s="466"/>
      <c r="F16" s="466"/>
      <c r="G16" s="466">
        <v>2121</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24258</v>
      </c>
      <c r="D18" s="1710">
        <f t="shared" ref="D18:K18" si="1">SUM(D14:D17)</f>
        <v>0</v>
      </c>
      <c r="E18" s="1710">
        <f t="shared" si="1"/>
        <v>0</v>
      </c>
      <c r="F18" s="1710">
        <f t="shared" si="1"/>
        <v>0</v>
      </c>
      <c r="G18" s="1710">
        <f t="shared" si="1"/>
        <v>2121</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12578</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12578</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64770</v>
      </c>
      <c r="G42" s="468"/>
      <c r="H42" s="468"/>
      <c r="I42" s="468"/>
      <c r="J42" s="468"/>
      <c r="K42" s="468"/>
    </row>
    <row r="43" spans="1:11" ht="12.75" customHeight="1" x14ac:dyDescent="0.2">
      <c r="A43" s="463" t="s">
        <v>836</v>
      </c>
      <c r="B43" s="470">
        <v>1412</v>
      </c>
      <c r="C43" s="468"/>
      <c r="D43" s="468"/>
      <c r="E43" s="468"/>
      <c r="F43" s="466">
        <v>1055</v>
      </c>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65825</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62817</v>
      </c>
      <c r="D65" s="466">
        <v>390</v>
      </c>
      <c r="E65" s="466">
        <v>237</v>
      </c>
      <c r="F65" s="467">
        <v>66</v>
      </c>
      <c r="G65" s="466">
        <v>121</v>
      </c>
      <c r="H65" s="466"/>
      <c r="I65" s="466">
        <v>277</v>
      </c>
      <c r="J65" s="467"/>
      <c r="K65" s="466">
        <v>12</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62817</v>
      </c>
      <c r="D67" s="1688">
        <f t="shared" ref="D67:K67" si="2">SUM(D65:D66)</f>
        <v>390</v>
      </c>
      <c r="E67" s="1688">
        <f t="shared" si="2"/>
        <v>237</v>
      </c>
      <c r="F67" s="1688">
        <f t="shared" si="2"/>
        <v>66</v>
      </c>
      <c r="G67" s="1688">
        <f t="shared" si="2"/>
        <v>121</v>
      </c>
      <c r="H67" s="1688">
        <f t="shared" si="2"/>
        <v>0</v>
      </c>
      <c r="I67" s="1688">
        <f t="shared" si="2"/>
        <v>277</v>
      </c>
      <c r="J67" s="1688">
        <f t="shared" si="2"/>
        <v>0</v>
      </c>
      <c r="K67" s="1688">
        <f t="shared" si="2"/>
        <v>12</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106539</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106539</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176029</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176029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198546</v>
      </c>
      <c r="E95" s="521"/>
      <c r="F95" s="521"/>
      <c r="G95" s="521"/>
      <c r="H95" s="521"/>
      <c r="I95" s="521"/>
      <c r="J95" s="521"/>
      <c r="K95" s="521"/>
    </row>
    <row r="96" spans="1:11" ht="12.75" customHeight="1" x14ac:dyDescent="0.2">
      <c r="A96" s="463" t="s">
        <v>390</v>
      </c>
      <c r="B96" s="470">
        <v>1920</v>
      </c>
      <c r="C96" s="551">
        <v>17834</v>
      </c>
      <c r="D96" s="551"/>
      <c r="E96" s="479"/>
      <c r="F96" s="478"/>
      <c r="G96" s="478"/>
      <c r="H96" s="478"/>
      <c r="I96" s="478"/>
      <c r="J96" s="478"/>
      <c r="K96" s="478"/>
    </row>
    <row r="97" spans="1:12" ht="12.75" customHeight="1" x14ac:dyDescent="0.2">
      <c r="A97" s="1495" t="s">
        <v>244</v>
      </c>
      <c r="B97" s="559">
        <v>1930</v>
      </c>
      <c r="C97" s="489">
        <v>5792</v>
      </c>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93427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v>119422</v>
      </c>
      <c r="D106" s="489"/>
      <c r="E106" s="467"/>
      <c r="F106" s="467"/>
      <c r="G106" s="467"/>
      <c r="H106" s="467"/>
      <c r="I106" s="521"/>
      <c r="J106" s="467"/>
      <c r="K106" s="467"/>
    </row>
    <row r="107" spans="1:12" ht="12.75" customHeight="1" x14ac:dyDescent="0.2">
      <c r="A107" s="463" t="s">
        <v>78</v>
      </c>
      <c r="B107" s="470">
        <v>1999</v>
      </c>
      <c r="C107" s="551">
        <v>1612</v>
      </c>
      <c r="D107" s="466">
        <v>8522</v>
      </c>
      <c r="E107" s="466"/>
      <c r="F107" s="466"/>
      <c r="G107" s="466"/>
      <c r="H107" s="466"/>
      <c r="I107" s="466"/>
      <c r="J107" s="467"/>
      <c r="K107" s="466"/>
    </row>
    <row r="108" spans="1:12" ht="12.75" customHeight="1" thickBot="1" x14ac:dyDescent="0.25">
      <c r="A108" s="1708" t="s">
        <v>486</v>
      </c>
      <c r="B108" s="1712"/>
      <c r="C108" s="1707">
        <f>SUM(C95:C107)</f>
        <v>238087</v>
      </c>
      <c r="D108" s="1707">
        <f t="shared" ref="D108:K108" si="3">SUM(D95:D107)</f>
        <v>207068</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8235548</v>
      </c>
      <c r="D109" s="1715">
        <f t="shared" si="4"/>
        <v>1122240</v>
      </c>
      <c r="E109" s="1715">
        <f t="shared" si="4"/>
        <v>323217</v>
      </c>
      <c r="F109" s="1715">
        <f t="shared" si="4"/>
        <v>225555</v>
      </c>
      <c r="G109" s="1715">
        <f t="shared" si="4"/>
        <v>296888</v>
      </c>
      <c r="H109" s="1715">
        <f t="shared" si="4"/>
        <v>0</v>
      </c>
      <c r="I109" s="1715">
        <f t="shared" si="4"/>
        <v>277</v>
      </c>
      <c r="J109" s="1715">
        <f t="shared" si="4"/>
        <v>0</v>
      </c>
      <c r="K109" s="1702">
        <f t="shared" si="4"/>
        <v>12</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291610</v>
      </c>
      <c r="D117" s="481">
        <v>102670</v>
      </c>
      <c r="E117" s="466"/>
      <c r="F117" s="481">
        <v>145595</v>
      </c>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291610</v>
      </c>
      <c r="D122" s="1707">
        <f t="shared" si="5"/>
        <v>102670</v>
      </c>
      <c r="E122" s="1707">
        <f t="shared" si="5"/>
        <v>0</v>
      </c>
      <c r="F122" s="1707">
        <f t="shared" si="5"/>
        <v>145595</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27861</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27861</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897</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5069</v>
      </c>
      <c r="G152" s="467"/>
      <c r="H152" s="468"/>
      <c r="I152" s="468"/>
      <c r="J152" s="468"/>
      <c r="K152" s="468"/>
    </row>
    <row r="153" spans="1:11" ht="12.75" customHeight="1" x14ac:dyDescent="0.2">
      <c r="A153" s="463" t="s">
        <v>1056</v>
      </c>
      <c r="B153" s="562">
        <v>3510</v>
      </c>
      <c r="C153" s="551"/>
      <c r="D153" s="466"/>
      <c r="E153" s="561"/>
      <c r="F153" s="466">
        <v>152842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157911</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275870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69385</v>
      </c>
      <c r="D168" s="580"/>
      <c r="E168" s="580"/>
      <c r="F168" s="580"/>
      <c r="G168" s="581"/>
      <c r="H168" s="582"/>
      <c r="I168" s="581"/>
      <c r="J168" s="581"/>
      <c r="K168" s="582"/>
    </row>
    <row r="169" spans="1:11" ht="12.75" customHeight="1" thickTop="1" thickBot="1" x14ac:dyDescent="0.25">
      <c r="A169" s="2143" t="s">
        <v>397</v>
      </c>
      <c r="B169" s="2144"/>
      <c r="C169" s="1722">
        <f t="shared" ref="C169:K169" si="6">SUM(C132,C141,C145,C146:C150,C155,C156:C167,C168)</f>
        <v>374013</v>
      </c>
      <c r="D169" s="1722">
        <f t="shared" si="6"/>
        <v>0</v>
      </c>
      <c r="E169" s="1722">
        <f t="shared" si="6"/>
        <v>0</v>
      </c>
      <c r="F169" s="1722">
        <f t="shared" si="6"/>
        <v>157911</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665623</v>
      </c>
      <c r="D170" s="1715">
        <f t="shared" si="7"/>
        <v>102670</v>
      </c>
      <c r="E170" s="1715">
        <f t="shared" si="7"/>
        <v>0</v>
      </c>
      <c r="F170" s="1715">
        <f t="shared" si="7"/>
        <v>303506</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5" t="s">
        <v>1491</v>
      </c>
      <c r="B172" s="2146"/>
      <c r="C172" s="520"/>
      <c r="D172" s="520"/>
      <c r="E172" s="509"/>
      <c r="F172" s="468"/>
      <c r="G172" s="468"/>
      <c r="H172" s="468"/>
      <c r="I172" s="468"/>
      <c r="J172" s="468"/>
      <c r="K172" s="468"/>
    </row>
    <row r="173" spans="1:11" ht="12.6" customHeight="1" x14ac:dyDescent="0.2">
      <c r="A173" s="493" t="s">
        <v>1043</v>
      </c>
      <c r="B173" s="491">
        <v>4001</v>
      </c>
      <c r="C173" s="516">
        <v>387378</v>
      </c>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9" t="s">
        <v>1664</v>
      </c>
      <c r="B175" s="2150"/>
      <c r="C175" s="1707">
        <f>SUM(C173:C174)</f>
        <v>387378</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1663</v>
      </c>
      <c r="B176" s="2154"/>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1" t="s">
        <v>784</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1802</v>
      </c>
      <c r="B182" s="2148"/>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63125</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63125</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70624</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70624</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10000</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10000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4289</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153166</v>
      </c>
      <c r="D213" s="466"/>
      <c r="E213" s="468"/>
      <c r="F213" s="466"/>
      <c r="G213" s="466"/>
      <c r="H213" s="468"/>
      <c r="I213" s="468"/>
      <c r="J213" s="468"/>
      <c r="K213" s="468"/>
    </row>
    <row r="214" spans="1:11" ht="12.75" customHeight="1" x14ac:dyDescent="0.2">
      <c r="A214" s="463" t="s">
        <v>1053</v>
      </c>
      <c r="B214" s="470">
        <v>4625</v>
      </c>
      <c r="C214" s="551">
        <v>24464</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181919</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14388</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8353</v>
      </c>
      <c r="D263" s="576"/>
      <c r="E263" s="468"/>
      <c r="F263" s="576"/>
      <c r="G263" s="576"/>
      <c r="H263" s="468"/>
      <c r="I263" s="468"/>
      <c r="J263" s="468"/>
      <c r="K263" s="468"/>
    </row>
    <row r="264" spans="1:11" ht="12.75" customHeight="1" thickTop="1" thickBot="1" x14ac:dyDescent="0.25">
      <c r="A264" s="463" t="s">
        <v>376</v>
      </c>
      <c r="B264" s="470">
        <v>4992</v>
      </c>
      <c r="C264" s="575">
        <v>20081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368490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755868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9657039</v>
      </c>
      <c r="D268" s="1715">
        <f t="shared" si="12"/>
        <v>1224910</v>
      </c>
      <c r="E268" s="1715">
        <f t="shared" si="12"/>
        <v>323217</v>
      </c>
      <c r="F268" s="1715">
        <f t="shared" si="12"/>
        <v>529061</v>
      </c>
      <c r="G268" s="1715">
        <f t="shared" si="12"/>
        <v>296888</v>
      </c>
      <c r="H268" s="1715">
        <f t="shared" si="12"/>
        <v>0</v>
      </c>
      <c r="I268" s="1715">
        <f t="shared" si="12"/>
        <v>277</v>
      </c>
      <c r="J268" s="1715">
        <f t="shared" si="12"/>
        <v>0</v>
      </c>
      <c r="K268" s="1702">
        <f t="shared" si="12"/>
        <v>12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5" activePane="bottomLeft" state="frozen"/>
      <selection pane="bottomLeft" activeCell="G58" sqref="G5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5"/>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1" t="s">
        <v>296</v>
      </c>
      <c r="B3" s="2162"/>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3244751</v>
      </c>
      <c r="D5" s="466">
        <v>486022</v>
      </c>
      <c r="E5" s="466">
        <v>11896</v>
      </c>
      <c r="F5" s="466">
        <v>153743</v>
      </c>
      <c r="G5" s="466">
        <v>14320</v>
      </c>
      <c r="H5" s="466"/>
      <c r="I5" s="467"/>
      <c r="J5" s="467"/>
      <c r="K5" s="1671">
        <f>SUM(C5:J5)</f>
        <v>3910732</v>
      </c>
      <c r="L5" s="466">
        <v>3989505</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c r="D7" s="467"/>
      <c r="E7" s="467"/>
      <c r="F7" s="467"/>
      <c r="G7" s="467"/>
      <c r="H7" s="467"/>
      <c r="I7" s="467"/>
      <c r="J7" s="467"/>
      <c r="K7" s="1671">
        <f t="shared" ref="K7:K32" si="0">SUM(C7:J7)</f>
        <v>0</v>
      </c>
      <c r="L7" s="466"/>
    </row>
    <row r="8" spans="1:14" x14ac:dyDescent="0.2">
      <c r="A8" s="1504" t="s">
        <v>164</v>
      </c>
      <c r="B8" s="614">
        <v>1200</v>
      </c>
      <c r="C8" s="466">
        <v>750169</v>
      </c>
      <c r="D8" s="466">
        <v>145076</v>
      </c>
      <c r="E8" s="466">
        <v>118735</v>
      </c>
      <c r="F8" s="466">
        <v>10778</v>
      </c>
      <c r="G8" s="466"/>
      <c r="H8" s="466"/>
      <c r="I8" s="467"/>
      <c r="J8" s="467"/>
      <c r="K8" s="1671">
        <f t="shared" si="0"/>
        <v>1024758</v>
      </c>
      <c r="L8" s="466">
        <v>916885</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80892</v>
      </c>
      <c r="D10" s="466">
        <v>18585</v>
      </c>
      <c r="E10" s="466"/>
      <c r="F10" s="466">
        <v>450</v>
      </c>
      <c r="G10" s="466"/>
      <c r="H10" s="466"/>
      <c r="I10" s="467"/>
      <c r="J10" s="467"/>
      <c r="K10" s="1671">
        <f t="shared" si="0"/>
        <v>99927</v>
      </c>
      <c r="L10" s="466">
        <v>222760</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v>10000</v>
      </c>
    </row>
    <row r="13" spans="1:14" x14ac:dyDescent="0.2">
      <c r="A13" s="1504" t="s">
        <v>722</v>
      </c>
      <c r="B13" s="614">
        <v>1400</v>
      </c>
      <c r="C13" s="466"/>
      <c r="D13" s="466"/>
      <c r="E13" s="466"/>
      <c r="F13" s="466"/>
      <c r="G13" s="466"/>
      <c r="H13" s="466"/>
      <c r="I13" s="467"/>
      <c r="J13" s="467"/>
      <c r="K13" s="1671">
        <f t="shared" si="0"/>
        <v>0</v>
      </c>
      <c r="L13" s="466"/>
    </row>
    <row r="14" spans="1:14" x14ac:dyDescent="0.2">
      <c r="A14" s="1504" t="s">
        <v>962</v>
      </c>
      <c r="B14" s="614">
        <v>1500</v>
      </c>
      <c r="C14" s="466"/>
      <c r="D14" s="466"/>
      <c r="E14" s="466"/>
      <c r="F14" s="466">
        <v>3121</v>
      </c>
      <c r="G14" s="466"/>
      <c r="H14" s="466">
        <v>10335</v>
      </c>
      <c r="I14" s="467"/>
      <c r="J14" s="467"/>
      <c r="K14" s="1671">
        <f t="shared" si="0"/>
        <v>13456</v>
      </c>
      <c r="L14" s="466">
        <v>13000</v>
      </c>
    </row>
    <row r="15" spans="1:14" x14ac:dyDescent="0.2">
      <c r="A15" s="1504" t="s">
        <v>963</v>
      </c>
      <c r="B15" s="614">
        <v>1600</v>
      </c>
      <c r="C15" s="466"/>
      <c r="D15" s="466"/>
      <c r="E15" s="466"/>
      <c r="F15" s="466"/>
      <c r="G15" s="466"/>
      <c r="H15" s="466"/>
      <c r="I15" s="467"/>
      <c r="J15" s="467"/>
      <c r="K15" s="1671">
        <f t="shared" si="0"/>
        <v>0</v>
      </c>
      <c r="L15" s="466">
        <v>250</v>
      </c>
    </row>
    <row r="16" spans="1:14" x14ac:dyDescent="0.2">
      <c r="A16" s="1504" t="s">
        <v>986</v>
      </c>
      <c r="B16" s="614" t="s">
        <v>423</v>
      </c>
      <c r="C16" s="466">
        <v>98786</v>
      </c>
      <c r="D16" s="466">
        <v>16058</v>
      </c>
      <c r="E16" s="466">
        <v>798</v>
      </c>
      <c r="F16" s="466">
        <v>385</v>
      </c>
      <c r="G16" s="466"/>
      <c r="H16" s="466"/>
      <c r="I16" s="467"/>
      <c r="J16" s="467"/>
      <c r="K16" s="1671">
        <f t="shared" si="0"/>
        <v>116027</v>
      </c>
      <c r="L16" s="466">
        <v>116085</v>
      </c>
    </row>
    <row r="17" spans="1:12" x14ac:dyDescent="0.2">
      <c r="A17" s="1504" t="s">
        <v>723</v>
      </c>
      <c r="B17" s="614" t="s">
        <v>162</v>
      </c>
      <c r="C17" s="467"/>
      <c r="D17" s="467"/>
      <c r="E17" s="467"/>
      <c r="F17" s="467"/>
      <c r="G17" s="467"/>
      <c r="H17" s="467"/>
      <c r="I17" s="467"/>
      <c r="J17" s="467"/>
      <c r="K17" s="1671">
        <f t="shared" si="0"/>
        <v>0</v>
      </c>
      <c r="L17" s="466"/>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53743</v>
      </c>
      <c r="I22" s="616"/>
      <c r="J22" s="477"/>
      <c r="K22" s="1671">
        <f t="shared" si="0"/>
        <v>53743</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4174598</v>
      </c>
      <c r="D33" s="1670">
        <f t="shared" ref="D33:L33" si="1">SUM(D5:D32)</f>
        <v>665741</v>
      </c>
      <c r="E33" s="1670">
        <f t="shared" si="1"/>
        <v>131429</v>
      </c>
      <c r="F33" s="1670">
        <f t="shared" si="1"/>
        <v>168477</v>
      </c>
      <c r="G33" s="1670">
        <f t="shared" si="1"/>
        <v>14320</v>
      </c>
      <c r="H33" s="1670">
        <f t="shared" si="1"/>
        <v>64078</v>
      </c>
      <c r="I33" s="1670">
        <f t="shared" si="1"/>
        <v>0</v>
      </c>
      <c r="J33" s="1670">
        <f t="shared" si="1"/>
        <v>0</v>
      </c>
      <c r="K33" s="1670">
        <f t="shared" si="1"/>
        <v>5218643</v>
      </c>
      <c r="L33" s="1670">
        <f t="shared" si="1"/>
        <v>5268485</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67852</v>
      </c>
      <c r="D36" s="481">
        <v>7610</v>
      </c>
      <c r="E36" s="481"/>
      <c r="F36" s="481"/>
      <c r="G36" s="481"/>
      <c r="H36" s="481"/>
      <c r="I36" s="467"/>
      <c r="J36" s="467"/>
      <c r="K36" s="1671">
        <f t="shared" ref="K36:K41" si="2">SUM(C36:J36)</f>
        <v>75462</v>
      </c>
      <c r="L36" s="466">
        <v>67990</v>
      </c>
    </row>
    <row r="37" spans="1:14" x14ac:dyDescent="0.2">
      <c r="A37" s="1504" t="s">
        <v>1089</v>
      </c>
      <c r="B37" s="614">
        <v>2120</v>
      </c>
      <c r="C37" s="466">
        <v>149130</v>
      </c>
      <c r="D37" s="466">
        <v>11290</v>
      </c>
      <c r="E37" s="466"/>
      <c r="F37" s="466">
        <v>500</v>
      </c>
      <c r="G37" s="466"/>
      <c r="H37" s="466"/>
      <c r="I37" s="467"/>
      <c r="J37" s="467"/>
      <c r="K37" s="1671">
        <f t="shared" si="2"/>
        <v>160920</v>
      </c>
      <c r="L37" s="466">
        <v>160520</v>
      </c>
    </row>
    <row r="38" spans="1:14" x14ac:dyDescent="0.2">
      <c r="A38" s="1504" t="s">
        <v>198</v>
      </c>
      <c r="B38" s="614">
        <v>2130</v>
      </c>
      <c r="C38" s="466">
        <v>57177</v>
      </c>
      <c r="D38" s="466">
        <v>12415</v>
      </c>
      <c r="E38" s="466">
        <v>2673</v>
      </c>
      <c r="F38" s="466">
        <v>1168</v>
      </c>
      <c r="G38" s="466"/>
      <c r="H38" s="466"/>
      <c r="I38" s="467"/>
      <c r="J38" s="467"/>
      <c r="K38" s="1671">
        <f t="shared" si="2"/>
        <v>73433</v>
      </c>
      <c r="L38" s="466">
        <v>73975</v>
      </c>
    </row>
    <row r="39" spans="1:14" x14ac:dyDescent="0.2">
      <c r="A39" s="1504" t="s">
        <v>199</v>
      </c>
      <c r="B39" s="614">
        <v>2140</v>
      </c>
      <c r="C39" s="466">
        <v>64781</v>
      </c>
      <c r="D39" s="466">
        <v>1101</v>
      </c>
      <c r="E39" s="466"/>
      <c r="F39" s="466"/>
      <c r="G39" s="466"/>
      <c r="H39" s="466"/>
      <c r="I39" s="467"/>
      <c r="J39" s="467"/>
      <c r="K39" s="1671">
        <f t="shared" si="2"/>
        <v>65882</v>
      </c>
      <c r="L39" s="466">
        <v>75590</v>
      </c>
    </row>
    <row r="40" spans="1:14" x14ac:dyDescent="0.2">
      <c r="A40" s="1504" t="s">
        <v>200</v>
      </c>
      <c r="B40" s="614">
        <v>2150</v>
      </c>
      <c r="C40" s="466">
        <v>174525</v>
      </c>
      <c r="D40" s="466">
        <v>24684</v>
      </c>
      <c r="E40" s="466"/>
      <c r="F40" s="466">
        <v>792</v>
      </c>
      <c r="G40" s="466"/>
      <c r="H40" s="466"/>
      <c r="I40" s="467"/>
      <c r="J40" s="467"/>
      <c r="K40" s="1671">
        <f t="shared" si="2"/>
        <v>200001</v>
      </c>
      <c r="L40" s="466">
        <v>205940</v>
      </c>
    </row>
    <row r="41" spans="1:14" x14ac:dyDescent="0.2">
      <c r="A41" s="1504" t="s">
        <v>1668</v>
      </c>
      <c r="B41" s="614">
        <v>2190</v>
      </c>
      <c r="C41" s="466"/>
      <c r="D41" s="466"/>
      <c r="E41" s="466"/>
      <c r="F41" s="466">
        <v>1852</v>
      </c>
      <c r="G41" s="466"/>
      <c r="H41" s="466"/>
      <c r="I41" s="467"/>
      <c r="J41" s="467"/>
      <c r="K41" s="1671">
        <f t="shared" si="2"/>
        <v>1852</v>
      </c>
      <c r="L41" s="466">
        <v>2000</v>
      </c>
    </row>
    <row r="42" spans="1:14" ht="12.75" customHeight="1" thickBot="1" x14ac:dyDescent="0.25">
      <c r="A42" s="1668" t="s">
        <v>559</v>
      </c>
      <c r="B42" s="1669" t="s">
        <v>715</v>
      </c>
      <c r="C42" s="1670">
        <f>SUM(C36:C41)</f>
        <v>513465</v>
      </c>
      <c r="D42" s="1670">
        <f t="shared" ref="D42:L42" si="3">SUM(D36:D41)</f>
        <v>57100</v>
      </c>
      <c r="E42" s="1670">
        <f t="shared" si="3"/>
        <v>2673</v>
      </c>
      <c r="F42" s="1670">
        <f t="shared" si="3"/>
        <v>4312</v>
      </c>
      <c r="G42" s="1670">
        <f t="shared" si="3"/>
        <v>0</v>
      </c>
      <c r="H42" s="1670">
        <f t="shared" si="3"/>
        <v>0</v>
      </c>
      <c r="I42" s="1670">
        <f t="shared" si="3"/>
        <v>0</v>
      </c>
      <c r="J42" s="1670">
        <f t="shared" si="3"/>
        <v>0</v>
      </c>
      <c r="K42" s="1670">
        <f t="shared" si="3"/>
        <v>577550</v>
      </c>
      <c r="L42" s="1670">
        <f t="shared" si="3"/>
        <v>586015</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c r="D44" s="481"/>
      <c r="E44" s="481">
        <v>8000</v>
      </c>
      <c r="F44" s="481"/>
      <c r="G44" s="481"/>
      <c r="H44" s="481"/>
      <c r="I44" s="467"/>
      <c r="J44" s="467"/>
      <c r="K44" s="1672">
        <f>SUM(C44:J44)</f>
        <v>8000</v>
      </c>
      <c r="L44" s="481">
        <v>13400</v>
      </c>
    </row>
    <row r="45" spans="1:14" x14ac:dyDescent="0.2">
      <c r="A45" s="1504" t="s">
        <v>814</v>
      </c>
      <c r="B45" s="614">
        <v>2220</v>
      </c>
      <c r="C45" s="466">
        <v>67971</v>
      </c>
      <c r="D45" s="466">
        <v>27686</v>
      </c>
      <c r="E45" s="466">
        <v>243800</v>
      </c>
      <c r="F45" s="466">
        <v>21003</v>
      </c>
      <c r="G45" s="466">
        <v>174375</v>
      </c>
      <c r="H45" s="466"/>
      <c r="I45" s="467"/>
      <c r="J45" s="467"/>
      <c r="K45" s="1672">
        <f>SUM(C45:J45)</f>
        <v>534835</v>
      </c>
      <c r="L45" s="466">
        <v>495845</v>
      </c>
    </row>
    <row r="46" spans="1:14" x14ac:dyDescent="0.2">
      <c r="A46" s="1504" t="s">
        <v>815</v>
      </c>
      <c r="B46" s="614">
        <v>2230</v>
      </c>
      <c r="C46" s="466"/>
      <c r="D46" s="466"/>
      <c r="E46" s="466"/>
      <c r="F46" s="466"/>
      <c r="G46" s="466"/>
      <c r="H46" s="466"/>
      <c r="I46" s="467"/>
      <c r="J46" s="467"/>
      <c r="K46" s="1672">
        <f>SUM(C46:J46)</f>
        <v>0</v>
      </c>
      <c r="L46" s="466"/>
    </row>
    <row r="47" spans="1:14" ht="12.75" customHeight="1" thickBot="1" x14ac:dyDescent="0.25">
      <c r="A47" s="1668" t="s">
        <v>560</v>
      </c>
      <c r="B47" s="1669" t="s">
        <v>32</v>
      </c>
      <c r="C47" s="1670">
        <f>SUM(C44:C46)</f>
        <v>67971</v>
      </c>
      <c r="D47" s="1670">
        <f t="shared" ref="D47:K47" si="4">SUM(D44:D46)</f>
        <v>27686</v>
      </c>
      <c r="E47" s="1670">
        <f t="shared" si="4"/>
        <v>251800</v>
      </c>
      <c r="F47" s="1670">
        <f t="shared" si="4"/>
        <v>21003</v>
      </c>
      <c r="G47" s="1670">
        <f t="shared" si="4"/>
        <v>174375</v>
      </c>
      <c r="H47" s="1670">
        <f t="shared" si="4"/>
        <v>0</v>
      </c>
      <c r="I47" s="1670">
        <f t="shared" si="4"/>
        <v>0</v>
      </c>
      <c r="J47" s="1670">
        <f t="shared" si="4"/>
        <v>0</v>
      </c>
      <c r="K47" s="1670">
        <f t="shared" si="4"/>
        <v>542835</v>
      </c>
      <c r="L47" s="1670">
        <f>SUM(L44:L46)</f>
        <v>509245</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c r="D49" s="481"/>
      <c r="E49" s="481">
        <v>104078</v>
      </c>
      <c r="F49" s="481">
        <v>24448</v>
      </c>
      <c r="G49" s="481"/>
      <c r="H49" s="481">
        <v>11721</v>
      </c>
      <c r="I49" s="467"/>
      <c r="J49" s="467"/>
      <c r="K49" s="1672">
        <f>SUM(C49:J49)</f>
        <v>140247</v>
      </c>
      <c r="L49" s="481">
        <v>121000</v>
      </c>
    </row>
    <row r="50" spans="1:14" x14ac:dyDescent="0.2">
      <c r="A50" s="1504" t="s">
        <v>817</v>
      </c>
      <c r="B50" s="614">
        <v>2320</v>
      </c>
      <c r="C50" s="466">
        <v>398768</v>
      </c>
      <c r="D50" s="466">
        <v>155370</v>
      </c>
      <c r="E50" s="466">
        <v>73116</v>
      </c>
      <c r="F50" s="466">
        <v>11244</v>
      </c>
      <c r="G50" s="466"/>
      <c r="H50" s="466">
        <v>5551</v>
      </c>
      <c r="I50" s="467"/>
      <c r="J50" s="467"/>
      <c r="K50" s="1672">
        <f>SUM(C50:J50)</f>
        <v>644049</v>
      </c>
      <c r="L50" s="466">
        <v>631335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398768</v>
      </c>
      <c r="D53" s="1670">
        <f t="shared" ref="D53:L53" si="5">SUM(D49:D52)</f>
        <v>155370</v>
      </c>
      <c r="E53" s="1670">
        <f t="shared" si="5"/>
        <v>177194</v>
      </c>
      <c r="F53" s="1670">
        <f t="shared" si="5"/>
        <v>35692</v>
      </c>
      <c r="G53" s="1670">
        <f t="shared" si="5"/>
        <v>0</v>
      </c>
      <c r="H53" s="1670">
        <f t="shared" si="5"/>
        <v>17272</v>
      </c>
      <c r="I53" s="1670">
        <f t="shared" si="5"/>
        <v>0</v>
      </c>
      <c r="J53" s="1670">
        <f t="shared" si="5"/>
        <v>0</v>
      </c>
      <c r="K53" s="1670">
        <f t="shared" si="5"/>
        <v>784296</v>
      </c>
      <c r="L53" s="1670">
        <f t="shared" si="5"/>
        <v>752335</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424361</v>
      </c>
      <c r="D55" s="481">
        <v>178716</v>
      </c>
      <c r="E55" s="481">
        <v>11553</v>
      </c>
      <c r="F55" s="481">
        <v>1559</v>
      </c>
      <c r="G55" s="481">
        <v>966</v>
      </c>
      <c r="H55" s="481"/>
      <c r="I55" s="467"/>
      <c r="J55" s="467"/>
      <c r="K55" s="1672">
        <f>SUM(C55:J55)</f>
        <v>617155</v>
      </c>
      <c r="L55" s="481">
        <v>597865</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424361</v>
      </c>
      <c r="D57" s="1674">
        <f t="shared" ref="D57:K57" si="6">SUM(D55:D56)</f>
        <v>178716</v>
      </c>
      <c r="E57" s="1674">
        <f t="shared" si="6"/>
        <v>11553</v>
      </c>
      <c r="F57" s="1674">
        <f t="shared" si="6"/>
        <v>1559</v>
      </c>
      <c r="G57" s="1674">
        <f t="shared" si="6"/>
        <v>966</v>
      </c>
      <c r="H57" s="1674">
        <f t="shared" si="6"/>
        <v>0</v>
      </c>
      <c r="I57" s="1674">
        <f t="shared" si="6"/>
        <v>0</v>
      </c>
      <c r="J57" s="1674">
        <f t="shared" si="6"/>
        <v>0</v>
      </c>
      <c r="K57" s="1674">
        <f t="shared" si="6"/>
        <v>617155</v>
      </c>
      <c r="L57" s="1670">
        <f>SUM(L55:L56)</f>
        <v>597865</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462</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v>73660</v>
      </c>
      <c r="F61" s="466"/>
      <c r="G61" s="466"/>
      <c r="H61" s="466"/>
      <c r="I61" s="467"/>
      <c r="J61" s="467"/>
      <c r="K61" s="1672">
        <f t="shared" si="7"/>
        <v>73660</v>
      </c>
      <c r="L61" s="466">
        <v>118000</v>
      </c>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10040</v>
      </c>
      <c r="D63" s="466"/>
      <c r="E63" s="466">
        <v>143199</v>
      </c>
      <c r="F63" s="466">
        <v>3107</v>
      </c>
      <c r="G63" s="466"/>
      <c r="H63" s="466"/>
      <c r="I63" s="467"/>
      <c r="J63" s="467"/>
      <c r="K63" s="1672">
        <f t="shared" si="7"/>
        <v>156346</v>
      </c>
      <c r="L63" s="466">
        <v>144100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10040</v>
      </c>
      <c r="D65" s="1670">
        <f t="shared" ref="D65:L65" si="8">SUM(D59:D64)</f>
        <v>0</v>
      </c>
      <c r="E65" s="1670">
        <f t="shared" si="8"/>
        <v>216859</v>
      </c>
      <c r="F65" s="1670">
        <f t="shared" si="8"/>
        <v>3107</v>
      </c>
      <c r="G65" s="1670">
        <f t="shared" si="8"/>
        <v>0</v>
      </c>
      <c r="H65" s="1670">
        <f t="shared" si="8"/>
        <v>0</v>
      </c>
      <c r="I65" s="1670">
        <f t="shared" si="8"/>
        <v>0</v>
      </c>
      <c r="J65" s="1670">
        <f t="shared" si="8"/>
        <v>0</v>
      </c>
      <c r="K65" s="1670">
        <f t="shared" si="8"/>
        <v>230006</v>
      </c>
      <c r="L65" s="1670">
        <f t="shared" si="8"/>
        <v>262100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1414605</v>
      </c>
      <c r="D74" s="1677">
        <f t="shared" ref="D74:K74" si="10">SUM(D42,D47,D53,D57,D65,D72,D73)</f>
        <v>418872</v>
      </c>
      <c r="E74" s="1677">
        <f t="shared" si="10"/>
        <v>660079</v>
      </c>
      <c r="F74" s="1677">
        <f t="shared" si="10"/>
        <v>65673</v>
      </c>
      <c r="G74" s="1677">
        <f t="shared" si="10"/>
        <v>175341</v>
      </c>
      <c r="H74" s="1677">
        <f t="shared" si="10"/>
        <v>17272</v>
      </c>
      <c r="I74" s="1677">
        <f t="shared" si="10"/>
        <v>0</v>
      </c>
      <c r="J74" s="1677">
        <f t="shared" si="10"/>
        <v>0</v>
      </c>
      <c r="K74" s="1677">
        <f t="shared" si="10"/>
        <v>2751842</v>
      </c>
      <c r="L74" s="1677">
        <f>SUM(L42,L47,L53,L57,L65,L72,L73)</f>
        <v>2707560</v>
      </c>
    </row>
    <row r="75" spans="1:14" s="259" customFormat="1" ht="15.75" customHeight="1" thickTop="1" thickBot="1" x14ac:dyDescent="0.25">
      <c r="A75" s="1610" t="s">
        <v>47</v>
      </c>
      <c r="B75" s="1611" t="s">
        <v>574</v>
      </c>
      <c r="C75" s="573">
        <v>62565</v>
      </c>
      <c r="D75" s="573">
        <v>407</v>
      </c>
      <c r="E75" s="573"/>
      <c r="F75" s="573">
        <v>3223</v>
      </c>
      <c r="G75" s="573"/>
      <c r="H75" s="573"/>
      <c r="I75" s="531"/>
      <c r="J75" s="531"/>
      <c r="K75" s="1670">
        <f>SUM(C75:J75)</f>
        <v>66195</v>
      </c>
      <c r="L75" s="576">
        <v>70000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v>919</v>
      </c>
      <c r="F79" s="616"/>
      <c r="G79" s="616"/>
      <c r="H79" s="466">
        <v>306522</v>
      </c>
      <c r="I79" s="477"/>
      <c r="J79" s="477"/>
      <c r="K79" s="1671">
        <f t="shared" si="11"/>
        <v>307441</v>
      </c>
      <c r="L79" s="466">
        <v>432000</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919</v>
      </c>
      <c r="F84" s="616"/>
      <c r="G84" s="616"/>
      <c r="H84" s="1670">
        <f>SUM(H78:H83)</f>
        <v>306522</v>
      </c>
      <c r="I84" s="477"/>
      <c r="J84" s="477"/>
      <c r="K84" s="1670">
        <f>SUM(K78:K83)</f>
        <v>307441</v>
      </c>
      <c r="L84" s="1670">
        <f>SUM(L78:L83)</f>
        <v>432000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v>663153</v>
      </c>
      <c r="I86" s="477"/>
      <c r="J86" s="477"/>
      <c r="K86" s="1677">
        <f t="shared" ref="K86:K98" si="12">H86</f>
        <v>663153</v>
      </c>
      <c r="L86" s="530">
        <v>906730</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663153</v>
      </c>
      <c r="I92" s="477"/>
      <c r="J92" s="477"/>
      <c r="K92" s="1677">
        <f t="shared" si="12"/>
        <v>663153</v>
      </c>
      <c r="L92" s="1670">
        <f>SUM(L85:L91)</f>
        <v>906730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919</v>
      </c>
      <c r="F102" s="616"/>
      <c r="G102" s="616"/>
      <c r="H102" s="1677">
        <f>SUM(H84,H92,H100,H101)</f>
        <v>969675</v>
      </c>
      <c r="I102" s="477"/>
      <c r="J102" s="477"/>
      <c r="K102" s="1677">
        <f>SUM(K84,K92,K100,K101)</f>
        <v>970594</v>
      </c>
      <c r="L102" s="1677">
        <f>SUM(L84,L92,L100,L101)</f>
        <v>1338730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1000</v>
      </c>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1000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1000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5651768</v>
      </c>
      <c r="D114" s="1670">
        <f t="shared" ref="D114:K114" si="13">SUM(D33,D74,D75,D102,D112,D113)</f>
        <v>1085020</v>
      </c>
      <c r="E114" s="1670">
        <f t="shared" si="13"/>
        <v>792427</v>
      </c>
      <c r="F114" s="1670">
        <f t="shared" si="13"/>
        <v>237373</v>
      </c>
      <c r="G114" s="1670">
        <f t="shared" si="13"/>
        <v>189661</v>
      </c>
      <c r="H114" s="1670">
        <f>SUM(H33,H74,H75,H102,H112,H113)</f>
        <v>1051025</v>
      </c>
      <c r="I114" s="1670">
        <f t="shared" si="13"/>
        <v>0</v>
      </c>
      <c r="J114" s="1670">
        <f t="shared" si="13"/>
        <v>0</v>
      </c>
      <c r="K114" s="1670">
        <f t="shared" si="13"/>
        <v>9007274</v>
      </c>
      <c r="L114" s="1670">
        <f>SUM(L33,L74,L75,L102,L112,L113)</f>
        <v>9385775</v>
      </c>
    </row>
    <row r="115" spans="1:14" ht="13.5" thickTop="1" x14ac:dyDescent="0.2">
      <c r="A115" s="2180" t="s">
        <v>995</v>
      </c>
      <c r="B115" s="2181"/>
      <c r="C115" s="618"/>
      <c r="D115" s="618"/>
      <c r="E115" s="618"/>
      <c r="F115" s="618"/>
      <c r="G115" s="618"/>
      <c r="H115" s="618"/>
      <c r="I115" s="618"/>
      <c r="J115" s="618"/>
      <c r="K115" s="1684">
        <f>'Revenues 9-14'!C268-'Expenditures 15-22'!K114</f>
        <v>649765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295</v>
      </c>
      <c r="B117" s="2159"/>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2059</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v>13174</v>
      </c>
      <c r="H123" s="466"/>
      <c r="I123" s="467"/>
      <c r="J123" s="467"/>
      <c r="K123" s="1670">
        <f>SUM(C123:J123)</f>
        <v>13174</v>
      </c>
      <c r="L123" s="466">
        <v>12500</v>
      </c>
    </row>
    <row r="124" spans="1:14" ht="14.25" thickTop="1" thickBot="1" x14ac:dyDescent="0.25">
      <c r="A124" s="1504" t="s">
        <v>197</v>
      </c>
      <c r="B124" s="614">
        <v>2540</v>
      </c>
      <c r="C124" s="466">
        <v>294799</v>
      </c>
      <c r="D124" s="466">
        <v>56443</v>
      </c>
      <c r="E124" s="466">
        <v>225231</v>
      </c>
      <c r="F124" s="466">
        <v>249631</v>
      </c>
      <c r="G124" s="466">
        <v>368534</v>
      </c>
      <c r="H124" s="466"/>
      <c r="I124" s="467"/>
      <c r="J124" s="467"/>
      <c r="K124" s="1670">
        <f>SUM(C124:J124)</f>
        <v>1194638</v>
      </c>
      <c r="L124" s="466">
        <v>967010</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294799</v>
      </c>
      <c r="D127" s="1670">
        <f t="shared" ref="D127:L127" si="14">SUM(D122:D126)</f>
        <v>56443</v>
      </c>
      <c r="E127" s="1670">
        <f t="shared" si="14"/>
        <v>225231</v>
      </c>
      <c r="F127" s="1670">
        <f t="shared" si="14"/>
        <v>249631</v>
      </c>
      <c r="G127" s="1670">
        <f t="shared" si="14"/>
        <v>381708</v>
      </c>
      <c r="H127" s="1670">
        <f t="shared" si="14"/>
        <v>0</v>
      </c>
      <c r="I127" s="1670">
        <f t="shared" si="14"/>
        <v>0</v>
      </c>
      <c r="J127" s="1670">
        <f t="shared" si="14"/>
        <v>0</v>
      </c>
      <c r="K127" s="1670">
        <f t="shared" si="14"/>
        <v>1207812</v>
      </c>
      <c r="L127" s="1670">
        <f t="shared" si="14"/>
        <v>979510</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294799</v>
      </c>
      <c r="D129" s="1677">
        <f t="shared" ref="D129:L129" si="15">SUM(D120,D127,D128)</f>
        <v>56443</v>
      </c>
      <c r="E129" s="1677">
        <f t="shared" si="15"/>
        <v>225231</v>
      </c>
      <c r="F129" s="1677">
        <f t="shared" si="15"/>
        <v>249631</v>
      </c>
      <c r="G129" s="1677">
        <f t="shared" si="15"/>
        <v>381708</v>
      </c>
      <c r="H129" s="1677">
        <f t="shared" si="15"/>
        <v>0</v>
      </c>
      <c r="I129" s="1677">
        <f t="shared" si="15"/>
        <v>0</v>
      </c>
      <c r="J129" s="1677">
        <f t="shared" si="15"/>
        <v>0</v>
      </c>
      <c r="K129" s="1677">
        <f t="shared" si="15"/>
        <v>1207812</v>
      </c>
      <c r="L129" s="1677">
        <f t="shared" si="15"/>
        <v>979510</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1844</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109934</v>
      </c>
      <c r="I148" s="468"/>
      <c r="J148" s="616"/>
      <c r="K148" s="1672">
        <f>SUM(H148)</f>
        <v>109934</v>
      </c>
      <c r="L148" s="492">
        <v>400485</v>
      </c>
    </row>
    <row r="149" spans="1:14" ht="12.75" customHeight="1" thickBot="1" x14ac:dyDescent="0.25">
      <c r="A149" s="1507" t="s">
        <v>637</v>
      </c>
      <c r="B149" s="617" t="s">
        <v>491</v>
      </c>
      <c r="C149" s="616"/>
      <c r="D149" s="616"/>
      <c r="E149" s="616"/>
      <c r="F149" s="616"/>
      <c r="G149" s="616"/>
      <c r="H149" s="1670">
        <f>SUM(H147,H148)</f>
        <v>109934</v>
      </c>
      <c r="I149" s="468"/>
      <c r="J149" s="616"/>
      <c r="K149" s="1670">
        <f>SUM(K147:K148)</f>
        <v>109934</v>
      </c>
      <c r="L149" s="1670">
        <f>SUM(L142:L146,L148)</f>
        <v>400485</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0" t="s">
        <v>619</v>
      </c>
      <c r="B151" s="2152"/>
      <c r="C151" s="1670">
        <f>SUM(C129,C130,C139,C149,C150)</f>
        <v>294799</v>
      </c>
      <c r="D151" s="1670">
        <f t="shared" ref="D151:K151" si="16">SUM(D129,D130,D139,D149,D150)</f>
        <v>56443</v>
      </c>
      <c r="E151" s="1670">
        <f t="shared" si="16"/>
        <v>225231</v>
      </c>
      <c r="F151" s="1670">
        <f t="shared" si="16"/>
        <v>249631</v>
      </c>
      <c r="G151" s="1670">
        <f t="shared" si="16"/>
        <v>381708</v>
      </c>
      <c r="H151" s="1670">
        <f t="shared" si="16"/>
        <v>109934</v>
      </c>
      <c r="I151" s="1670">
        <f t="shared" si="16"/>
        <v>0</v>
      </c>
      <c r="J151" s="1670">
        <f t="shared" si="16"/>
        <v>0</v>
      </c>
      <c r="K151" s="1670">
        <f t="shared" si="16"/>
        <v>1317746</v>
      </c>
      <c r="L151" s="1670">
        <f>SUM(L129,L130,L139,L149,L150)</f>
        <v>1379995</v>
      </c>
    </row>
    <row r="152" spans="1:14" ht="12.75" customHeight="1" thickTop="1" x14ac:dyDescent="0.2">
      <c r="A152" s="2173" t="s">
        <v>1177</v>
      </c>
      <c r="B152" s="2174"/>
      <c r="C152" s="618"/>
      <c r="D152" s="618"/>
      <c r="E152" s="618"/>
      <c r="F152" s="618"/>
      <c r="G152" s="618"/>
      <c r="H152" s="618"/>
      <c r="I152" s="618"/>
      <c r="J152" s="616"/>
      <c r="K152" s="1684">
        <f>'Revenues 9-14'!D268-'Expenditures 15-22'!K151</f>
        <v>-92836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620</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250577</v>
      </c>
      <c r="I169" s="616"/>
      <c r="J169" s="616"/>
      <c r="K169" s="1671">
        <f>SUM(C169:H169)</f>
        <v>250577</v>
      </c>
      <c r="L169" s="656">
        <v>246040</v>
      </c>
    </row>
    <row r="170" spans="1:14" ht="33.75" customHeight="1" x14ac:dyDescent="0.2">
      <c r="A170" s="669" t="s">
        <v>1669</v>
      </c>
      <c r="B170" s="671" t="s">
        <v>31</v>
      </c>
      <c r="C170" s="616"/>
      <c r="D170" s="616"/>
      <c r="E170" s="616"/>
      <c r="F170" s="616"/>
      <c r="G170" s="616"/>
      <c r="H170" s="569">
        <v>477245</v>
      </c>
      <c r="I170" s="616"/>
      <c r="J170" s="616"/>
      <c r="K170" s="1671">
        <f>SUM(C170:J170)</f>
        <v>477245</v>
      </c>
      <c r="L170" s="569">
        <v>83165</v>
      </c>
    </row>
    <row r="171" spans="1:14" ht="15.75" customHeight="1" x14ac:dyDescent="0.2">
      <c r="A171" s="621" t="s">
        <v>765</v>
      </c>
      <c r="B171" s="672" t="s">
        <v>84</v>
      </c>
      <c r="C171" s="616"/>
      <c r="D171" s="616"/>
      <c r="E171" s="466"/>
      <c r="F171" s="616"/>
      <c r="G171" s="616"/>
      <c r="H171" s="569">
        <v>2450</v>
      </c>
      <c r="I171" s="477"/>
      <c r="J171" s="616"/>
      <c r="K171" s="1671">
        <f>SUM(C171:J171)</f>
        <v>2450</v>
      </c>
      <c r="L171" s="569">
        <v>2000</v>
      </c>
    </row>
    <row r="172" spans="1:14" ht="12.75" customHeight="1" thickBot="1" x14ac:dyDescent="0.25">
      <c r="A172" s="1668" t="s">
        <v>637</v>
      </c>
      <c r="B172" s="1669" t="s">
        <v>491</v>
      </c>
      <c r="C172" s="616"/>
      <c r="D172" s="616"/>
      <c r="E172" s="1677">
        <f>SUM(E168,E169,E170,E171)</f>
        <v>0</v>
      </c>
      <c r="F172" s="616"/>
      <c r="G172" s="616"/>
      <c r="H172" s="1677">
        <f>SUM(H168,H169,H170,H171)</f>
        <v>730272</v>
      </c>
      <c r="I172" s="638"/>
      <c r="J172" s="616"/>
      <c r="K172" s="1677">
        <f>SUM(K168,K169,K170,K171)</f>
        <v>730272</v>
      </c>
      <c r="L172" s="1677">
        <f>SUM(L168,L169,L170,L171)</f>
        <v>331205</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730272</v>
      </c>
      <c r="I174" s="638"/>
      <c r="J174" s="616"/>
      <c r="K174" s="1677">
        <f>SUM(K160,K172,K173)</f>
        <v>730272</v>
      </c>
      <c r="L174" s="1677">
        <f>SUM(L160,L172,L173)</f>
        <v>331205</v>
      </c>
    </row>
    <row r="175" spans="1:14" ht="13.5" thickTop="1" x14ac:dyDescent="0.2">
      <c r="A175" s="2180" t="s">
        <v>995</v>
      </c>
      <c r="B175" s="2181"/>
      <c r="C175" s="616"/>
      <c r="D175" s="616"/>
      <c r="E175" s="616"/>
      <c r="F175" s="616"/>
      <c r="G175" s="616"/>
      <c r="H175" s="618"/>
      <c r="I175" s="616"/>
      <c r="J175" s="616"/>
      <c r="K175" s="1684">
        <f>'Revenues 9-14'!E268-'Expenditures 15-22'!K174</f>
        <v>-407055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2059</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176117</v>
      </c>
      <c r="D182" s="466">
        <v>15870</v>
      </c>
      <c r="E182" s="466">
        <v>111417</v>
      </c>
      <c r="F182" s="466">
        <v>33598</v>
      </c>
      <c r="G182" s="466">
        <v>161958</v>
      </c>
      <c r="H182" s="466"/>
      <c r="I182" s="467"/>
      <c r="J182" s="467"/>
      <c r="K182" s="1671">
        <f>SUM(C182:J182)</f>
        <v>498960</v>
      </c>
      <c r="L182" s="466">
        <v>474360</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176117</v>
      </c>
      <c r="D184" s="1677">
        <f t="shared" ref="D184:J184" si="17">SUM(D180,D182,D183)</f>
        <v>15870</v>
      </c>
      <c r="E184" s="1677">
        <f t="shared" si="17"/>
        <v>111417</v>
      </c>
      <c r="F184" s="1677">
        <f t="shared" si="17"/>
        <v>33598</v>
      </c>
      <c r="G184" s="1677">
        <f t="shared" si="17"/>
        <v>161958</v>
      </c>
      <c r="H184" s="1677">
        <f t="shared" si="17"/>
        <v>0</v>
      </c>
      <c r="I184" s="1677">
        <f t="shared" si="17"/>
        <v>0</v>
      </c>
      <c r="J184" s="1677">
        <f t="shared" si="17"/>
        <v>0</v>
      </c>
      <c r="K184" s="1677">
        <f>SUM(K180,K182,K183)</f>
        <v>498960</v>
      </c>
      <c r="L184" s="1677">
        <f>SUM(L180, L182:L183)</f>
        <v>474360</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5583</v>
      </c>
      <c r="I205" s="616"/>
      <c r="J205" s="616"/>
      <c r="K205" s="1685">
        <f>SUM(H205)</f>
        <v>5583</v>
      </c>
      <c r="L205" s="535"/>
    </row>
    <row r="206" spans="1:14" ht="30" customHeight="1" x14ac:dyDescent="0.2">
      <c r="A206" s="681" t="s">
        <v>1670</v>
      </c>
      <c r="B206" s="672" t="s">
        <v>31</v>
      </c>
      <c r="C206" s="616"/>
      <c r="D206" s="616"/>
      <c r="E206" s="616"/>
      <c r="F206" s="616"/>
      <c r="G206" s="616"/>
      <c r="H206" s="466">
        <v>93490</v>
      </c>
      <c r="I206" s="616"/>
      <c r="J206" s="616"/>
      <c r="K206" s="1671">
        <f>SUM(H206)</f>
        <v>93490</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99073</v>
      </c>
      <c r="I208" s="616"/>
      <c r="J208" s="616"/>
      <c r="K208" s="1677">
        <f>SUM(K204,K205,K206,K207)</f>
        <v>99073</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176117</v>
      </c>
      <c r="D210" s="1670">
        <f>SUM(D184,D185)</f>
        <v>15870</v>
      </c>
      <c r="E210" s="1670">
        <f>SUM(E184,E185,E196)</f>
        <v>111417</v>
      </c>
      <c r="F210" s="1670">
        <f>SUM(F184,F185)</f>
        <v>33598</v>
      </c>
      <c r="G210" s="1670">
        <f>SUM(G184,G185)</f>
        <v>161958</v>
      </c>
      <c r="H210" s="1670">
        <f>SUM(H184,H185,H196,H208,H209)</f>
        <v>99073</v>
      </c>
      <c r="I210" s="1670">
        <f>SUM(I184,I185)</f>
        <v>0</v>
      </c>
      <c r="J210" s="1670">
        <f>SUM(J184,J185)</f>
        <v>0</v>
      </c>
      <c r="K210" s="1671">
        <f>SUM(K184,K185,K196,K208,K209)</f>
        <v>598033</v>
      </c>
      <c r="L210" s="1670">
        <f>SUM(L184,L185,L196,L208,L209)</f>
        <v>474360</v>
      </c>
    </row>
    <row r="211" spans="1:14" ht="13.5" thickTop="1" x14ac:dyDescent="0.2">
      <c r="A211" s="2180" t="s">
        <v>995</v>
      </c>
      <c r="B211" s="2181"/>
      <c r="C211" s="618"/>
      <c r="D211" s="618"/>
      <c r="E211" s="618"/>
      <c r="F211" s="618"/>
      <c r="G211" s="618"/>
      <c r="H211" s="618"/>
      <c r="I211" s="616"/>
      <c r="J211" s="616"/>
      <c r="K211" s="1684">
        <f>'Revenues 9-14'!F268-'Expenditures 15-22'!K210</f>
        <v>-68972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964</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55605</v>
      </c>
      <c r="E215" s="616"/>
      <c r="F215" s="616"/>
      <c r="G215" s="616"/>
      <c r="H215" s="616"/>
      <c r="I215" s="616"/>
      <c r="J215" s="616"/>
      <c r="K215" s="1671">
        <f>D215</f>
        <v>55605</v>
      </c>
      <c r="L215" s="466">
        <v>47655</v>
      </c>
    </row>
    <row r="216" spans="1:14" x14ac:dyDescent="0.2">
      <c r="A216" s="1504" t="s">
        <v>163</v>
      </c>
      <c r="B216" s="614" t="s">
        <v>966</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46220</v>
      </c>
      <c r="E217" s="616"/>
      <c r="F217" s="616"/>
      <c r="G217" s="616"/>
      <c r="H217" s="616"/>
      <c r="I217" s="616"/>
      <c r="J217" s="616"/>
      <c r="K217" s="1671">
        <f t="shared" si="19"/>
        <v>46220</v>
      </c>
      <c r="L217" s="466">
        <v>48860</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v>1173</v>
      </c>
      <c r="E219" s="616"/>
      <c r="F219" s="616"/>
      <c r="G219" s="616"/>
      <c r="H219" s="616"/>
      <c r="I219" s="616"/>
      <c r="J219" s="616"/>
      <c r="K219" s="1671">
        <f t="shared" si="19"/>
        <v>1173</v>
      </c>
      <c r="L219" s="466">
        <v>2765</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c r="E222" s="616"/>
      <c r="F222" s="616"/>
      <c r="G222" s="616"/>
      <c r="H222" s="616"/>
      <c r="I222" s="616"/>
      <c r="J222" s="616"/>
      <c r="K222" s="1671">
        <f t="shared" si="19"/>
        <v>0</v>
      </c>
      <c r="L222" s="466"/>
    </row>
    <row r="223" spans="1:14" x14ac:dyDescent="0.2">
      <c r="A223" s="1504" t="s">
        <v>962</v>
      </c>
      <c r="B223" s="614">
        <v>1500</v>
      </c>
      <c r="C223" s="616"/>
      <c r="D223" s="466"/>
      <c r="E223" s="616"/>
      <c r="F223" s="616"/>
      <c r="G223" s="616"/>
      <c r="H223" s="616"/>
      <c r="I223" s="616"/>
      <c r="J223" s="616"/>
      <c r="K223" s="1671">
        <f t="shared" si="19"/>
        <v>0</v>
      </c>
      <c r="L223" s="466"/>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v>1432</v>
      </c>
      <c r="E225" s="616"/>
      <c r="F225" s="616"/>
      <c r="G225" s="616"/>
      <c r="H225" s="616"/>
      <c r="I225" s="616"/>
      <c r="J225" s="616"/>
      <c r="K225" s="1671">
        <f t="shared" si="19"/>
        <v>1432</v>
      </c>
      <c r="L225" s="466">
        <v>1435</v>
      </c>
    </row>
    <row r="226" spans="1:12" x14ac:dyDescent="0.2">
      <c r="A226" s="1504" t="s">
        <v>723</v>
      </c>
      <c r="B226" s="614" t="s">
        <v>162</v>
      </c>
      <c r="C226" s="616"/>
      <c r="D226" s="467"/>
      <c r="E226" s="616"/>
      <c r="F226" s="616"/>
      <c r="G226" s="616"/>
      <c r="H226" s="616"/>
      <c r="I226" s="616"/>
      <c r="J226" s="616"/>
      <c r="K226" s="1671">
        <f t="shared" si="19"/>
        <v>0</v>
      </c>
      <c r="L226" s="466"/>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104430</v>
      </c>
      <c r="E229" s="616"/>
      <c r="F229" s="616"/>
      <c r="G229" s="616"/>
      <c r="H229" s="616"/>
      <c r="I229" s="616"/>
      <c r="J229" s="616"/>
      <c r="K229" s="1670">
        <f>SUM(K215:K228)</f>
        <v>104430</v>
      </c>
      <c r="L229" s="1670">
        <f>SUM(L215:L228)</f>
        <v>100715</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984</v>
      </c>
      <c r="E232" s="616"/>
      <c r="F232" s="616"/>
      <c r="G232" s="616"/>
      <c r="H232" s="616"/>
      <c r="I232" s="616"/>
      <c r="J232" s="616"/>
      <c r="K232" s="1671">
        <f t="shared" ref="K232:K237" si="20">D232</f>
        <v>984</v>
      </c>
      <c r="L232" s="466">
        <v>850</v>
      </c>
    </row>
    <row r="233" spans="1:12" x14ac:dyDescent="0.2">
      <c r="A233" s="1504" t="s">
        <v>1089</v>
      </c>
      <c r="B233" s="614">
        <v>2120</v>
      </c>
      <c r="C233" s="616"/>
      <c r="D233" s="466">
        <v>2162</v>
      </c>
      <c r="E233" s="616"/>
      <c r="F233" s="616"/>
      <c r="G233" s="616"/>
      <c r="H233" s="616"/>
      <c r="I233" s="616"/>
      <c r="J233" s="616"/>
      <c r="K233" s="1671">
        <f t="shared" si="20"/>
        <v>2162</v>
      </c>
      <c r="L233" s="466">
        <v>2155</v>
      </c>
    </row>
    <row r="234" spans="1:12" x14ac:dyDescent="0.2">
      <c r="A234" s="1504" t="s">
        <v>198</v>
      </c>
      <c r="B234" s="614">
        <v>2130</v>
      </c>
      <c r="C234" s="616"/>
      <c r="D234" s="466">
        <v>10235</v>
      </c>
      <c r="E234" s="616"/>
      <c r="F234" s="616"/>
      <c r="G234" s="616"/>
      <c r="H234" s="616"/>
      <c r="I234" s="616"/>
      <c r="J234" s="616"/>
      <c r="K234" s="1671">
        <f t="shared" si="20"/>
        <v>10235</v>
      </c>
      <c r="L234" s="466">
        <v>10015</v>
      </c>
    </row>
    <row r="235" spans="1:12" x14ac:dyDescent="0.2">
      <c r="A235" s="1504" t="s">
        <v>199</v>
      </c>
      <c r="B235" s="614">
        <v>2140</v>
      </c>
      <c r="C235" s="616"/>
      <c r="D235" s="466">
        <v>939</v>
      </c>
      <c r="E235" s="616"/>
      <c r="F235" s="616"/>
      <c r="G235" s="616"/>
      <c r="H235" s="616"/>
      <c r="I235" s="616"/>
      <c r="J235" s="616"/>
      <c r="K235" s="1671">
        <f t="shared" si="20"/>
        <v>939</v>
      </c>
      <c r="L235" s="466">
        <v>1080</v>
      </c>
    </row>
    <row r="236" spans="1:12" x14ac:dyDescent="0.2">
      <c r="A236" s="1504" t="s">
        <v>200</v>
      </c>
      <c r="B236" s="614">
        <v>2150</v>
      </c>
      <c r="C236" s="616"/>
      <c r="D236" s="466">
        <v>2531</v>
      </c>
      <c r="E236" s="616"/>
      <c r="F236" s="616"/>
      <c r="G236" s="616"/>
      <c r="H236" s="616"/>
      <c r="I236" s="616"/>
      <c r="J236" s="616"/>
      <c r="K236" s="1671">
        <f t="shared" si="20"/>
        <v>2531</v>
      </c>
      <c r="L236" s="466">
        <v>2550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559</v>
      </c>
      <c r="B238" s="1675" t="s">
        <v>715</v>
      </c>
      <c r="C238" s="616"/>
      <c r="D238" s="1670">
        <f>SUM(D232:D237)</f>
        <v>16851</v>
      </c>
      <c r="E238" s="616"/>
      <c r="F238" s="616"/>
      <c r="G238" s="616"/>
      <c r="H238" s="616"/>
      <c r="I238" s="616"/>
      <c r="J238" s="616"/>
      <c r="K238" s="1670">
        <f>SUM(K232:K237)</f>
        <v>16851</v>
      </c>
      <c r="L238" s="1670">
        <f>SUM(L232:L237)</f>
        <v>16650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c r="E240" s="616"/>
      <c r="F240" s="616"/>
      <c r="G240" s="616"/>
      <c r="H240" s="616"/>
      <c r="I240" s="616"/>
      <c r="J240" s="616"/>
      <c r="K240" s="1672">
        <f>D240</f>
        <v>0</v>
      </c>
      <c r="L240" s="481"/>
    </row>
    <row r="241" spans="1:12" x14ac:dyDescent="0.2">
      <c r="A241" s="1504" t="s">
        <v>814</v>
      </c>
      <c r="B241" s="614">
        <v>2220</v>
      </c>
      <c r="C241" s="616"/>
      <c r="D241" s="466">
        <v>12387</v>
      </c>
      <c r="E241" s="616"/>
      <c r="F241" s="616"/>
      <c r="G241" s="616"/>
      <c r="H241" s="616"/>
      <c r="I241" s="616"/>
      <c r="J241" s="616"/>
      <c r="K241" s="1672">
        <f>D241</f>
        <v>12387</v>
      </c>
      <c r="L241" s="466">
        <v>8925</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12387</v>
      </c>
      <c r="E243" s="616"/>
      <c r="F243" s="616"/>
      <c r="G243" s="616"/>
      <c r="H243" s="616"/>
      <c r="I243" s="616"/>
      <c r="J243" s="616"/>
      <c r="K243" s="1670">
        <f>SUM(K240:K242)</f>
        <v>12387</v>
      </c>
      <c r="L243" s="1670">
        <f>SUM(L240:L242)</f>
        <v>8925</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2">
        <f>D245</f>
        <v>0</v>
      </c>
      <c r="L245" s="481"/>
    </row>
    <row r="246" spans="1:12" x14ac:dyDescent="0.2">
      <c r="A246" s="1504" t="s">
        <v>817</v>
      </c>
      <c r="B246" s="614">
        <v>2320</v>
      </c>
      <c r="C246" s="616"/>
      <c r="D246" s="466">
        <v>49554</v>
      </c>
      <c r="E246" s="616"/>
      <c r="F246" s="616"/>
      <c r="G246" s="616"/>
      <c r="H246" s="616"/>
      <c r="I246" s="616"/>
      <c r="J246" s="616"/>
      <c r="K246" s="1672">
        <f t="shared" ref="K246:K256" si="21">D246</f>
        <v>49554</v>
      </c>
      <c r="L246" s="466">
        <v>47965</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49554</v>
      </c>
      <c r="E257" s="616"/>
      <c r="F257" s="616"/>
      <c r="G257" s="616"/>
      <c r="H257" s="616"/>
      <c r="I257" s="616"/>
      <c r="J257" s="616"/>
      <c r="K257" s="1670">
        <f>SUM(K245:K256)</f>
        <v>49554</v>
      </c>
      <c r="L257" s="1670">
        <f>SUM(L245:L256)</f>
        <v>47965</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23994</v>
      </c>
      <c r="E259" s="616"/>
      <c r="F259" s="616"/>
      <c r="G259" s="616"/>
      <c r="H259" s="616"/>
      <c r="I259" s="616"/>
      <c r="J259" s="616"/>
      <c r="K259" s="1672">
        <f>D259</f>
        <v>23994</v>
      </c>
      <c r="L259" s="481">
        <v>26945</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23994</v>
      </c>
      <c r="E261" s="616"/>
      <c r="F261" s="616"/>
      <c r="G261" s="616"/>
      <c r="H261" s="616"/>
      <c r="I261" s="616"/>
      <c r="J261" s="616"/>
      <c r="K261" s="1670">
        <f>SUM(K259:K260)</f>
        <v>23994</v>
      </c>
      <c r="L261" s="1670">
        <f>SUM(L259:L260)</f>
        <v>26945</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row>
    <row r="264" spans="1:14" x14ac:dyDescent="0.2">
      <c r="A264" s="1504" t="s">
        <v>462</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58604</v>
      </c>
      <c r="E266" s="616"/>
      <c r="F266" s="616"/>
      <c r="G266" s="616"/>
      <c r="H266" s="616"/>
      <c r="I266" s="616"/>
      <c r="J266" s="616"/>
      <c r="K266" s="1672">
        <f t="shared" si="22"/>
        <v>58604</v>
      </c>
      <c r="L266" s="466">
        <v>50645</v>
      </c>
    </row>
    <row r="267" spans="1:14" x14ac:dyDescent="0.2">
      <c r="A267" s="1504" t="s">
        <v>952</v>
      </c>
      <c r="B267" s="614">
        <v>2550</v>
      </c>
      <c r="C267" s="616"/>
      <c r="D267" s="466">
        <v>31932</v>
      </c>
      <c r="E267" s="616"/>
      <c r="F267" s="616"/>
      <c r="G267" s="616"/>
      <c r="H267" s="616"/>
      <c r="I267" s="616"/>
      <c r="J267" s="616"/>
      <c r="K267" s="1672">
        <f t="shared" si="22"/>
        <v>31932</v>
      </c>
      <c r="L267" s="466">
        <v>28155</v>
      </c>
    </row>
    <row r="268" spans="1:14" x14ac:dyDescent="0.2">
      <c r="A268" s="1504" t="s">
        <v>100</v>
      </c>
      <c r="B268" s="614">
        <v>2560</v>
      </c>
      <c r="C268" s="616"/>
      <c r="D268" s="466">
        <v>1827</v>
      </c>
      <c r="E268" s="616"/>
      <c r="F268" s="616"/>
      <c r="G268" s="616"/>
      <c r="H268" s="616"/>
      <c r="I268" s="616"/>
      <c r="J268" s="616"/>
      <c r="K268" s="1672">
        <f t="shared" si="22"/>
        <v>1827</v>
      </c>
      <c r="L268" s="466">
        <v>2180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92363</v>
      </c>
      <c r="E270" s="616"/>
      <c r="F270" s="616"/>
      <c r="G270" s="616"/>
      <c r="H270" s="616"/>
      <c r="I270" s="616"/>
      <c r="J270" s="616"/>
      <c r="K270" s="1670">
        <f>SUM(K263:K269)</f>
        <v>92363</v>
      </c>
      <c r="L270" s="1670">
        <f>SUM(L263:L269)</f>
        <v>80980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195149</v>
      </c>
      <c r="E279" s="616"/>
      <c r="F279" s="616"/>
      <c r="G279" s="616"/>
      <c r="H279" s="616"/>
      <c r="I279" s="616"/>
      <c r="J279" s="616"/>
      <c r="K279" s="1677">
        <f>SUM(K238,K243,K257,K261,K270,K277,K278)</f>
        <v>195149</v>
      </c>
      <c r="L279" s="1677">
        <f>SUM(L238,L243,L257,L261,L270,L277,L278)</f>
        <v>181465</v>
      </c>
    </row>
    <row r="280" spans="1:12" ht="15.75" customHeight="1" thickTop="1" thickBot="1" x14ac:dyDescent="0.25">
      <c r="A280" s="1624" t="s">
        <v>874</v>
      </c>
      <c r="B280" s="1613">
        <v>3000</v>
      </c>
      <c r="C280" s="616"/>
      <c r="D280" s="576">
        <v>8083</v>
      </c>
      <c r="E280" s="616"/>
      <c r="F280" s="616"/>
      <c r="G280" s="616"/>
      <c r="H280" s="616"/>
      <c r="I280" s="616"/>
      <c r="J280" s="616"/>
      <c r="K280" s="1679">
        <f>D280</f>
        <v>8083</v>
      </c>
      <c r="L280" s="576">
        <v>11795</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1844</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1" t="s">
        <v>504</v>
      </c>
      <c r="B295" s="2172"/>
      <c r="C295" s="616"/>
      <c r="D295" s="1670">
        <f>SUM(D229,D279,D280,D285)</f>
        <v>307662</v>
      </c>
      <c r="E295" s="616"/>
      <c r="F295" s="616"/>
      <c r="G295" s="616"/>
      <c r="H295" s="1670">
        <f>H293</f>
        <v>0</v>
      </c>
      <c r="I295" s="616"/>
      <c r="J295" s="616"/>
      <c r="K295" s="1670">
        <f>SUM(K229,K279,K280,K285,K293,K294)</f>
        <v>307662</v>
      </c>
      <c r="L295" s="1670">
        <f>SUM(L229,L279,L280,L285,L293,L294)</f>
        <v>293975</v>
      </c>
    </row>
    <row r="296" spans="1:14" ht="13.5" thickTop="1" x14ac:dyDescent="0.2">
      <c r="A296" s="2180" t="s">
        <v>995</v>
      </c>
      <c r="B296" s="2181"/>
      <c r="C296" s="616"/>
      <c r="D296" s="618"/>
      <c r="E296" s="616"/>
      <c r="F296" s="616"/>
      <c r="G296" s="616"/>
      <c r="H296" s="687"/>
      <c r="I296" s="616"/>
      <c r="J296" s="616"/>
      <c r="K296" s="1684">
        <f>'Revenues 9-14'!G268-'Expenditures 15-22'!K295</f>
        <v>-10774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v>646859</v>
      </c>
      <c r="H301" s="466"/>
      <c r="I301" s="467"/>
      <c r="J301" s="467"/>
      <c r="K301" s="1671">
        <f>SUM(C301:J301)</f>
        <v>646859</v>
      </c>
      <c r="L301" s="467">
        <v>646859</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646859</v>
      </c>
      <c r="H303" s="1677">
        <f t="shared" si="23"/>
        <v>0</v>
      </c>
      <c r="I303" s="1677">
        <f t="shared" si="23"/>
        <v>0</v>
      </c>
      <c r="J303" s="1677">
        <f t="shared" si="23"/>
        <v>0</v>
      </c>
      <c r="K303" s="1677">
        <f t="shared" si="23"/>
        <v>646859</v>
      </c>
      <c r="L303" s="1677">
        <f t="shared" si="23"/>
        <v>646859</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68" t="s">
        <v>276</v>
      </c>
      <c r="B312" s="2169"/>
      <c r="C312" s="1670">
        <f>SUM(C303)</f>
        <v>0</v>
      </c>
      <c r="D312" s="1670">
        <f>SUM(D303)</f>
        <v>0</v>
      </c>
      <c r="E312" s="1670">
        <f>SUM(E303,E310)</f>
        <v>0</v>
      </c>
      <c r="F312" s="1670">
        <f>SUM(F303)</f>
        <v>0</v>
      </c>
      <c r="G312" s="1670">
        <f>SUM(G303)</f>
        <v>646859</v>
      </c>
      <c r="H312" s="1670">
        <f>SUM(H303,H310)</f>
        <v>0</v>
      </c>
      <c r="I312" s="1670">
        <f>SUM(I303)</f>
        <v>0</v>
      </c>
      <c r="J312" s="1670">
        <f>SUM(J303)</f>
        <v>0</v>
      </c>
      <c r="K312" s="1670">
        <f>SUM(K303,K310,K311)</f>
        <v>646859</v>
      </c>
      <c r="L312" s="1670">
        <f>SUM(L303,L310,L311)</f>
        <v>646859</v>
      </c>
      <c r="M312" s="665"/>
      <c r="N312" s="665"/>
    </row>
    <row r="313" spans="1:14" ht="13.5" thickTop="1" x14ac:dyDescent="0.2">
      <c r="A313" s="2164" t="s">
        <v>995</v>
      </c>
      <c r="B313" s="2165"/>
      <c r="C313" s="626"/>
      <c r="D313" s="626"/>
      <c r="E313" s="626"/>
      <c r="F313" s="626"/>
      <c r="G313" s="626"/>
      <c r="H313" s="626"/>
      <c r="I313" s="626"/>
      <c r="J313" s="626"/>
      <c r="K313" s="1685">
        <f>'Revenues 9-14'!H268-'Expenditures 15-22'!K312</f>
        <v>-646859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897</v>
      </c>
      <c r="B317" s="2178"/>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c r="F322" s="467"/>
      <c r="G322" s="467"/>
      <c r="H322" s="467"/>
      <c r="I322" s="467"/>
      <c r="J322" s="467"/>
      <c r="K322" s="1671">
        <f t="shared" si="24"/>
        <v>0</v>
      </c>
      <c r="L322" s="467"/>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c r="F327" s="467"/>
      <c r="G327" s="467"/>
      <c r="H327" s="467"/>
      <c r="I327" s="467"/>
      <c r="J327" s="467"/>
      <c r="K327" s="1671">
        <f t="shared" si="24"/>
        <v>0</v>
      </c>
      <c r="L327" s="467"/>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6" t="s">
        <v>995</v>
      </c>
      <c r="B343" s="216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965</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0" t="s">
        <v>995</v>
      </c>
      <c r="B368" s="2181"/>
      <c r="C368" s="654"/>
      <c r="D368" s="654"/>
      <c r="E368" s="626"/>
      <c r="F368" s="626"/>
      <c r="G368" s="626"/>
      <c r="H368" s="626"/>
      <c r="I368" s="626"/>
      <c r="J368" s="623"/>
      <c r="K368" s="1671">
        <f>'Revenues 9-14'!K268-'Expenditures 15-22'!K367</f>
        <v>12</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sharepoint/v3"/>
    <ds:schemaRef ds:uri="http://www.w3.org/XML/1998/namespace"/>
    <ds:schemaRef ds:uri="http://schemas.openxmlformats.org/package/2006/metadata/core-properties"/>
    <ds:schemaRef ds:uri="http://schemas.microsoft.com/office/2006/metadata/properties"/>
    <ds:schemaRef ds:uri="http://schemas.microsoft.com/office/2006/documentManagement/types"/>
    <ds:schemaRef ds:uri="d21dc803-237d-4c68-8692-8d731fd29118"/>
    <ds:schemaRef ds:uri="4d435f69-8686-490b-bd6d-b153bf22ab50"/>
    <ds:schemaRef ds:uri="http://schemas.microsoft.com/office/infopath/2007/PartnerControls"/>
    <ds:schemaRef ds:uri="6ce3111e-7420-4802-b50a-75d4e9a0b980"/>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2019-10-02T21:57:33Z</cp:lastPrinted>
  <dcterms:created xsi:type="dcterms:W3CDTF">2003-10-29T19:06:34Z</dcterms:created>
  <dcterms:modified xsi:type="dcterms:W3CDTF">2019-12-09T17:32:06Z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