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67E9310-0C91-4301-8AE2-666B6ABFA45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39" i="181" l="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8" i="181"/>
  <c r="E138" i="181"/>
  <c r="G137" i="181"/>
  <c r="E137" i="181"/>
  <c r="G136" i="181"/>
  <c r="E136" i="181"/>
  <c r="G135" i="181"/>
  <c r="E135" i="181"/>
  <c r="G134" i="181"/>
  <c r="E134" i="181"/>
  <c r="G133" i="181"/>
  <c r="E133" i="181"/>
  <c r="G132" i="181"/>
  <c r="E132" i="181"/>
  <c r="E131" i="181"/>
  <c r="G131" i="181" s="1"/>
  <c r="G130" i="181"/>
  <c r="E130" i="181"/>
  <c r="G129" i="181"/>
  <c r="E129" i="181"/>
  <c r="G128" i="181"/>
  <c r="E128" i="181"/>
  <c r="G127" i="181"/>
  <c r="E127" i="181"/>
  <c r="E126" i="181"/>
  <c r="G126" i="181" s="1"/>
  <c r="G125" i="181"/>
  <c r="E125" i="181"/>
  <c r="G124" i="181"/>
  <c r="E124" i="181"/>
  <c r="G123" i="181"/>
  <c r="E123" i="181"/>
  <c r="E122" i="181"/>
  <c r="G122" i="181" s="1"/>
  <c r="G121" i="181"/>
  <c r="E121" i="181"/>
  <c r="G120" i="181"/>
  <c r="E120" i="181"/>
  <c r="G119" i="181"/>
  <c r="E119" i="181"/>
  <c r="G118" i="181"/>
  <c r="E118" i="181"/>
  <c r="G117" i="181"/>
  <c r="E117" i="181"/>
  <c r="G116" i="181"/>
  <c r="E116" i="181"/>
  <c r="G115" i="181"/>
  <c r="E115" i="181"/>
  <c r="G114" i="181"/>
  <c r="E114" i="181"/>
  <c r="E113" i="181"/>
  <c r="G113" i="181" s="1"/>
  <c r="G112" i="181"/>
  <c r="E112" i="181"/>
  <c r="G111" i="181"/>
  <c r="E111" i="181"/>
  <c r="G110" i="181"/>
  <c r="E110" i="181"/>
  <c r="E109" i="181"/>
  <c r="G109" i="181" s="1"/>
  <c r="G108" i="181"/>
  <c r="E108" i="181"/>
  <c r="G107" i="181"/>
  <c r="E107" i="181"/>
  <c r="G106" i="181"/>
  <c r="E106" i="181"/>
  <c r="G105" i="181"/>
  <c r="E105" i="181"/>
  <c r="G104" i="181"/>
  <c r="E104" i="181"/>
  <c r="G103" i="181"/>
  <c r="E103" i="181"/>
  <c r="G98" i="181"/>
  <c r="E98" i="181"/>
  <c r="G102" i="181"/>
  <c r="E102" i="181"/>
  <c r="E101" i="181"/>
  <c r="G101" i="181" s="1"/>
  <c r="G100" i="181"/>
  <c r="E100" i="181"/>
  <c r="E99" i="181"/>
  <c r="G99" i="181" s="1"/>
  <c r="G97" i="181"/>
  <c r="E97" i="181"/>
  <c r="E96" i="181"/>
  <c r="G96" i="181" s="1"/>
  <c r="G95" i="181"/>
  <c r="E95" i="181"/>
  <c r="E94" i="181"/>
  <c r="G94" i="181" s="1"/>
  <c r="G92" i="181"/>
  <c r="E92" i="181"/>
  <c r="G91" i="181"/>
  <c r="E91" i="181"/>
  <c r="E90" i="181"/>
  <c r="G90" i="181" s="1"/>
  <c r="G89" i="181"/>
  <c r="E89" i="181"/>
  <c r="G88" i="181"/>
  <c r="E88" i="181"/>
  <c r="E87" i="181"/>
  <c r="G87" i="181" s="1"/>
  <c r="G86" i="181"/>
  <c r="E86" i="181"/>
  <c r="E85" i="181"/>
  <c r="G85" i="181" s="1"/>
  <c r="G83" i="181"/>
  <c r="E83" i="181"/>
  <c r="G82" i="181"/>
  <c r="E82" i="181"/>
  <c r="G81" i="181"/>
  <c r="E81" i="181"/>
  <c r="G80" i="181"/>
  <c r="E80" i="181"/>
  <c r="G79" i="181"/>
  <c r="E79" i="181"/>
  <c r="G78" i="181"/>
  <c r="E78" i="181"/>
  <c r="G77" i="181"/>
  <c r="E77" i="181"/>
  <c r="G76" i="181"/>
  <c r="E76" i="181"/>
  <c r="G75" i="181"/>
  <c r="E75" i="181"/>
  <c r="E74" i="181"/>
  <c r="G74" i="181" s="1"/>
  <c r="G73" i="181"/>
  <c r="E73" i="181"/>
  <c r="G72" i="181"/>
  <c r="E72" i="181"/>
  <c r="G139" i="181"/>
  <c r="E139" i="181"/>
  <c r="G93" i="181"/>
  <c r="E93" i="181"/>
  <c r="G84" i="181"/>
  <c r="E84" i="181"/>
  <c r="E71" i="181"/>
  <c r="G71" i="181" s="1"/>
  <c r="G70" i="181"/>
  <c r="E70" i="181"/>
  <c r="G69" i="181"/>
  <c r="E69" i="181"/>
  <c r="G68" i="181"/>
  <c r="E68" i="181"/>
  <c r="G67" i="181"/>
  <c r="E67" i="181"/>
  <c r="G66" i="181"/>
  <c r="E66" i="181"/>
  <c r="G65" i="181"/>
  <c r="E65" i="181"/>
  <c r="E64" i="181"/>
  <c r="G64" i="181" s="1"/>
  <c r="E63" i="181"/>
  <c r="G63" i="181" s="1"/>
  <c r="G62" i="181"/>
  <c r="E62" i="181"/>
  <c r="G61" i="181"/>
  <c r="E61" i="181"/>
  <c r="G60" i="181"/>
  <c r="E60" i="181"/>
  <c r="E59" i="181"/>
  <c r="G59" i="181" s="1"/>
  <c r="G58" i="181"/>
  <c r="E58" i="181"/>
  <c r="E57" i="181"/>
  <c r="G57" i="181" s="1"/>
  <c r="G56" i="181"/>
  <c r="E56" i="181"/>
  <c r="E55" i="181"/>
  <c r="G55" i="181" s="1"/>
  <c r="G54" i="181"/>
  <c r="E54" i="181"/>
  <c r="E53" i="181"/>
  <c r="G53" i="181" s="1"/>
  <c r="G52" i="181"/>
  <c r="E52" i="181"/>
  <c r="G51" i="181"/>
  <c r="E51" i="181"/>
  <c r="G50" i="181"/>
  <c r="E50" i="181"/>
  <c r="G49" i="181"/>
  <c r="E49" i="181"/>
  <c r="G48" i="181"/>
  <c r="E48" i="181"/>
  <c r="E47" i="181"/>
  <c r="G47" i="181" s="1"/>
  <c r="G46" i="181"/>
  <c r="E46" i="181"/>
  <c r="G45" i="181"/>
  <c r="E45" i="181"/>
  <c r="E44" i="181"/>
  <c r="G44" i="181" s="1"/>
  <c r="E43" i="181"/>
  <c r="G43" i="181" s="1"/>
  <c r="E42" i="181"/>
  <c r="E41" i="181"/>
  <c r="E40" i="181"/>
  <c r="G40" i="181" s="1"/>
  <c r="G39" i="181"/>
  <c r="E39" i="181"/>
  <c r="G38" i="181"/>
  <c r="E38" i="181"/>
  <c r="G37" i="181"/>
  <c r="E37" i="181"/>
  <c r="G36" i="181"/>
  <c r="E36" i="181"/>
  <c r="E35" i="181"/>
  <c r="G35" i="181" s="1"/>
  <c r="E34" i="181"/>
  <c r="G34" i="181" s="1"/>
  <c r="E33" i="181"/>
  <c r="G33" i="181" s="1"/>
  <c r="E32" i="181"/>
  <c r="E31" i="181"/>
  <c r="G31" i="181" s="1"/>
  <c r="E30" i="181"/>
  <c r="G30" i="181" s="1"/>
  <c r="E29" i="181"/>
  <c r="G29" i="181" s="1"/>
  <c r="E28" i="181"/>
  <c r="E27" i="181"/>
  <c r="G27" i="181" s="1"/>
  <c r="E26" i="181"/>
  <c r="G25" i="181"/>
  <c r="E25" i="181"/>
  <c r="E24" i="181"/>
  <c r="F24" i="181" s="1"/>
  <c r="E23" i="181"/>
  <c r="E22" i="181"/>
  <c r="E21" i="181"/>
  <c r="E20" i="181"/>
  <c r="F20" i="181" s="1"/>
  <c r="E19" i="181"/>
  <c r="F19" i="181" s="1"/>
  <c r="F21" i="181" l="1"/>
  <c r="G21" i="181" s="1"/>
  <c r="F22" i="181"/>
  <c r="G22" i="181" s="1"/>
  <c r="F23" i="181"/>
  <c r="G23" i="181" s="1"/>
  <c r="G42" i="181"/>
  <c r="G41" i="181"/>
  <c r="G32" i="181"/>
  <c r="G28" i="181"/>
  <c r="G26" i="181"/>
  <c r="G24" i="181"/>
  <c r="G20" i="181"/>
  <c r="G19" i="181"/>
  <c r="D140" i="181"/>
  <c r="D80" i="36" l="1"/>
  <c r="B7797" i="106"/>
  <c r="E140" i="181"/>
  <c r="E18" i="181"/>
  <c r="F18" i="181" s="1"/>
  <c r="E17" i="181"/>
  <c r="F17" i="181" s="1"/>
  <c r="G17" i="181" l="1"/>
  <c r="G18" i="181"/>
  <c r="G140" i="181" s="1"/>
  <c r="G40" i="108" l="1"/>
  <c r="B7799" i="106"/>
  <c r="F14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G26" i="108"/>
  <c r="D27" i="108"/>
  <c r="E27" i="108"/>
  <c r="G27" i="108"/>
  <c r="F28" i="108"/>
  <c r="F31" i="108"/>
  <c r="F36" i="108"/>
  <c r="G28" i="108"/>
  <c r="G29" i="108"/>
  <c r="G30" i="108"/>
  <c r="D31" i="108"/>
  <c r="D36" i="108"/>
  <c r="E31" i="108"/>
  <c r="G31" i="108"/>
  <c r="E33"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L5" i="11"/>
  <c r="B2056" i="106" s="1"/>
  <c r="D2056" i="106" s="1"/>
  <c r="F52" i="34" l="1"/>
  <c r="B2724" i="106"/>
  <c r="D2724" i="106" s="1"/>
  <c r="E34" i="108"/>
  <c r="F38" i="34"/>
  <c r="H33" i="118"/>
  <c r="J210" i="29"/>
  <c r="B7072" i="106" s="1"/>
  <c r="D7072" i="106" s="1"/>
  <c r="C352" i="29"/>
  <c r="G15" i="145"/>
  <c r="D7245" i="106"/>
  <c r="L342" i="29"/>
  <c r="D69" i="36"/>
  <c r="L367" i="29"/>
  <c r="F19" i="7"/>
  <c r="B1807" i="106" s="1"/>
  <c r="D1807" i="106" s="1"/>
  <c r="I210" i="29"/>
  <c r="B7071" i="106" s="1"/>
  <c r="D7071" i="106" s="1"/>
  <c r="C129" i="29"/>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F41" i="108"/>
  <c r="G43" i="108" s="1"/>
  <c r="B5778" i="106"/>
  <c r="D5778" i="106" s="1"/>
  <c r="G6" i="4"/>
  <c r="B2604" i="106" s="1"/>
  <c r="D2604" i="106" s="1"/>
  <c r="B1328" i="106"/>
  <c r="D1328" i="106" s="1"/>
  <c r="F66" i="34"/>
  <c r="C114" i="29"/>
  <c r="B757" i="106" s="1"/>
  <c r="D757" i="106" s="1"/>
  <c r="K342" i="29"/>
  <c r="F13" i="34" s="1"/>
  <c r="B5770" i="106"/>
  <c r="D5770" i="106" s="1"/>
  <c r="K365" i="29"/>
  <c r="K16" i="4" s="1"/>
  <c r="D7254" i="106"/>
  <c r="B5527" i="106"/>
  <c r="D5527" i="106" s="1"/>
  <c r="D44" i="36"/>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B7243" i="106"/>
  <c r="D7243" i="106" s="1"/>
  <c r="K367" i="29"/>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<sst xmlns="http://schemas.openxmlformats.org/spreadsheetml/2006/main" count="5103" uniqueCount="2110">
  <si>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</si>
  <si>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</si>
  <si>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</si>
  <si>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</si>
  <si>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</si>
  <si>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</si>
  <si>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</si>
  <si>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</si>
  <si>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</si>
  <si>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</si>
  <si>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</si>
  <si>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</si>
  <si>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</si>
  <si>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</si>
  <si>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</si>
  <si>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</si>
  <si>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</si>
  <si>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</si>
  <si>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</si>
  <si>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</si>
  <si>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</si>
  <si>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</si>
  <si>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</si>
  <si>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</si>
  <si>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</si>
  <si>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</si>
  <si>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</si>
  <si>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</si>
  <si>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</si>
  <si>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</si>
  <si>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</si>
  <si>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</si>
  <si>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</si>
  <si>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</si>
  <si>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</si>
  <si>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</si>
  <si>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</si>
  <si>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</si>
  <si>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</si>
  <si>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</si>
  <si>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</si>
  <si>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</si>
  <si>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</si>
  <si>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</si>
  <si>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</si>
  <si>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</si>
  <si>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</si>
  <si>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</si>
  <si>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</si>
  <si>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</si>
  <si>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</si>
  <si>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</si>
  <si>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</si>
  <si>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</si>
  <si>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</si>
  <si>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</si>
  <si>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</si>
  <si>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</si>
  <si>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</si>
  <si>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</si>
  <si>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</si>
  <si>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</si>
  <si>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</si>
  <si>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</si>
  <si>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</si>
  <si>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</si>
  <si>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</si>
  <si>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</si>
  <si>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</si>
  <si>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</si>
  <si>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</si>
  <si>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</si>
  <si>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</si>
  <si>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</si>
  <si>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</si>
  <si>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</si>
  <si>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</si>
  <si>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</si>
  <si>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</si>
  <si>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</si>
  <si>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</si>
  <si>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</si>
  <si>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</si>
  <si>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</si>
  <si>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</si>
  <si>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</si>
  <si>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</si>
  <si>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</si>
  <si>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</si>
  <si>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</si>
  <si>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</si>
  <si>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</si>
  <si>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</si>
  <si>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</si>
  <si>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</si>
  <si>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</si>
  <si>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</si>
  <si>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</si>
  <si>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</si>
  <si>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</si>
  <si>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</si>
  <si>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</si>
  <si>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</si>
  <si>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</si>
  <si>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</si>
  <si>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</si>
  <si>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</si>
  <si>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</si>
  <si>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</si>
  <si>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</si>
  <si>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</si>
  <si>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</si>
  <si>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</si>
  <si>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</si>
  <si>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</si>
  <si>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</si>
  <si>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</si>
  <si>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</si>
  <si>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</si>
  <si>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</si>
  <si>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</si>
  <si>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</si>
  <si>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</si>
  <si>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</si>
  <si>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</si>
  <si>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</si>
  <si>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</si>
  <si>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</si>
  <si>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</si>
  <si>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</si>
  <si>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</si>
  <si>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</si>
  <si>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</si>
  <si>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</si>
  <si>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</si>
  <si>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</si>
  <si>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</si>
  <si>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</si>
  <si>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</si>
  <si>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</si>
  <si>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</si>
  <si>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</si>
  <si>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</si>
  <si>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</si>
  <si>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</si>
  <si>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</si>
  <si>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</si>
  <si>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</si>
  <si>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</si>
  <si>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</si>
  <si>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</si>
  <si>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</si>
  <si>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</si>
  <si>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</si>
  <si>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</si>
  <si>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</si>
  <si>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</si>
  <si>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</si>
  <si>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</si>
  <si>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</si>
  <si>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</si>
  <si>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</si>
  <si>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</si>
  <si>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</si>
  <si>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</si>
  <si>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</si>
  <si>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</si>
  <si>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</si>
  <si>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</si>
  <si>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</si>
  <si>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</si>
  <si>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</si>
  <si>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</si>
  <si>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</si>
  <si>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</si>
  <si>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</si>
  <si>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</si>
  <si>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</si>
  <si>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</si>
  <si>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</si>
  <si>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</si>
  <si>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</si>
  <si>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</si>
  <si>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</si>
  <si>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</si>
  <si>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</si>
  <si>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</si>
  <si>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</si>
  <si>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</si>
  <si>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</si>
  <si>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</si>
  <si>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</si>
  <si>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</si>
  <si>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</si>
  <si>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</si>
  <si>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</si>
  <si>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</si>
  <si>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</si>
  <si>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</si>
  <si>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</si>
  <si>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</si>
  <si>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</si>
  <si>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</si>
  <si>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</si>
  <si>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</si>
  <si>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</si>
  <si>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</si>
  <si>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</si>
  <si>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</si>
  <si>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</si>
  <si>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</si>
  <si>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</si>
  <si>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</si>
  <si>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</si>
  <si>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</si>
  <si>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</si>
  <si>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</si>
  <si>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</si>
  <si>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</si>
  <si>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</si>
  <si>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</si>
  <si>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</si>
  <si>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</si>
  <si>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</si>
  <si>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</si>
  <si>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</si>
  <si>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</si>
  <si>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</si>
  <si>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</si>
  <si>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</si>
  <si>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</si>
  <si>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</si>
  <si>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</si>
  <si>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</si>
  <si>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</si>
  <si>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</si>
  <si>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</si>
  <si>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</si>
  <si>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</si>
  <si>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</si>
  <si>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</si>
  <si>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</si>
  <si>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</si>
  <si>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</si>
  <si>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</si>
  <si>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</si>
  <si>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</si>
  <si>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</si>
  <si>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</si>
  <si>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</si>
  <si>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</si>
  <si>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</si>
  <si>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</si>
  <si>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</si>
  <si>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</si>
  <si>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</si>
  <si>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</si>
  <si>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</si>
  <si>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</si>
  <si>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</si>
  <si>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</si>
  <si>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</si>
  <si>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</si>
  <si>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</si>
  <si>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</si>
  <si>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</si>
  <si>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</si>
  <si>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</si>
  <si>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</si>
  <si>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</si>
  <si>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</si>
  <si>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</si>
  <si>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</si>
  <si>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</si>
  <si>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</si>
  <si>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</si>
  <si>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</si>
  <si>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</si>
  <si>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</si>
  <si>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</si>
  <si>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</si>
  <si>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</si>
  <si>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</si>
  <si>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</si>
  <si>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</si>
  <si>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</si>
  <si>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</si>
  <si>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</si>
  <si>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</si>
  <si>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</si>
  <si>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</si>
  <si>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</si>
  <si>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</si>
  <si>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</si>
  <si>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</si>
  <si>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</si>
  <si>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</si>
  <si>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</si>
  <si>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</si>
  <si>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</si>
  <si>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</si>
  <si>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</si>
  <si>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</si>
  <si>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</si>
  <si>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</si>
  <si>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</si>
  <si>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</si>
  <si>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</si>
  <si>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</si>
  <si>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</si>
  <si>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</si>
  <si>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</si>
  <si>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</si>
  <si>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</si>
  <si>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</si>
  <si>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</si>
  <si>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</si>
  <si>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</si>
  <si>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</si>
  <si>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</si>
  <si>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</si>
  <si>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</si>
  <si>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</si>
  <si>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</si>
  <si>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</si>
  <si>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</si>
  <si>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</si>
  <si>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</si>
  <si>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</si>
  <si>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</si>
  <si>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</si>
  <si>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</si>
  <si>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</si>
  <si>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</si>
  <si>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</si>
  <si>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</si>
  <si>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</si>
  <si>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</si>
  <si>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</si>
  <si>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</si>
  <si>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</si>
  <si>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</si>
  <si>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</si>
  <si>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</si>
  <si>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</si>
  <si>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</si>
  <si>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</si>
  <si>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</si>
  <si>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</si>
  <si>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</si>
  <si>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</si>
  <si>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</si>
  <si>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</si>
  <si>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</si>
  <si>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</si>
  <si>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</si>
  <si>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</si>
  <si>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</si>
  <si>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</si>
  <si>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</si>
  <si>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</si>
  <si>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</si>
  <si>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</si>
  <si>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</si>
  <si>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</si>
  <si>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</si>
  <si>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</si>
  <si>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</si>
  <si>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</si>
  <si>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</si>
  <si>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</si>
  <si>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</si>
  <si>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</si>
  <si>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</si>
  <si>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</si>
  <si>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</si>
  <si>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</si>
  <si>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</si>
  <si>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</si>
  <si>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</si>
  <si>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</si>
  <si>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</si>
  <si>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</si>
  <si>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</si>
  <si>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</si>
  <si>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</si>
  <si>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</si>
  <si>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</si>
  <si>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</si>
  <si>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</si>
  <si>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</si>
  <si>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</si>
  <si>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</si>
  <si>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</si>
  <si>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</si>
  <si>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</si>
  <si>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</si>
  <si>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</si>
  <si>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</si>
  <si>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</si>
  <si>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</si>
  <si>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</si>
  <si>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</si>
  <si>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</si>
  <si>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</si>
  <si>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</si>
  <si>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</si>
  <si>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</si>
  <si>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</si>
  <si>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</si>
  <si>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</si>
  <si>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</si>
  <si>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</si>
  <si>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</si>
  <si>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</si>
  <si>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</si>
  <si>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</si>
  <si>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</si>
  <si>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</si>
  <si>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</si>
  <si>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</si>
  <si>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</si>
  <si>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</si>
  <si>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</si>
  <si>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</si>
  <si>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</si>
  <si>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</si>
  <si>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</si>
  <si>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</si>
  <si>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</si>
  <si>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</si>
  <si>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</si>
  <si>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</si>
  <si>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</si>
  <si>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</si>
  <si>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</si>
  <si>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</si>
  <si>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</si>
  <si>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</si>
  <si>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</si>
  <si>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</si>
  <si>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</si>
  <si>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</si>
  <si>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</si>
  <si>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</si>
  <si>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</si>
  <si>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</si>
  <si>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</si>
  <si>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</si>
  <si>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</si>
  <si>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</si>
  <si>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</si>
  <si>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</si>
  <si>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</si>
  <si>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</si>
  <si>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</si>
  <si>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</si>
  <si>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</si>
  <si>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</si>
  <si>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</si>
  <si>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</si>
  <si>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</si>
  <si>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</si>
  <si>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</si>
  <si>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</si>
  <si>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</si>
  <si>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</si>
  <si>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</si>
  <si>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</si>
  <si>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</si>
  <si>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</si>
  <si>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</si>
  <si>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</si>
  <si>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</si>
  <si>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</si>
  <si>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</si>
  <si>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</si>
  <si>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</si>
  <si>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</si>
  <si>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</si>
  <si>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</si>
  <si>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</si>
  <si>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</si>
  <si>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</si>
  <si>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</si>
  <si>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</si>
  <si>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</si>
  <si>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</si>
  <si>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</si>
  <si>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</si>
  <si>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</si>
  <si>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</si>
  <si>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</si>
  <si>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</si>
  <si>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</si>
  <si>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</si>
  <si>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</si>
  <si>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</si>
  <si>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</si>
  <si>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</si>
  <si>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</si>
  <si>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</si>
  <si>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</si>
  <si>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</si>
  <si>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</si>
  <si>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</si>
  <si>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</si>
  <si>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</si>
  <si>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</si>
  <si>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</si>
  <si>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</si>
  <si>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</si>
  <si>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</si>
  <si>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</si>
  <si>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</si>
  <si>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</si>
  <si>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</si>
  <si>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</si>
  <si>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</si>
  <si>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</si>
  <si>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</si>
  <si>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</si>
  <si>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</si>
  <si>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</si>
  <si>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</si>
  <si>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</si>
  <si>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</si>
  <si>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</si>
  <si>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</si>
  <si>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</si>
  <si>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</si>
  <si>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</si>
  <si>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</si>
  <si>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</si>
  <si>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</si>
  <si>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</si>
  <si>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</si>
  <si>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</si>
  <si>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</si>
  <si>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</si>
  <si>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</si>
  <si>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</si>
  <si>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</si>
  <si>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</si>
  <si>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</si>
  <si>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</si>
  <si>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</si>
  <si>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</si>
  <si>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</si>
  <si>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</si>
  <si>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</si>
  <si>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</si>
  <si>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</si>
  <si>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</si>
  <si>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</si>
  <si>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</si>
  <si>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</si>
  <si>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</si>
  <si>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</si>
  <si>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</si>
  <si>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</si>
  <si>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</si>
  <si>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</si>
  <si>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</si>
  <si>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</si>
  <si>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</si>
  <si>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</si>
  <si>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</si>
  <si>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</si>
  <si>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</si>
  <si>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</si>
  <si>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</si>
  <si>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</si>
  <si>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</si>
  <si>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</si>
  <si>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</si>
  <si>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</si>
  <si>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</si>
  <si>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</si>
  <si>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</si>
  <si>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</si>
  <si>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</si>
  <si>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</si>
  <si>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</si>
  <si>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</si>
  <si>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</si>
  <si>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</si>
  <si>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</si>
  <si>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</si>
  <si>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</si>
  <si>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</si>
  <si>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</si>
  <si>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</si>
  <si>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</si>
  <si>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</si>
  <si>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</si>
  <si>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</si>
  <si>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</si>
  <si>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</si>
  <si>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</si>
  <si>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</si>
  <si>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</si>
  <si>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</si>
  <si>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</si>
  <si>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</si>
  <si>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</si>
  <si>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</si>
  <si>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</si>
  <si>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</si>
  <si>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</si>
  <si>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</si>
  <si>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</si>
  <si>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</si>
  <si>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</si>
  <si>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</si>
  <si>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</si>
  <si>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</si>
  <si>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</si>
  <si>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</si>
  <si>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</si>
  <si>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</si>
  <si>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</si>
  <si>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</si>
  <si>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</si>
  <si>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</si>
  <si>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</si>
  <si>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</si>
  <si>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</si>
  <si>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</si>
  <si>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</si>
  <si>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</si>
  <si>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</si>
  <si>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</si>
  <si>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</si>
  <si>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</si>
  <si>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</si>
  <si>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</si>
  <si>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</si>
  <si>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</si>
  <si>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</si>
  <si>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</si>
  <si>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</si>
  <si>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</si>
  <si>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</si>
  <si>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</si>
  <si>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</si>
  <si>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</si>
  <si>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</si>
  <si>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</si>
  <si>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</si>
  <si>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</si>
  <si>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</si>
  <si>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</si>
  <si>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</si>
  <si>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</si>
  <si>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</si>
  <si>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</si>
  <si>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</si>
  <si>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</si>
  <si>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</si>
  <si>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</si>
  <si>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</si>
  <si>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</si>
  <si>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</si>
  <si>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</si>
  <si>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</si>
  <si>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</si>
  <si>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</si>
  <si>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</si>
  <si>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</si>
  <si>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</si>
  <si>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</si>
  <si>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</si>
  <si>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</si>
  <si>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</si>
  <si>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</si>
  <si>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</si>
  <si>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</si>
  <si>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</si>
  <si>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</si>
  <si>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</si>
  <si>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</si>
  <si>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</si>
  <si>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</si>
  <si>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</si>
  <si>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</si>
  <si>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</si>
  <si>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</si>
  <si>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</si>
  <si>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</si>
  <si>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</si>
  <si>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</si>
  <si>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</si>
  <si>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</si>
  <si>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</si>
  <si>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</si>
  <si>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</si>
  <si>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</si>
  <si>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</si>
  <si>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</si>
  <si>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</si>
  <si>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</si>
  <si>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</si>
  <si>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</si>
  <si>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</si>
  <si>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</si>
  <si>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</si>
  <si>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</si>
  <si>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</si>
  <si>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</si>
  <si>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</si>
  <si>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</si>
  <si>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</si>
  <si>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</si>
  <si>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</si>
  <si>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</si>
  <si>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</si>
  <si>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</si>
  <si>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</si>
  <si>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</si>
  <si>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</si>
  <si>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</si>
  <si>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</si>
  <si>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</si>
  <si>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</si>
  <si>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</si>
  <si>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</si>
  <si>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</si>
  <si>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</si>
  <si>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</si>
  <si>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</si>
  <si>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</si>
  <si>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</si>
  <si>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</si>
  <si>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</si>
  <si>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</si>
  <si>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</si>
  <si>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</si>
  <si>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</si>
  <si>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</si>
  <si>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</si>
  <si>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</si>
  <si>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</si>
  <si>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</si>
  <si>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</si>
  <si>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</si>
  <si>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</si>
  <si>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</si>
  <si>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</si>
  <si>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</si>
  <si>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</si>
  <si>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</si>
  <si>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</si>
  <si>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</si>
  <si>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</si>
  <si>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</si>
  <si>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</si>
  <si>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</si>
  <si>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</si>
  <si>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</si>
  <si>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</si>
  <si>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</si>
  <si>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</si>
  <si>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</si>
  <si>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</si>
  <si>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</si>
  <si>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</si>
  <si>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</si>
  <si>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</si>
  <si>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</si>
  <si>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</si>
  <si>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</si>
  <si>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</si>
  <si>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</si>
  <si>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</si>
  <si>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</si>
  <si>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</si>
  <si>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</si>
  <si>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</si>
  <si>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</si>
  <si>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</si>
  <si>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</si>
  <si>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</si>
  <si>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</si>
  <si>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</si>
  <si>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</si>
  <si>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</si>
  <si>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</si>
  <si>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</si>
  <si>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</si>
  <si>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</si>
  <si>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</si>
  <si>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</si>
  <si>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</si>
  <si>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</si>
  <si>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</si>
  <si>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</si>
  <si>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</si>
  <si>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</si>
  <si>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</si>
  <si>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</si>
  <si>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</si>
  <si>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</si>
  <si>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</si>
  <si>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</si>
  <si>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</si>
  <si>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</si>
  <si>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</si>
  <si>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</si>
  <si>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</si>
  <si>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</si>
  <si>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</si>
  <si>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</si>
  <si>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</si>
  <si>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</si>
  <si>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</si>
  <si>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</si>
  <si>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</si>
  <si>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</si>
  <si>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</si>
  <si>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</si>
  <si>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</si>
  <si>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</si>
  <si>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</si>
  <si>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</si>
  <si>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</si>
  <si>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</si>
  <si>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</si>
  <si>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</si>
  <si>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</si>
  <si>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</si>
  <si>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</si>
  <si>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</si>
  <si>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</si>
  <si>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</si>
  <si>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</si>
  <si>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</si>
  <si>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</si>
  <si>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</si>
  <si>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</si>
  <si>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</si>
  <si>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</si>
  <si>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</si>
  <si>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</si>
  <si>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</si>
  <si>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</si>
  <si>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</si>
  <si>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</si>
  <si>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</si>
  <si>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</si>
  <si>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</si>
  <si>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</si>
  <si>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</si>
  <si>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</si>
  <si>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</si>
  <si>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</si>
  <si>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</si>
  <si>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</si>
  <si>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</si>
  <si>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</si>
  <si>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</si>
  <si>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</si>
  <si>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</si>
  <si>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</si>
  <si>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</si>
  <si>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</si>
  <si>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</si>
  <si>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</si>
  <si>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</si>
  <si>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</si>
  <si>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</si>
  <si>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</si>
  <si>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</si>
  <si>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</si>
  <si>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</si>
  <si>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</si>
  <si>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</si>
  <si>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</si>
  <si>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</si>
  <si>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</si>
  <si>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</si>
  <si>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</si>
  <si>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</si>
  <si>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</si>
  <si>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</si>
  <si>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</si>
  <si>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</si>
  <si>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</si>
  <si>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</si>
  <si>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</si>
  <si>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</si>
  <si>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</si>
  <si>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</si>
  <si>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</si>
  <si>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</si>
  <si>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</si>
  <si>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</si>
  <si>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</si>
  <si>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</si>
  <si>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</si>
  <si>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</si>
  <si>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</si>
  <si>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</si>
  <si>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</si>
  <si>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</si>
  <si>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</si>
  <si>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</si>
  <si>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</si>
  <si>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</si>
  <si>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</si>
  <si>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</si>
  <si>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</si>
  <si>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</si>
  <si>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</si>
  <si>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</si>
  <si>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</si>
  <si>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</si>
  <si>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</si>
  <si>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</si>
  <si>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</si>
  <si>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</si>
  <si>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</si>
  <si>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</si>
  <si>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</si>
  <si>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</si>
  <si>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</si>
  <si>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</si>
  <si>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</si>
  <si>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</si>
  <si>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</si>
  <si>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</si>
  <si>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</si>
  <si>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</si>
  <si>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</si>
  <si>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</si>
  <si>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</si>
  <si>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</si>
  <si>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</si>
  <si>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</si>
  <si>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</si>
  <si>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</si>
  <si>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</si>
  <si>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</si>
  <si>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</si>
  <si>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</si>
  <si>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</si>
  <si>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</si>
  <si>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</si>
  <si>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</si>
  <si>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</si>
  <si>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</si>
  <si>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</si>
  <si>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</si>
  <si>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</si>
  <si>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</si>
  <si>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</si>
  <si>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</si>
  <si>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</si>
  <si>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</si>
  <si>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</si>
  <si>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</si>
  <si>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</si>
  <si>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</si>
  <si>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</si>
  <si>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</si>
  <si>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</si>
  <si>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</si>
  <si>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</si>
  <si>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</si>
  <si>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</si>
  <si>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</si>
  <si>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</si>
  <si>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</si>
  <si>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</si>
  <si>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</si>
  <si>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</si>
  <si>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</si>
  <si>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</si>
  <si>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</si>
  <si>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</si>
  <si>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</si>
  <si>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</si>
  <si>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</si>
  <si>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</si>
  <si>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</si>
  <si>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</si>
  <si>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</si>
  <si>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</si>
  <si>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</si>
  <si>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</si>
  <si>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</si>
  <si>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</si>
  <si>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</si>
  <si>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</si>
  <si>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</si>
  <si>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</si>
  <si>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</si>
  <si>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</si>
  <si>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</si>
  <si>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</si>
  <si>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</si>
  <si>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</si>
  <si>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</si>
  <si>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</si>
  <si>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</si>
  <si>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</si>
  <si>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</si>
  <si>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</si>
  <si>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</si>
  <si>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</si>
  <si>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</si>
  <si>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</si>
  <si>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</si>
  <si>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</si>
  <si>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</si>
  <si>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</si>
  <si>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</si>
  <si>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</si>
  <si>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</si>
  <si>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</si>
  <si>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</si>
  <si>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</si>
  <si>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</si>
  <si>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</si>
  <si>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</si>
  <si>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</si>
  <si>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</si>
  <si>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</si>
  <si>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</si>
  <si>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</si>
  <si>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</si>
  <si>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</si>
  <si>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</si>
  <si>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</si>
  <si>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</si>
  <si>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</si>
  <si>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</si>
  <si>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</si>
  <si>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</si>
  <si>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</si>
  <si>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</si>
  <si>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</si>
  <si>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</si>
  <si>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</si>
  <si>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</si>
  <si>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</si>
  <si>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</si>
  <si>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</si>
  <si>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</si>
  <si>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</si>
  <si>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</si>
  <si>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</si>
  <si>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</si>
  <si>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</si>
  <si>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</si>
  <si>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</si>
  <si>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</si>
  <si>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</si>
  <si>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</si>
  <si>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</si>
  <si>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</si>
  <si>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</si>
  <si>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</si>
  <si>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</si>
  <si>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</si>
  <si>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</si>
  <si>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</si>
  <si>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</si>
  <si>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</si>
  <si>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</si>
  <si>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</si>
  <si>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</si>
  <si>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</si>
  <si>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</si>
  <si>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</si>
  <si>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</si>
  <si>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</si>
  <si>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</si>
  <si>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</si>
  <si>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</si>
  <si>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</si>
  <si>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</si>
  <si>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</si>
  <si>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</si>
  <si>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</si>
  <si>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</si>
  <si>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</si>
  <si>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</si>
  <si>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</si>
  <si>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</si>
  <si>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</si>
  <si>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</si>
  <si>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</si>
  <si>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</si>
  <si>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</si>
  <si>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</si>
  <si>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</si>
  <si>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</si>
  <si>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</si>
  <si>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</si>
  <si>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</si>
  <si>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</si>
  <si>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</si>
  <si>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</si>
  <si>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</si>
  <si>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</si>
  <si>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</si>
  <si>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</si>
  <si>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</si>
  <si>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</si>
  <si>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</si>
  <si>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</si>
  <si>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</si>
  <si>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</si>
  <si>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</si>
  <si>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</si>
  <si>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</si>
  <si>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</si>
  <si>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</si>
  <si>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</si>
  <si>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</si>
  <si>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</si>
  <si>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</si>
  <si>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</si>
  <si>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</si>
  <si>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</si>
  <si>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</si>
  <si>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</si>
  <si>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</si>
  <si>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</si>
  <si>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</si>
  <si>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</si>
  <si>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</si>
  <si>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</si>
  <si>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</si>
  <si>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</si>
  <si>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</si>
  <si>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</si>
  <si>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</si>
  <si>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</si>
  <si>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</si>
  <si>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</si>
  <si>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</si>
  <si>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</si>
  <si>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</si>
  <si>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</si>
  <si>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</si>
  <si>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</si>
  <si>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</si>
  <si>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</si>
  <si>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</si>
  <si>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</si>
  <si>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</si>
  <si>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</si>
  <si>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</si>
  <si>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</si>
  <si>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</si>
  <si>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</si>
  <si>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</si>
  <si>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</si>
  <si>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</si>
  <si>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</si>
  <si>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</si>
  <si>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</si>
  <si>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</si>
  <si>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</si>
  <si>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</si>
  <si>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</si>
  <si>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</si>
  <si>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</si>
  <si>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</si>
  <si>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</si>
  <si>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</si>
  <si>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</si>
  <si>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</si>
  <si>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</si>
  <si>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</si>
  <si>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</si>
  <si>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</si>
  <si>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</si>
  <si>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</si>
  <si>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</si>
  <si>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</si>
  <si>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</si>
  <si>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</si>
  <si>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</si>
  <si>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</si>
  <si>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</si>
  <si>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</si>
  <si>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</si>
  <si>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</si>
  <si>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</si>
  <si>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</si>
  <si>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</si>
  <si>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</si>
  <si>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</si>
  <si>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</si>
  <si>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</si>
  <si>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</si>
  <si>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</si>
  <si>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</si>
  <si>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</si>
  <si>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</si>
  <si>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</si>
  <si>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</si>
  <si>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</si>
  <si>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</si>
  <si>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</si>
  <si>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</si>
  <si>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</si>
  <si>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</si>
  <si>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</si>
  <si>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</si>
  <si>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</si>
  <si>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</si>
  <si>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</si>
  <si>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</si>
  <si>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</si>
  <si>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</si>
  <si>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</si>
  <si>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</si>
  <si>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</si>
  <si>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</si>
  <si>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</si>
  <si>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</si>
  <si>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</si>
  <si>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</si>
  <si>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</si>
  <si>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</si>
  <si>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</si>
  <si>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</si>
  <si>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</si>
  <si>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</si>
  <si>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</si>
  <si>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</si>
  <si>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</si>
  <si>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</si>
  <si>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</si>
  <si>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</si>
  <si>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</si>
  <si>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</si>
  <si>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</si>
  <si>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</si>
  <si>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</si>
  <si>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</si>
  <si>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</si>
  <si>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</si>
  <si>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</si>
  <si>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</si>
  <si>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</si>
  <si>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</si>
  <si>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</si>
  <si>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</si>
  <si>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</si>
  <si>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</si>
  <si>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</si>
  <si>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</si>
  <si>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</si>
  <si>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</si>
  <si>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</si>
  <si>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</si>
  <si>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</si>
  <si>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</si>
  <si>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</si>
  <si>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</si>
  <si>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</si>
  <si>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</si>
  <si>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</si>
  <si>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</si>
  <si>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</si>
  <si>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</si>
  <si>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</si>
  <si>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</si>
  <si>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</si>
  <si>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</si>
  <si>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</si>
  <si>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</si>
  <si>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</si>
  <si>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</si>
  <si>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</si>
  <si>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</si>
  <si>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</si>
  <si>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</si>
  <si>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</si>
  <si>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</si>
  <si>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</si>
  <si>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</si>
  <si>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</si>
  <si>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</si>
  <si>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</si>
  <si>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</si>
  <si>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</si>
  <si>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</si>
  <si>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</si>
  <si>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</si>
  <si>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</si>
  <si>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</si>
  <si>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</si>
  <si>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</si>
  <si>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</si>
  <si>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</si>
  <si>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</si>
  <si>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</si>
  <si>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</si>
  <si>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</si>
  <si>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</si>
  <si>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</si>
  <si>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</si>
  <si>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</si>
  <si>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</si>
  <si>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</si>
  <si>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</si>
  <si>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</si>
  <si>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</si>
  <si>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</si>
  <si>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</si>
  <si>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</si>
  <si>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</si>
  <si>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</si>
  <si>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</si>
  <si>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</si>
  <si>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</si>
  <si>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</si>
  <si>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</si>
  <si>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</si>
  <si>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</si>
  <si>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</si>
  <si>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</si>
  <si>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</si>
  <si>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</si>
  <si>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</si>
  <si>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</si>
  <si>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</si>
  <si>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</si>
  <si>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</si>
  <si>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</si>
  <si>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</si>
  <si>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</si>
  <si>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</si>
  <si>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</si>
  <si>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</si>
  <si>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</si>
  <si>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</si>
  <si>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</si>
  <si>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</si>
  <si>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</si>
  <si>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</si>
  <si>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</si>
  <si>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</si>
  <si>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</si>
  <si>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</si>
  <si>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</si>
  <si>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</si>
  <si>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</si>
  <si>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</si>
  <si>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</si>
  <si>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</si>
  <si>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</si>
  <si>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</si>
  <si>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</si>
  <si>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</si>
  <si>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</si>
  <si>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</si>
  <si>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</si>
  <si>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</si>
  <si>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</si>
  <si>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</si>
  <si>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</si>
  <si>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</si>
  <si>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</si>
  <si>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</si>
  <si>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</si>
  <si>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</si>
  <si>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</si>
  <si>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</si>
  <si>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</si>
  <si>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</si>
  <si>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</si>
  <si>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</si>
  <si>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</si>
  <si>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</si>
  <si>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</si>
  <si>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</si>
  <si>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</si>
  <si>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</si>
  <si>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</si>
  <si>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</si>
  <si>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</si>
  <si>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</si>
  <si>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</si>
  <si>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</si>
  <si>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</si>
  <si>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</si>
  <si>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</si>
  <si>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</si>
  <si>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</si>
  <si>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</si>
  <si>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</si>
  <si>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</si>
  <si>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</si>
  <si>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</si>
  <si>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</si>
  <si>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</si>
  <si>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</si>
  <si>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</si>
  <si>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</si>
  <si>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</si>
  <si>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</si>
  <si>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</si>
  <si>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</si>
  <si>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</si>
  <si>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</si>
  <si>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</si>
  <si>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</si>
  <si>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</si>
  <si>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</si>
  <si>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</si>
  <si>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</si>
  <si>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</si>
  <si>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</si>
  <si>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</si>
  <si>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</si>
  <si>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</si>
  <si>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</si>
  <si>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</si>
  <si>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</si>
  <si>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</si>
  <si>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</si>
  <si>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</si>
  <si>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</si>
  <si>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</si>
  <si>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</si>
  <si>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</si>
  <si>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</si>
  <si>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</si>
  <si>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</si>
  <si>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</si>
  <si>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</si>
  <si>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</si>
  <si>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</si>
  <si>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</si>
  <si>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</si>
  <si>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</si>
  <si>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</si>
  <si>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</si>
  <si>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</si>
  <si>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</si>
  <si>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</si>
  <si>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</si>
  <si>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</si>
  <si>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</si>
  <si>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</si>
  <si>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</si>
  <si>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</si>
  <si>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</si>
  <si>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</si>
  <si>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</si>
  <si>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</si>
  <si>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</si>
  <si>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</si>
  <si>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</si>
  <si>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</si>
  <si>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</si>
  <si>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</si>
  <si>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</si>
  <si>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</si>
  <si>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</si>
  <si>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</si>
  <si>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</si>
  <si>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</si>
  <si>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</si>
  <si>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</si>
  <si>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</si>
  <si>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</si>
  <si>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</si>
  <si>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</si>
  <si>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</si>
  <si>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</si>
  <si>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</si>
  <si>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</si>
  <si>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</si>
  <si>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</si>
  <si>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</si>
  <si>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</si>
  <si>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</si>
  <si>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</si>
  <si>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</si>
  <si>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</si>
  <si>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</si>
  <si>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</si>
  <si>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</si>
  <si>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</si>
  <si>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</si>
  <si>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</si>
  <si>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</si>
  <si>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</si>
  <si>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</si>
  <si>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</si>
  <si>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</si>
  <si>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</si>
  <si>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</si>
  <si>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</si>
  <si>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</si>
  <si>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</si>
  <si>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</si>
  <si>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</si>
  <si>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</si>
  <si>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</si>
  <si>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</si>
  <si>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</si>
  <si>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</si>
  <si>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</si>
  <si>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</si>
  <si>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</si>
  <si>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</si>
  <si>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</si>
  <si>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</si>
  <si>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</si>
  <si>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</si>
  <si>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</si>
  <si>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</si>
  <si>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</si>
  <si>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</si>
  <si>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</si>
  <si>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</si>
  <si>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</si>
  <si>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</si>
  <si>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</si>
  <si>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</si>
  <si>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</si>
  <si>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</si>
  <si>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</si>
  <si>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</si>
  <si>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</si>
  <si>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</si>
  <si>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</si>
  <si>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</si>
  <si>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</si>
  <si>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</si>
  <si>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</si>
  <si>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</si>
  <si>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</si>
  <si>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</si>
  <si>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</si>
  <si>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</si>
  <si>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</si>
  <si>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</si>
  <si>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</si>
  <si>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</si>
  <si>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</si>
  <si>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</si>
  <si>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</si>
  <si>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</si>
  <si>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</si>
  <si>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</si>
  <si>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</si>
  <si>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</si>
  <si>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</si>
  <si>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</si>
  <si>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</si>
  <si>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</si>
  <si>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</si>
  <si>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</si>
  <si>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</si>
  <si>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</si>
  <si>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</si>
  <si>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</si>
  <si>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</si>
  <si>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</si>
  <si>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</si>
  <si>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</si>
  <si>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</si>
  <si>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</si>
  <si>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</si>
  <si>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</si>
  <si>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</si>
  <si>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</si>
  <si>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</si>
  <si>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</si>
  <si>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</si>
  <si>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</si>
  <si>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</si>
  <si>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</si>
  <si>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</si>
  <si>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</si>
  <si>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</si>
  <si>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</si>
  <si>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</si>
  <si>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</si>
  <si>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</si>
  <si>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</si>
  <si>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</si>
  <si>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</si>
  <si>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</si>
  <si>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</si>
  <si>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</si>
  <si>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</si>
  <si>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</si>
  <si>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</si>
  <si>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</si>
  <si>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</si>
  <si>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</si>
  <si>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</si>
  <si>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</si>
  <si>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</si>
  <si>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</si>
  <si>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</si>
  <si>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</si>
  <si>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</si>
  <si>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</si>
  <si>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</si>
  <si>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</si>
  <si>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</si>
  <si>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</si>
  <si>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</si>
  <si>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</si>
  <si>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</si>
  <si>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</si>
  <si>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</si>
  <si>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</si>
  <si>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</si>
  <si>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</si>
  <si>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</si>
  <si>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</si>
  <si>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</si>
  <si>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</si>
  <si>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</si>
  <si>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</si>
  <si>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</si>
  <si>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</si>
  <si>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</si>
  <si>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</si>
  <si>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</si>
  <si>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</si>
  <si>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</si>
  <si>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</si>
  <si>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</si>
  <si>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</si>
  <si>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</si>
  <si>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</si>
  <si>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</si>
  <si>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</si>
  <si>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</si>
  <si>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</si>
  <si>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</si>
  <si>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</si>
  <si>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</si>
  <si>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</si>
  <si>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</si>
  <si>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</si>
  <si>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</si>
  <si>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</si>
  <si>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</si>
  <si>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</si>
  <si>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</si>
  <si>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</si>
  <si>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</si>
  <si>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</si>
  <si>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</si>
  <si>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</si>
  <si>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</si>
  <si>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</si>
  <si>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</si>
  <si>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</si>
  <si>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</si>
  <si>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</si>
  <si>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</si>
  <si>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</si>
  <si>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</si>
  <si>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</si>
  <si>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</si>
  <si>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</si>
  <si>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</si>
  <si>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</si>
  <si>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</si>
  <si>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</si>
  <si>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</si>
  <si>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</si>
  <si>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</si>
  <si>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</si>
  <si>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</si>
  <si>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</si>
  <si>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</si>
  <si>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</si>
  <si>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</si>
  <si>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</si>
  <si>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</si>
  <si>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</si>
  <si>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</si>
  <si>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</si>
  <si>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</si>
  <si>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</si>
  <si>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</si>
  <si>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</si>
  <si>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</si>
  <si>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</si>
  <si>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</si>
  <si>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</si>
  <si>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</si>
  <si>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</si>
  <si>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</si>
  <si>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</si>
  <si>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</si>
  <si>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</si>
  <si>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</si>
  <si>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</si>
  <si>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</si>
  <si>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</si>
  <si>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</si>
  <si>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</si>
  <si>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</si>
  <si>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</si>
  <si>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</si>
  <si>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</si>
  <si>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</si>
  <si>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</si>
  <si>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</si>
  <si>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</si>
  <si>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</si>
  <si>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</si>
  <si>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</si>
  <si>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</si>
  <si>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</si>
  <si>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</si>
  <si>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</si>
  <si>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</si>
  <si>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</si>
  <si>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</si>
  <si>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</si>
  <si>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</si>
  <si>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</si>
  <si>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</si>
  <si>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</si>
  <si>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</si>
  <si>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</si>
  <si>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</si>
  <si>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</si>
  <si>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</si>
  <si>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</si>
  <si>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</si>
  <si>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</si>
  <si>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</si>
  <si>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</si>
  <si>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</si>
  <si>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</si>
  <si>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</si>
  <si>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</si>
  <si>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</si>
  <si>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</si>
  <si>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</si>
  <si>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</si>
  <si>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</si>
  <si>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</si>
  <si>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</si>
  <si>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</si>
  <si>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</si>
  <si>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</si>
  <si>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</si>
  <si>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</si>
  <si>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</si>
  <si>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</si>
  <si>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</si>
  <si>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</si>
  <si>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</si>
  <si>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</si>
  <si>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</si>
  <si>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</si>
  <si>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</si>
  <si>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</si>
  <si>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</si>
  <si>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</si>
  <si>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</si>
  <si>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</si>
  <si>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</si>
  <si>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</si>
  <si>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</si>
  <si>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</si>
  <si>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</si>
  <si>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</si>
  <si>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</si>
  <si>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</si>
  <si>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</si>
  <si>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</si>
  <si>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</si>
  <si>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</si>
  <si>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</si>
  <si>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</si>
  <si>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</si>
  <si>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</si>
  <si>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</si>
  <si>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</si>
  <si>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</si>
  <si>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</si>
  <si>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</si>
  <si>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</si>
  <si>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</si>
  <si>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</si>
  <si>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</si>
  <si>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</si>
  <si>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</si>
  <si>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</si>
  <si>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</si>
  <si>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</si>
  <si>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</si>
  <si>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</si>
  <si>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</si>
  <si>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</si>
  <si>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</si>
  <si>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</si>
  <si>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</si>
  <si>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</si>
  <si>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</si>
  <si>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</si>
  <si>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</si>
  <si>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</si>
  <si>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</si>
  <si>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</si>
  <si>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</si>
  <si>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</si>
  <si>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</si>
  <si>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</si>
  <si>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</si>
  <si>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</si>
  <si>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</si>
  <si>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</si>
  <si>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</si>
  <si>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</si>
  <si>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</si>
  <si>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</si>
  <si>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</si>
  <si>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</si>
  <si>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</si>
  <si>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</si>
  <si>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</si>
  <si>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</si>
  <si>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</si>
  <si>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</si>
  <si>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</si>
  <si>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</si>
  <si>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</si>
  <si>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</si>
  <si>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</si>
  <si>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</si>
  <si>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</si>
  <si>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</si>
  <si>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</si>
  <si>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</si>
  <si>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</si>
  <si>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</si>
  <si>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</si>
  <si>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</si>
  <si>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</si>
  <si>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</si>
  <si>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</si>
  <si>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</si>
  <si>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</si>
  <si>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</si>
  <si>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</si>
  <si>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</si>
  <si>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</si>
  <si>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</si>
  <si>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</si>
  <si>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</si>
  <si>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</si>
  <si>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</si>
  <si>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</si>
  <si>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</si>
  <si>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</si>
  <si>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</si>
  <si>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</si>
  <si>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</si>
  <si>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</si>
  <si>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</si>
  <si>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</si>
  <si>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</si>
  <si>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</si>
  <si>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</si>
  <si>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</si>
  <si>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</si>
  <si>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</si>
  <si>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</si>
  <si>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</si>
  <si>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</si>
  <si>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</si>
  <si>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</si>
  <si>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</si>
  <si>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</si>
  <si>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</si>
  <si>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</si>
  <si>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</si>
  <si>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</si>
  <si>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</si>
  <si>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</si>
  <si>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</si>
  <si>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</si>
  <si>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</si>
  <si>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</si>
  <si>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</si>
  <si>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</si>
  <si>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</si>
  <si>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</si>
  <si>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</si>
  <si>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</si>
  <si>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</si>
  <si>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</si>
  <si>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</si>
  <si>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</si>
  <si>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</si>
  <si>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</si>
  <si>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</si>
  <si>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</si>
  <si>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</si>
  <si>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</si>
  <si>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</si>
  <si>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</si>
  <si>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</si>
  <si>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</si>
  <si>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</si>
  <si>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</si>
  <si>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</si>
  <si>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</si>
  <si>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</si>
  <si>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</si>
  <si>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</si>
  <si>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</si>
  <si>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</si>
  <si>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</si>
  <si>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</si>
  <si>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</si>
  <si>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</si>
  <si>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</si>
  <si>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</si>
  <si>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</si>
  <si>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</si>
  <si>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</si>
  <si>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</si>
  <si>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</si>
  <si>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</si>
  <si>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</si>
  <si>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</si>
  <si>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</si>
  <si>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</si>
  <si>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</si>
  <si>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</si>
  <si>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</si>
  <si>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</si>
  <si>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</si>
  <si>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</si>
  <si>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</si>
  <si>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</si>
  <si>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</si>
  <si>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</si>
  <si>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</si>
  <si>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</si>
  <si>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</si>
  <si>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</si>
  <si>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</si>
  <si>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</si>
  <si>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</si>
  <si>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</si>
  <si>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</si>
  <si>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</si>
  <si>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</si>
  <si>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</si>
  <si>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</si>
  <si>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</si>
  <si>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</si>
  <si>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</si>
  <si>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</si>
  <si>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</si>
  <si>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</si>
  <si>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</si>
  <si>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</si>
  <si>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</si>
  <si>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</si>
  <si>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</si>
  <si>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</si>
  <si>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</si>
  <si>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</si>
  <si>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</si>
  <si>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</si>
  <si>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</si>
  <si>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</si>
  <si>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</si>
  <si>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</si>
  <si>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</si>
  <si>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</si>
  <si>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</si>
  <si>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</si>
  <si>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</si>
  <si>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</si>
  <si>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</si>
  <si>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</si>
  <si>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</si>
  <si>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</si>
  <si>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</si>
  <si>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</si>
  <si>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</si>
  <si>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</si>
  <si>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</si>
  <si>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</si>
  <si>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</si>
  <si>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</si>
  <si>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</si>
  <si>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</si>
  <si>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</si>
  <si>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</si>
  <si>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</si>
  <si>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</si>
  <si>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</si>
  <si>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</si>
  <si>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</si>
  <si>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</si>
  <si>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</si>
  <si>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</si>
  <si>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</si>
  <si>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</si>
  <si>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</si>
  <si>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</si>
  <si>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</si>
  <si>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</si>
  <si>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</si>
  <si>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</si>
  <si>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</si>
  <si>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</si>
  <si>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</si>
  <si>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</si>
  <si>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</si>
  <si>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</si>
  <si>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</si>
  <si>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</si>
  <si>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</si>
  <si>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</si>
  <si>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</si>
  <si>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</si>
  <si>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</si>
  <si>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</si>
  <si>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</si>
  <si>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</si>
  <si>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</si>
  <si>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</si>
  <si>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</si>
  <si>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</si>
  <si>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</si>
  <si>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</si>
  <si>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</si>
  <si>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</si>
  <si>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</si>
  <si>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</si>
  <si>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</si>
  <si>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</si>
  <si>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</si>
  <si>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</si>
  <si>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</si>
  <si>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</si>
  <si>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</si>
  <si>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</si>
  <si>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</si>
  <si>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</si>
  <si>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</si>
  <si>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</si>
  <si>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</si>
  <si>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</si>
  <si>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</si>
  <si>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</si>
  <si>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</si>
  <si>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DuPage County</t>
  </si>
  <si>
    <t>Anthony Cervini</t>
  </si>
  <si>
    <t>1415 Diehl Road, Suite 400</t>
  </si>
  <si>
    <t>7700 Clarendon Hills Road</t>
  </si>
  <si>
    <t>IL</t>
  </si>
  <si>
    <t>Willowbrook</t>
  </si>
  <si>
    <t>630-566-8400</t>
  </si>
  <si>
    <t>630-566-8458</t>
  </si>
  <si>
    <t>vnikolic@gower62.com</t>
  </si>
  <si>
    <t>066-003284</t>
  </si>
  <si>
    <t>anthony.cervini@sikich.com</t>
  </si>
  <si>
    <t>Victor Simon III, Ed. D.</t>
  </si>
  <si>
    <t>vsimon@gower62.com</t>
  </si>
  <si>
    <t>630-986-5383</t>
  </si>
  <si>
    <t>630-323-3074</t>
  </si>
  <si>
    <t>Series 2012 Bonds</t>
  </si>
  <si>
    <t>Capital Leases</t>
  </si>
  <si>
    <t>Various</t>
  </si>
  <si>
    <t>GO Bonds</t>
  </si>
  <si>
    <t>Fiscal Services-Other</t>
  </si>
  <si>
    <t>Specialized Data Systems</t>
  </si>
  <si>
    <t>Forecast 5 Analytics Inc</t>
  </si>
  <si>
    <t>Quest Food Management</t>
  </si>
  <si>
    <t>Mealtime The CLM Group</t>
  </si>
  <si>
    <t>Staff Services-Other</t>
  </si>
  <si>
    <t>Frontiline Technologies Group LLC</t>
  </si>
  <si>
    <t>Pitney Bowes</t>
  </si>
  <si>
    <t>10-2520-300</t>
  </si>
  <si>
    <t>10-2630-300</t>
  </si>
  <si>
    <t>10-2560-300</t>
  </si>
  <si>
    <t>10-2560-400</t>
  </si>
  <si>
    <t>10-2640-300</t>
  </si>
  <si>
    <t>Collective Liability Insurance Cooperative</t>
  </si>
  <si>
    <t>Illinois School District Liquid Asset Fund</t>
  </si>
  <si>
    <t>DuPage Country Regional Office of Education</t>
  </si>
  <si>
    <t>The LaGrange Area Department of Special Education</t>
  </si>
  <si>
    <t>Southeast Dupage Purchasing Group, US Commnities</t>
  </si>
  <si>
    <t>See Additional Space Below</t>
  </si>
  <si>
    <t>The District is not aware of any barriers</t>
  </si>
  <si>
    <t>Transportation: Contracted out only for Special Education Transportation through LaGrange Area Department of Special Education, contract out with Grand Prairie Transit</t>
  </si>
  <si>
    <t>Insurance: Employee Health Insurance - Lincolnway Area Affiliation of Participating School Districts</t>
  </si>
  <si>
    <t>Sikich LLP</t>
  </si>
  <si>
    <t>Naperville</t>
  </si>
  <si>
    <t>Gower SD 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</si>
</sst>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0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20" applyFont="1" applyBorder="1" applyAlignment="1" applyProtection="1">
      <alignment horizontal="left" vertical="top" wrapText="1"/>
      <protection locked="0"/>
    </xf>
    <xf numFmtId="49" fontId="1" fillId="0" borderId="157" xfId="20" applyNumberFormat="1" applyFont="1" applyBorder="1" applyAlignment="1" applyProtection="1">
      <alignment horizontal="center" vertical="top"/>
      <protection locked="0"/>
    </xf>
    <xf numFmtId="0" fontId="1" fillId="0" borderId="157" xfId="20" applyFont="1" applyBorder="1" applyAlignment="1" applyProtection="1">
      <alignment vertical="top"/>
      <protection locked="0"/>
    </xf>
    <xf numFmtId="38" fontId="1" fillId="0" borderId="157" xfId="20" applyNumberFormat="1" applyBorder="1" applyAlignment="1" applyProtection="1">
      <alignment horizontal="right" vertical="top"/>
      <protection locked="0"/>
    </xf>
    <xf numFmtId="0" fontId="1" fillId="0" borderId="157" xfId="20" applyBorder="1" applyAlignment="1" applyProtection="1">
      <alignment horizontal="left" vertical="top" wrapText="1"/>
      <protection locked="0"/>
    </xf>
    <xf numFmtId="49" fontId="132" fillId="0" borderId="105" xfId="24" applyNumberFormat="1" applyFont="1" applyBorder="1" applyAlignment="1" applyProtection="1">
      <alignment horizontal="center" vertical="center"/>
      <protection locked="0"/>
    </xf>
    <xf numFmtId="0" fontId="99" fillId="0" borderId="105" xfId="24" applyFont="1" applyBorder="1" applyProtection="1">
      <protection locked="0"/>
    </xf>
    <xf numFmtId="49" fontId="132" fillId="0" borderId="107" xfId="24" applyNumberFormat="1" applyFont="1" applyFill="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1" fillId="0" borderId="96" xfId="24" applyFont="1" applyBorder="1" applyAlignment="1" applyProtection="1">
      <alignment vertical="top" wrapText="1"/>
      <protection locked="0"/>
    </xf>
    <xf numFmtId="0" fontId="1" fillId="0" borderId="0" xfId="24" applyFont="1" applyBorder="1" applyAlignment="1" applyProtection="1">
      <alignment vertical="top" wrapText="1"/>
      <protection locked="0"/>
    </xf>
    <xf numFmtId="0" fontId="1" fillId="0" borderId="97" xfId="24"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24" applyFont="1" applyBorder="1" applyAlignment="1" applyProtection="1">
      <alignment vertical="top" wrapText="1"/>
      <protection locked="0"/>
    </xf>
    <xf numFmtId="0" fontId="48" fillId="0" borderId="0" xfId="24" applyFont="1" applyBorder="1" applyAlignment="1" applyProtection="1">
      <alignment vertical="top" wrapText="1"/>
      <protection locked="0"/>
    </xf>
    <xf numFmtId="0" fontId="48" fillId="0" borderId="97" xfId="24" applyFont="1" applyBorder="1" applyAlignment="1" applyProtection="1">
      <alignment vertical="top" wrapText="1"/>
      <protection locked="0"/>
    </xf>
    <xf numFmtId="0" fontId="48" fillId="0" borderId="98" xfId="24" applyFont="1" applyBorder="1" applyAlignment="1" applyProtection="1">
      <alignment vertical="top" wrapText="1"/>
      <protection locked="0"/>
    </xf>
    <xf numFmtId="0" fontId="48" fillId="0" borderId="78" xfId="24" applyFont="1" applyBorder="1" applyAlignment="1" applyProtection="1">
      <alignment vertical="top" wrapText="1"/>
      <protection locked="0"/>
    </xf>
    <xf numFmtId="0" fontId="48" fillId="0" borderId="99" xfId="24"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072CEF63-7AD6-4348-ACFA-F544573CBA3E}"/>
    <cellStyle name="Normal 3 2 3" xfId="22" xr:uid="{40F01CD0-FB5D-4ED7-B819-12DA0062A75D}"/>
    <cellStyle name="Normal 3 3" xfId="21" xr:uid="{002CA2AA-6FE3-4030-AC4F-E0D1E491A23D}"/>
    <cellStyle name="Normal 4" xfId="16" xr:uid="{00000000-0005-0000-0000-000008000000}"/>
    <cellStyle name="Normal 4 2" xfId="23" xr:uid="{E5E7FA91-6458-4596-AE9B-F342FBF03E8A}"/>
    <cellStyle name="Normal 5" xfId="17" xr:uid="{00000000-0005-0000-0000-000009000000}"/>
    <cellStyle name="Normal 5 2" xfId="20" xr:uid="{7580859E-332A-4984-872E-CBE0214803F8}"/>
    <cellStyle name="Normal 6" xfId="19" xr:uid="{4B5BC386-C324-486A-B936-69C86322B2E2}"/>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1065068</xdr:colOff>
          <xdr:row>2</xdr:row>
          <xdr:rowOff>8660</xdr:rowOff>
        </xdr:from>
        <xdr:to>
          <xdr:col>1</xdr:col>
          <xdr:colOff>1979468</xdr:colOff>
          <xdr:row>6</xdr:row>
          <xdr:rowOff>46760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3" t="s">
        <v>405</v>
      </c>
      <c r="J1" s="2024"/>
      <c r="K1" s="2024"/>
      <c r="L1" s="2024"/>
      <c r="M1" s="2024"/>
      <c r="N1" s="2024"/>
      <c r="O1" s="2024"/>
      <c r="P1" s="2024"/>
      <c r="Q1" s="2024"/>
      <c r="R1" s="2024"/>
      <c r="S1" s="2024"/>
    </row>
    <row r="2" spans="1:28" ht="12" customHeight="1" x14ac:dyDescent="0.2">
      <c r="A2" s="47" t="s">
        <v>1991</v>
      </c>
      <c r="D2" s="48"/>
      <c r="I2" s="2025" t="s">
        <v>979</v>
      </c>
      <c r="J2" s="2024"/>
      <c r="K2" s="2024"/>
      <c r="L2" s="2024"/>
      <c r="M2" s="2024"/>
      <c r="N2" s="2024"/>
      <c r="O2" s="2024"/>
      <c r="P2" s="2024"/>
      <c r="Q2" s="2024"/>
      <c r="R2" s="2024"/>
      <c r="S2" s="2024"/>
    </row>
    <row r="3" spans="1:28" ht="12" customHeight="1" x14ac:dyDescent="0.2">
      <c r="A3" s="155" t="s">
        <v>1943</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t="s">
        <v>2065</v>
      </c>
      <c r="C5" s="26" t="s">
        <v>910</v>
      </c>
      <c r="D5" s="84"/>
      <c r="E5" s="84"/>
      <c r="H5" s="38"/>
      <c r="I5" s="2032" t="s">
        <v>680</v>
      </c>
      <c r="J5" s="1977"/>
      <c r="K5" s="1977"/>
      <c r="L5" s="1977"/>
      <c r="M5" s="1977"/>
      <c r="N5" s="1977"/>
      <c r="O5" s="1977"/>
      <c r="P5" s="1977"/>
      <c r="Q5" s="1977"/>
      <c r="R5" s="1977"/>
      <c r="S5" s="1977"/>
    </row>
    <row r="6" spans="1:28" ht="14.1" customHeight="1" x14ac:dyDescent="0.2">
      <c r="B6" s="104"/>
      <c r="C6" s="26" t="s">
        <v>911</v>
      </c>
      <c r="D6" s="84"/>
      <c r="E6" s="84"/>
      <c r="I6" s="2031" t="s">
        <v>883</v>
      </c>
      <c r="J6" s="1977"/>
      <c r="K6" s="1977"/>
      <c r="L6" s="1977"/>
      <c r="M6" s="1977"/>
      <c r="N6" s="1977"/>
      <c r="O6" s="1977"/>
      <c r="P6" s="1977"/>
      <c r="Q6" s="1977"/>
      <c r="R6" s="1977"/>
      <c r="S6" s="1977"/>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3" t="s">
        <v>533</v>
      </c>
      <c r="U9" s="1974"/>
      <c r="V9" s="1974"/>
      <c r="W9" s="1974"/>
      <c r="X9" s="1974"/>
      <c r="Y9" s="1974"/>
      <c r="Z9" s="1974"/>
      <c r="AA9" s="1975"/>
    </row>
    <row r="10" spans="1:28" ht="13.5" customHeight="1" x14ac:dyDescent="0.2">
      <c r="A10" s="1982" t="s">
        <v>675</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955</v>
      </c>
      <c r="B11" s="1986"/>
      <c r="C11" s="1986"/>
      <c r="D11" s="1986"/>
      <c r="E11" s="1986"/>
      <c r="F11" s="1986"/>
      <c r="G11" s="1986"/>
      <c r="H11" s="1987"/>
      <c r="I11" s="27"/>
      <c r="J11" s="74"/>
      <c r="K11" s="27"/>
      <c r="O11" s="148" t="s">
        <v>2065</v>
      </c>
      <c r="P11" s="100" t="s">
        <v>201</v>
      </c>
      <c r="Q11" s="30"/>
      <c r="R11" s="28"/>
      <c r="S11" s="27"/>
      <c r="T11" s="1979"/>
      <c r="U11" s="1980"/>
      <c r="V11" s="1980"/>
      <c r="W11" s="1980"/>
      <c r="X11" s="1980"/>
      <c r="Y11" s="1980"/>
      <c r="Z11" s="1980"/>
      <c r="AA11" s="198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3">
        <v>19022062002</v>
      </c>
      <c r="B13" s="1994"/>
      <c r="C13" s="1994"/>
      <c r="D13" s="1994"/>
      <c r="E13" s="1994"/>
      <c r="F13" s="1994"/>
      <c r="G13" s="1994"/>
      <c r="H13" s="1995"/>
      <c r="I13" s="31"/>
      <c r="J13" s="30"/>
      <c r="K13" s="28"/>
      <c r="L13" s="30"/>
      <c r="M13" s="30"/>
      <c r="N13" s="30"/>
      <c r="O13" s="30"/>
      <c r="P13" s="30"/>
      <c r="Q13" s="30"/>
      <c r="R13" s="30"/>
      <c r="S13" s="30"/>
      <c r="T13" s="1998" t="s">
        <v>2107</v>
      </c>
      <c r="U13" s="1999"/>
      <c r="V13" s="1999"/>
      <c r="W13" s="1999"/>
      <c r="X13" s="1999"/>
      <c r="Y13" s="2000"/>
      <c r="Z13" s="2000"/>
      <c r="AA13" s="200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1" t="s">
        <v>2066</v>
      </c>
      <c r="B15" s="1996"/>
      <c r="C15" s="1996"/>
      <c r="D15" s="1996"/>
      <c r="E15" s="1996"/>
      <c r="F15" s="1996"/>
      <c r="G15" s="1996"/>
      <c r="H15" s="1997"/>
      <c r="T15" s="1959" t="s">
        <v>2067</v>
      </c>
      <c r="U15" s="1960"/>
      <c r="V15" s="1960"/>
      <c r="W15" s="1960"/>
      <c r="X15" s="1960"/>
      <c r="Y15" s="2002"/>
      <c r="Z15" s="2002"/>
      <c r="AA15" s="20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1" t="s">
        <v>2109</v>
      </c>
      <c r="B17" s="2021"/>
      <c r="C17" s="2021"/>
      <c r="D17" s="2021"/>
      <c r="E17" s="2021"/>
      <c r="F17" s="2021"/>
      <c r="G17" s="2021"/>
      <c r="H17" s="2022"/>
      <c r="T17" s="2008" t="s">
        <v>2068</v>
      </c>
      <c r="U17" s="2009"/>
      <c r="V17" s="2009"/>
      <c r="W17" s="2009"/>
      <c r="X17" s="2009"/>
      <c r="Y17" s="2009"/>
      <c r="Z17" s="2009"/>
      <c r="AA17" s="2010"/>
    </row>
    <row r="18" spans="1:27" ht="13.5" customHeight="1" x14ac:dyDescent="0.2">
      <c r="A18" s="85" t="s">
        <v>530</v>
      </c>
      <c r="B18" s="76"/>
      <c r="C18" s="72"/>
      <c r="D18" s="76"/>
      <c r="E18" s="76"/>
      <c r="F18" s="76"/>
      <c r="G18" s="76"/>
      <c r="H18" s="56"/>
      <c r="I18" s="2018" t="s">
        <v>676</v>
      </c>
      <c r="J18" s="2019"/>
      <c r="K18" s="2019"/>
      <c r="L18" s="2019"/>
      <c r="M18" s="2019"/>
      <c r="N18" s="2019"/>
      <c r="O18" s="2019"/>
      <c r="P18" s="2019"/>
      <c r="Q18" s="2019"/>
      <c r="R18" s="2019"/>
      <c r="S18" s="2020"/>
      <c r="T18" s="85" t="s">
        <v>711</v>
      </c>
      <c r="U18" s="51"/>
      <c r="V18" s="72"/>
      <c r="W18" s="50"/>
      <c r="X18" s="85" t="s">
        <v>266</v>
      </c>
      <c r="Y18" s="81"/>
      <c r="Z18" s="159" t="s">
        <v>677</v>
      </c>
      <c r="AA18" s="46"/>
    </row>
    <row r="19" spans="1:27" ht="13.5" customHeight="1" x14ac:dyDescent="0.2">
      <c r="A19" s="1991" t="s">
        <v>2069</v>
      </c>
      <c r="B19" s="1992"/>
      <c r="C19" s="1992"/>
      <c r="D19" s="1992"/>
      <c r="E19" s="1992"/>
      <c r="F19" s="1992"/>
      <c r="G19" s="1992"/>
      <c r="H19" s="1990"/>
      <c r="I19" s="30"/>
      <c r="J19" s="99"/>
      <c r="K19" s="40"/>
      <c r="L19" s="38"/>
      <c r="M19" s="112" t="s">
        <v>315</v>
      </c>
      <c r="P19" s="27"/>
      <c r="Q19" s="27"/>
      <c r="R19" s="27"/>
      <c r="S19" s="31"/>
      <c r="T19" s="1991" t="s">
        <v>2108</v>
      </c>
      <c r="U19" s="1989"/>
      <c r="V19" s="1989"/>
      <c r="W19" s="1990"/>
      <c r="X19" s="2006" t="s">
        <v>2070</v>
      </c>
      <c r="Y19" s="2007"/>
      <c r="Z19" s="2004">
        <v>60563</v>
      </c>
      <c r="AA19" s="200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8" t="s">
        <v>2071</v>
      </c>
      <c r="B21" s="1989"/>
      <c r="C21" s="1989"/>
      <c r="D21" s="1989"/>
      <c r="E21" s="1989"/>
      <c r="F21" s="1989"/>
      <c r="G21" s="1989"/>
      <c r="H21" s="1990"/>
      <c r="I21" s="2014" t="s">
        <v>678</v>
      </c>
      <c r="J21" s="1977"/>
      <c r="K21" s="1977"/>
      <c r="L21" s="1977"/>
      <c r="M21" s="1977"/>
      <c r="N21" s="1977"/>
      <c r="O21" s="1977"/>
      <c r="P21" s="1977"/>
      <c r="Q21" s="1977"/>
      <c r="R21" s="1977"/>
      <c r="S21" s="1978"/>
      <c r="T21" s="1956" t="s">
        <v>2072</v>
      </c>
      <c r="U21" s="1957"/>
      <c r="V21" s="1957"/>
      <c r="W21" s="1957"/>
      <c r="X21" s="1970" t="s">
        <v>2073</v>
      </c>
      <c r="Y21" s="1971"/>
      <c r="Z21" s="1971"/>
      <c r="AA21" s="1972"/>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1" t="s">
        <v>2074</v>
      </c>
      <c r="B23" s="2012"/>
      <c r="C23" s="2012"/>
      <c r="D23" s="2012"/>
      <c r="E23" s="2012"/>
      <c r="F23" s="2012"/>
      <c r="G23" s="2012"/>
      <c r="H23" s="2013"/>
      <c r="T23" s="1951" t="s">
        <v>2075</v>
      </c>
      <c r="U23" s="1952"/>
      <c r="V23" s="1952"/>
      <c r="W23" s="1952"/>
      <c r="X23" s="1967">
        <v>44530</v>
      </c>
      <c r="Y23" s="1968"/>
      <c r="Z23" s="1968"/>
      <c r="AA23" s="1969"/>
    </row>
    <row r="24" spans="1:27" ht="14.1" customHeight="1" x14ac:dyDescent="0.2">
      <c r="A24" s="88" t="s">
        <v>677</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8">
        <v>60527</v>
      </c>
      <c r="B25" s="1989"/>
      <c r="C25" s="1989"/>
      <c r="D25" s="1989"/>
      <c r="E25" s="1989"/>
      <c r="F25" s="1989"/>
      <c r="G25" s="1989"/>
      <c r="H25" s="1990"/>
      <c r="I25" s="113"/>
      <c r="J25" s="2055"/>
      <c r="K25" s="2055"/>
      <c r="L25" s="2055"/>
      <c r="M25" s="2055"/>
      <c r="N25" s="2055"/>
      <c r="O25" s="2055"/>
      <c r="P25" s="2055"/>
      <c r="Q25" s="2055"/>
      <c r="R25" s="2055"/>
      <c r="S25" s="2056"/>
      <c r="T25" s="1948" t="s">
        <v>2076</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2065</v>
      </c>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1" t="s">
        <v>2077</v>
      </c>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t="s">
        <v>2078</v>
      </c>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t="s">
        <v>2079</v>
      </c>
      <c r="B42" s="2038"/>
      <c r="C42" s="2039"/>
      <c r="D42" s="2052" t="s">
        <v>2080</v>
      </c>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I42" sqref="I42:O4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1802</v>
      </c>
      <c r="B2" s="1528" t="s">
        <v>1949</v>
      </c>
      <c r="C2" s="714" t="s">
        <v>1950</v>
      </c>
      <c r="D2" s="714" t="s">
        <v>1951</v>
      </c>
      <c r="E2" s="714" t="s">
        <v>1952</v>
      </c>
      <c r="F2" s="714" t="s">
        <v>1953</v>
      </c>
    </row>
    <row r="3" spans="1:6" ht="12" customHeight="1" x14ac:dyDescent="0.2">
      <c r="A3" s="2191"/>
      <c r="B3" s="1525"/>
      <c r="C3" s="1526"/>
      <c r="D3" s="1527" t="s">
        <v>256</v>
      </c>
      <c r="E3" s="1526"/>
      <c r="F3" s="1527" t="s">
        <v>257</v>
      </c>
    </row>
    <row r="4" spans="1:6" ht="13.7" customHeight="1" x14ac:dyDescent="0.2">
      <c r="A4" s="715" t="s">
        <v>1155</v>
      </c>
      <c r="B4" s="1749">
        <f>'Revenues 9-14'!C5</f>
        <v>9700409</v>
      </c>
      <c r="C4" s="1524">
        <v>5328842</v>
      </c>
      <c r="D4" s="1752">
        <f>B4-C4</f>
        <v>4371567</v>
      </c>
      <c r="E4" s="1524">
        <v>10197254</v>
      </c>
      <c r="F4" s="1752">
        <f>E4-C4</f>
        <v>4868412</v>
      </c>
    </row>
    <row r="5" spans="1:6" ht="13.7" customHeight="1" x14ac:dyDescent="0.2">
      <c r="A5" s="715" t="s">
        <v>870</v>
      </c>
      <c r="B5" s="1750">
        <f>'Revenues 9-14'!D5</f>
        <v>1230864</v>
      </c>
      <c r="C5" s="585">
        <v>632199</v>
      </c>
      <c r="D5" s="1753">
        <f t="shared" ref="D5:D18" si="0">B5-C5</f>
        <v>598665</v>
      </c>
      <c r="E5" s="585">
        <v>1209779</v>
      </c>
      <c r="F5" s="1753">
        <f>E5-C5</f>
        <v>577580</v>
      </c>
    </row>
    <row r="6" spans="1:6" ht="13.7" customHeight="1" x14ac:dyDescent="0.2">
      <c r="A6" s="715" t="s">
        <v>411</v>
      </c>
      <c r="B6" s="1750">
        <f>'Revenues 9-14'!E5</f>
        <v>1125546</v>
      </c>
      <c r="C6" s="585">
        <v>609067</v>
      </c>
      <c r="D6" s="1753">
        <f t="shared" si="0"/>
        <v>516479</v>
      </c>
      <c r="E6" s="585">
        <v>1165509</v>
      </c>
      <c r="F6" s="1753">
        <f t="shared" ref="F6:F18" si="1">E6-C6</f>
        <v>556442</v>
      </c>
    </row>
    <row r="7" spans="1:6" ht="13.7" customHeight="1" x14ac:dyDescent="0.2">
      <c r="A7" s="715" t="s">
        <v>155</v>
      </c>
      <c r="B7" s="1750">
        <f>'Revenues 9-14'!F5</f>
        <v>425295</v>
      </c>
      <c r="C7" s="585">
        <v>261257</v>
      </c>
      <c r="D7" s="1753">
        <f t="shared" si="0"/>
        <v>164038</v>
      </c>
      <c r="E7" s="585">
        <v>499940</v>
      </c>
      <c r="F7" s="1753">
        <f t="shared" si="1"/>
        <v>238683</v>
      </c>
    </row>
    <row r="8" spans="1:6" ht="13.7" customHeight="1" x14ac:dyDescent="0.2">
      <c r="A8" s="715" t="s">
        <v>1179</v>
      </c>
      <c r="B8" s="1750">
        <f>'Revenues 9-14'!G5</f>
        <v>227238</v>
      </c>
      <c r="C8" s="585">
        <v>125244</v>
      </c>
      <c r="D8" s="1753">
        <f t="shared" si="0"/>
        <v>101994</v>
      </c>
      <c r="E8" s="585">
        <v>239666</v>
      </c>
      <c r="F8" s="1753">
        <f t="shared" si="1"/>
        <v>114422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7462</v>
      </c>
      <c r="C11" s="585">
        <v>5185</v>
      </c>
      <c r="D11" s="1753">
        <f t="shared" si="0"/>
        <v>2277</v>
      </c>
      <c r="E11" s="585">
        <v>9922</v>
      </c>
      <c r="F11" s="1753">
        <f t="shared" si="1"/>
        <v>4737</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227238</v>
      </c>
      <c r="C16" s="585">
        <v>125244</v>
      </c>
      <c r="D16" s="1753">
        <f t="shared" si="0"/>
        <v>101994</v>
      </c>
      <c r="E16" s="585">
        <v>239666</v>
      </c>
      <c r="F16" s="1753">
        <f t="shared" si="1"/>
        <v>114422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12944052</v>
      </c>
      <c r="C19" s="1751">
        <f>SUM(C4:C18)</f>
        <v>7087038</v>
      </c>
      <c r="D19" s="1751">
        <f>SUM(D4:D18)</f>
        <v>5857014</v>
      </c>
      <c r="E19" s="1751">
        <f>SUM(E4:E18)</f>
        <v>13561736</v>
      </c>
      <c r="F19" s="1751">
        <f>SUM(F4:F18)</f>
        <v>6474698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I42" sqref="I42:O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1802</v>
      </c>
      <c r="B2" s="2206"/>
      <c r="C2" s="1884" t="s">
        <v>1954</v>
      </c>
      <c r="D2" s="723" t="s">
        <v>1955</v>
      </c>
      <c r="E2" s="723" t="s">
        <v>1956</v>
      </c>
      <c r="F2" s="1884" t="s">
        <v>1957</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388</v>
      </c>
      <c r="B19" s="2218"/>
      <c r="C19" s="726"/>
      <c r="D19" s="585"/>
      <c r="E19" s="726"/>
      <c r="F19" s="1755">
        <f>SUM(C19+D19)-E19</f>
        <v>0</v>
      </c>
    </row>
    <row r="20" spans="1:11" ht="12.75" customHeight="1" thickTop="1" thickBot="1" x14ac:dyDescent="0.25">
      <c r="A20" s="2217" t="s">
        <v>448</v>
      </c>
      <c r="B20" s="2218"/>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2081</v>
      </c>
      <c r="B31" s="733">
        <v>41095</v>
      </c>
      <c r="C31" s="734">
        <v>9100000</v>
      </c>
      <c r="D31" s="735">
        <v>7</v>
      </c>
      <c r="E31" s="734">
        <v>5270000</v>
      </c>
      <c r="F31" s="734"/>
      <c r="G31" s="734"/>
      <c r="H31" s="734">
        <v>995000</v>
      </c>
      <c r="I31" s="1756">
        <f>((E31+F31)-H31)+G31</f>
        <v>4275000</v>
      </c>
      <c r="J31" s="734">
        <v>3312468</v>
      </c>
      <c r="K31" s="736"/>
    </row>
    <row r="32" spans="1:11" ht="12" customHeight="1" x14ac:dyDescent="0.2">
      <c r="A32" s="732" t="s">
        <v>2082</v>
      </c>
      <c r="B32" s="733" t="s">
        <v>2083</v>
      </c>
      <c r="C32" s="734">
        <v>729408</v>
      </c>
      <c r="D32" s="735">
        <v>8</v>
      </c>
      <c r="E32" s="734">
        <v>436923</v>
      </c>
      <c r="F32" s="734"/>
      <c r="G32" s="734">
        <v>-88413</v>
      </c>
      <c r="H32" s="734"/>
      <c r="I32" s="1756">
        <f>((E32+F32)-H32)+G32</f>
        <v>348510</v>
      </c>
      <c r="J32" s="734">
        <v>348510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9829408</v>
      </c>
      <c r="D49" s="745"/>
      <c r="E49" s="1756">
        <f t="shared" ref="E49:J49" si="2">SUM(E31:E48)</f>
        <v>5706923</v>
      </c>
      <c r="F49" s="1756">
        <f t="shared" si="2"/>
        <v>0</v>
      </c>
      <c r="G49" s="1756">
        <f t="shared" si="2"/>
        <v>-88413</v>
      </c>
      <c r="H49" s="1756">
        <f t="shared" si="2"/>
        <v>995000</v>
      </c>
      <c r="I49" s="1756">
        <f t="shared" si="2"/>
        <v>4623510</v>
      </c>
      <c r="J49" s="1756">
        <f t="shared" si="2"/>
        <v>3660978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t="s">
        <v>2084</v>
      </c>
      <c r="G52" s="2214"/>
      <c r="H52" s="736"/>
      <c r="I52" s="736"/>
      <c r="J52" s="746"/>
    </row>
    <row r="53" spans="1:11" ht="11.25" customHeight="1" x14ac:dyDescent="0.2">
      <c r="A53" s="750" t="s">
        <v>913</v>
      </c>
      <c r="B53" s="751" t="s">
        <v>951</v>
      </c>
      <c r="C53" s="746"/>
      <c r="D53" s="737"/>
      <c r="E53" s="749" t="s">
        <v>497</v>
      </c>
      <c r="F53" s="2215" t="s">
        <v>2082</v>
      </c>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I42" sqref="I42:O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24" t="s">
        <v>1677</v>
      </c>
      <c r="B2" s="2225"/>
      <c r="C2" s="2225"/>
      <c r="D2" s="2225"/>
      <c r="E2" s="2226"/>
      <c r="F2" s="761" t="s">
        <v>904</v>
      </c>
      <c r="G2" s="762" t="s">
        <v>1674</v>
      </c>
      <c r="H2" s="762" t="s">
        <v>410</v>
      </c>
      <c r="I2" s="762" t="s">
        <v>1158</v>
      </c>
      <c r="J2" s="762" t="s">
        <v>1812</v>
      </c>
      <c r="K2" s="762" t="s">
        <v>138</v>
      </c>
    </row>
    <row r="3" spans="1:11" x14ac:dyDescent="0.2">
      <c r="A3" s="2227" t="s">
        <v>1962</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8" t="s">
        <v>1813</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7"/>
      <c r="G12" s="1758">
        <f>SUM(G5:G11)</f>
        <v>0</v>
      </c>
      <c r="H12" s="1758">
        <f>SUM(H5:H11)</f>
        <v>0</v>
      </c>
      <c r="I12" s="1758">
        <f>SUM(I5:I11)</f>
        <v>0</v>
      </c>
      <c r="J12" s="1758">
        <f>SUM(J5:J11)</f>
        <v>0</v>
      </c>
      <c r="K12" s="1758">
        <f>SUM(K5:K11)</f>
        <v>0</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c r="I14" s="771"/>
      <c r="J14" s="773"/>
      <c r="K14" s="765"/>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1809</v>
      </c>
      <c r="B19" s="2256"/>
      <c r="C19" s="2256"/>
      <c r="D19" s="2256"/>
      <c r="E19" s="2257"/>
      <c r="F19" s="789" t="s">
        <v>933</v>
      </c>
      <c r="G19" s="782"/>
      <c r="H19" s="782"/>
      <c r="I19" s="782"/>
      <c r="J19" s="765"/>
      <c r="K19" s="795"/>
    </row>
    <row r="20" spans="1:11" x14ac:dyDescent="0.2">
      <c r="A20" s="2235" t="s">
        <v>1814</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9"/>
      <c r="G21" s="792"/>
      <c r="H21" s="796"/>
      <c r="I21" s="796"/>
      <c r="J21" s="1760">
        <f>SUM(J18:J20)</f>
        <v>0</v>
      </c>
      <c r="K21" s="793"/>
    </row>
    <row r="22" spans="1:11" ht="13.5" thickTop="1" x14ac:dyDescent="0.2">
      <c r="A22" s="2221" t="s">
        <v>1815</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1"/>
      <c r="G23" s="1758">
        <f>SUM(G14:G16,G21,G22)</f>
        <v>0</v>
      </c>
      <c r="H23" s="1758">
        <f>SUM(H14:H16,H21,H22)</f>
        <v>0</v>
      </c>
      <c r="I23" s="1758">
        <f>SUM(I14:I16,I21,I22)</f>
        <v>0</v>
      </c>
      <c r="J23" s="1758">
        <f>SUM(J14:J16,J21,J22)</f>
        <v>0</v>
      </c>
      <c r="K23" s="1758">
        <f>SUM(K14:K16,K21,K22)</f>
        <v>0</v>
      </c>
    </row>
    <row r="24" spans="1:11" ht="14.25" thickTop="1" thickBot="1" x14ac:dyDescent="0.25">
      <c r="A24" s="2242" t="s">
        <v>1963</v>
      </c>
      <c r="B24" s="2241"/>
      <c r="C24" s="2241"/>
      <c r="D24" s="2241"/>
      <c r="E24" s="224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42" sqref="I42:O4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6"/>
      <c r="E1" s="827"/>
      <c r="F1" s="827"/>
      <c r="G1" s="828"/>
      <c r="H1" s="829"/>
      <c r="I1" s="830"/>
      <c r="J1" s="2258"/>
      <c r="K1" s="2259"/>
      <c r="L1" s="225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951820</v>
      </c>
      <c r="D5" s="841"/>
      <c r="E5" s="841"/>
      <c r="F5" s="1760">
        <f>(C5+D5)-E5</f>
        <v>951820</v>
      </c>
      <c r="G5" s="837"/>
      <c r="H5" s="842"/>
      <c r="I5" s="842"/>
      <c r="J5" s="842"/>
      <c r="K5" s="793"/>
      <c r="L5" s="1769">
        <f>F5-K5</f>
        <v>951820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20220747</v>
      </c>
      <c r="D8" s="844">
        <v>275000</v>
      </c>
      <c r="E8" s="844"/>
      <c r="F8" s="1760">
        <f>(C8+D8)-E8</f>
        <v>20495747</v>
      </c>
      <c r="G8" s="843">
        <v>50</v>
      </c>
      <c r="H8" s="765"/>
      <c r="I8" s="765"/>
      <c r="J8" s="765"/>
      <c r="K8" s="1769">
        <f>(H8+I8)-J8</f>
        <v>0</v>
      </c>
      <c r="L8" s="1769">
        <f>F8-K8</f>
        <v>20495747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1670308</v>
      </c>
      <c r="D10" s="846"/>
      <c r="E10" s="846"/>
      <c r="F10" s="1764">
        <f>(C10+D10)-E10</f>
        <v>1670308</v>
      </c>
      <c r="G10" s="843">
        <v>20</v>
      </c>
      <c r="H10" s="847"/>
      <c r="I10" s="847"/>
      <c r="J10" s="847"/>
      <c r="K10" s="1769">
        <f>(H10+I10)-J10</f>
        <v>0</v>
      </c>
      <c r="L10" s="1769">
        <f>F10-K10</f>
        <v>1670308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5393910</v>
      </c>
      <c r="D12" s="844">
        <v>255966</v>
      </c>
      <c r="E12" s="844">
        <v>181030</v>
      </c>
      <c r="F12" s="1760">
        <f>(C12+D12)-E12</f>
        <v>5468846</v>
      </c>
      <c r="G12" s="843">
        <v>10</v>
      </c>
      <c r="H12" s="765"/>
      <c r="I12" s="765"/>
      <c r="J12" s="765"/>
      <c r="K12" s="1769">
        <f>(H12+I12)-J12</f>
        <v>0</v>
      </c>
      <c r="L12" s="1769">
        <f>F12-K12</f>
        <v>5468846</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28236785</v>
      </c>
      <c r="D16" s="1760">
        <f>SUM(D3,D5:D6,D8:D10,D12:D15)</f>
        <v>530966</v>
      </c>
      <c r="E16" s="1760">
        <f>SUM(E3,E5:E6,E8:E10,E12:E15)</f>
        <v>181030</v>
      </c>
      <c r="F16" s="1760">
        <f>SUM(F3,F5:F6,F8:F10,F12:F15)</f>
        <v>28586721</v>
      </c>
      <c r="G16" s="843"/>
      <c r="H16" s="1760">
        <f>SUM(H3,H6,H8:H10,H12:H14,)</f>
        <v>0</v>
      </c>
      <c r="I16" s="1760">
        <f>SUM(I3,I6,I8:I10,I12:I14,)</f>
        <v>0</v>
      </c>
      <c r="J16" s="1760">
        <f>SUM(J3,J6,J8:J10,J12:J14,)</f>
        <v>0</v>
      </c>
      <c r="K16" s="1760">
        <f>(H16+I16)-J16</f>
        <v>0</v>
      </c>
      <c r="L16" s="1760">
        <f>F16-K16</f>
        <v>28586721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1" activePane="bottomLeft" state="frozen"/>
      <selection activeCell="I42" sqref="I42:O42"/>
      <selection pane="bottomLeft" activeCell="I42" sqref="I42:O4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1973</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11399033</v>
      </c>
      <c r="G8" s="865"/>
    </row>
    <row r="9" spans="1:7" x14ac:dyDescent="0.2">
      <c r="A9" s="869" t="s">
        <v>460</v>
      </c>
      <c r="B9" s="870" t="s">
        <v>1876</v>
      </c>
      <c r="C9" s="871"/>
      <c r="D9" s="869" t="s">
        <v>501</v>
      </c>
      <c r="E9" s="868"/>
      <c r="F9" s="1909">
        <f>'Expenditures 15-22'!K151</f>
        <v>1080497</v>
      </c>
      <c r="G9" s="872"/>
    </row>
    <row r="10" spans="1:7" x14ac:dyDescent="0.2">
      <c r="A10" s="869" t="s">
        <v>499</v>
      </c>
      <c r="B10" s="870" t="s">
        <v>1877</v>
      </c>
      <c r="C10" s="871"/>
      <c r="D10" s="869" t="s">
        <v>501</v>
      </c>
      <c r="E10" s="868"/>
      <c r="F10" s="1909">
        <f>'Expenditures 15-22'!K174</f>
        <v>1138700</v>
      </c>
      <c r="G10" s="872"/>
    </row>
    <row r="11" spans="1:7" x14ac:dyDescent="0.2">
      <c r="A11" s="869" t="s">
        <v>461</v>
      </c>
      <c r="B11" s="870" t="s">
        <v>1878</v>
      </c>
      <c r="C11" s="871"/>
      <c r="D11" s="869" t="s">
        <v>501</v>
      </c>
      <c r="E11" s="868"/>
      <c r="F11" s="1909">
        <f>'Expenditures 15-22'!K210</f>
        <v>680986</v>
      </c>
      <c r="G11" s="872"/>
    </row>
    <row r="12" spans="1:7" x14ac:dyDescent="0.2">
      <c r="A12" s="869" t="s">
        <v>462</v>
      </c>
      <c r="B12" s="870" t="s">
        <v>1879</v>
      </c>
      <c r="C12" s="871"/>
      <c r="D12" s="869" t="s">
        <v>501</v>
      </c>
      <c r="E12" s="868"/>
      <c r="F12" s="1909">
        <f>'Expenditures 15-22'!K295</f>
        <v>403997</v>
      </c>
      <c r="G12" s="872"/>
    </row>
    <row r="13" spans="1:7" x14ac:dyDescent="0.2">
      <c r="A13" s="869" t="s">
        <v>106</v>
      </c>
      <c r="B13" s="870" t="s">
        <v>1880</v>
      </c>
      <c r="C13" s="871"/>
      <c r="D13" s="869" t="s">
        <v>501</v>
      </c>
      <c r="E13" s="868"/>
      <c r="F13" s="1909">
        <f>'Expenditures 15-22'!K342</f>
        <v>37089</v>
      </c>
      <c r="G13" s="873"/>
    </row>
    <row r="14" spans="1:7" ht="12" customHeight="1" thickBot="1" x14ac:dyDescent="0.25">
      <c r="A14" s="1770"/>
      <c r="B14" s="1771"/>
      <c r="C14" s="1772"/>
      <c r="D14" s="1773" t="s">
        <v>501</v>
      </c>
      <c r="E14" s="1774" t="s">
        <v>958</v>
      </c>
      <c r="F14" s="1775">
        <f>SUM(F8:F13)</f>
        <v>14740302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36195</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665</v>
      </c>
      <c r="G52" s="865"/>
    </row>
    <row r="53" spans="1:7" x14ac:dyDescent="0.2">
      <c r="A53" s="869" t="s">
        <v>459</v>
      </c>
      <c r="B53" s="869" t="s">
        <v>1475</v>
      </c>
      <c r="C53" s="889">
        <f>'Expenditures 15-22'!B102</f>
        <v>4000</v>
      </c>
      <c r="D53" s="888" t="str">
        <f>'Expenditures 15-22'!A102</f>
        <v>Total Payments to Other Govt Units</v>
      </c>
      <c r="E53" s="868"/>
      <c r="F53" s="1913">
        <f>'Expenditures 15-22'!K102</f>
        <v>334089</v>
      </c>
      <c r="G53" s="865"/>
    </row>
    <row r="54" spans="1:7" x14ac:dyDescent="0.2">
      <c r="A54" s="869" t="s">
        <v>459</v>
      </c>
      <c r="B54" s="869" t="s">
        <v>1476</v>
      </c>
      <c r="C54" s="889" t="s">
        <v>982</v>
      </c>
      <c r="D54" s="885" t="s">
        <v>1095</v>
      </c>
      <c r="E54" s="868"/>
      <c r="F54" s="1913">
        <f>'Expenditures 15-22'!G114</f>
        <v>267065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277882</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995000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1478</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1912374</v>
      </c>
      <c r="G76" s="865"/>
    </row>
    <row r="77" spans="1:8" s="893" customFormat="1" ht="12" customHeight="1" thickTop="1" thickBot="1" x14ac:dyDescent="0.25">
      <c r="A77" s="1779"/>
      <c r="B77" s="1776"/>
      <c r="C77" s="1772"/>
      <c r="D77" s="1777" t="s">
        <v>1899</v>
      </c>
      <c r="E77" s="1774"/>
      <c r="F77" s="1780">
        <f>(F14-F76)</f>
        <v>12827928</v>
      </c>
      <c r="G77" s="869"/>
    </row>
    <row r="78" spans="1:8" s="893" customFormat="1" ht="12" customHeight="1" thickTop="1" x14ac:dyDescent="0.2">
      <c r="A78" s="1781"/>
      <c r="B78" s="1776"/>
      <c r="C78" s="1772"/>
      <c r="D78" s="1777" t="s">
        <v>2060</v>
      </c>
      <c r="E78" s="1774"/>
      <c r="F78" s="898">
        <v>832.2</v>
      </c>
      <c r="G78" s="899"/>
      <c r="H78" s="869"/>
    </row>
    <row r="79" spans="1:8" s="893" customFormat="1" ht="12" customHeight="1" thickBot="1" x14ac:dyDescent="0.25">
      <c r="A79" s="1782"/>
      <c r="B79" s="1776"/>
      <c r="C79" s="1772"/>
      <c r="D79" s="1777" t="s">
        <v>1900</v>
      </c>
      <c r="E79" s="1774" t="s">
        <v>958</v>
      </c>
      <c r="F79" s="1783">
        <f>IF(F78&gt;0,F77/F78," Complete Line 78")</f>
        <v>15414.477289113192</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67515</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206814</v>
      </c>
      <c r="G94" s="912"/>
    </row>
    <row r="95" spans="1:7" x14ac:dyDescent="0.2">
      <c r="A95" s="908" t="s">
        <v>140</v>
      </c>
      <c r="B95" s="908" t="s">
        <v>175</v>
      </c>
      <c r="C95" s="910">
        <v>1700</v>
      </c>
      <c r="D95" s="918" t="str">
        <f>'Revenues 9-14'!A82</f>
        <v>Total District/School Activity Income</v>
      </c>
      <c r="E95" s="906"/>
      <c r="F95" s="1789">
        <f>SUM('Revenues 9-14'!C82,'Revenues 9-14'!D82)</f>
        <v>7053</v>
      </c>
      <c r="G95" s="912"/>
    </row>
    <row r="96" spans="1:7" x14ac:dyDescent="0.2">
      <c r="A96" s="908" t="s">
        <v>459</v>
      </c>
      <c r="B96" s="908" t="s">
        <v>176</v>
      </c>
      <c r="C96" s="910">
        <f>'Revenues 9-14'!B84</f>
        <v>1811</v>
      </c>
      <c r="D96" s="911" t="str">
        <f>'Revenues 9-14'!A84</f>
        <v>Rentals - Regular Textbooks</v>
      </c>
      <c r="E96" s="906"/>
      <c r="F96" s="1789">
        <f>'Revenues 9-14'!C84</f>
        <v>105160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18025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70888</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167412</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43827</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37464</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50100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774258</v>
      </c>
    </row>
    <row r="175" spans="1:7" ht="12" customHeight="1" x14ac:dyDescent="0.2">
      <c r="A175" s="1770"/>
      <c r="B175" s="1784"/>
      <c r="C175" s="1785"/>
      <c r="D175" s="1786" t="s">
        <v>2055</v>
      </c>
      <c r="E175" s="1787"/>
      <c r="F175" s="1789">
        <f>'PCTC-OEPP 27-28'!F77-F174</f>
        <v>12053670</v>
      </c>
    </row>
    <row r="176" spans="1:7" ht="12" customHeight="1" x14ac:dyDescent="0.2">
      <c r="A176" s="1770"/>
      <c r="B176" s="1784"/>
      <c r="C176" s="1785"/>
      <c r="D176" s="1786" t="s">
        <v>1817</v>
      </c>
      <c r="E176" s="1787"/>
      <c r="F176" s="1789">
        <f>'Cap Outlay Deprec 26'!I18</f>
        <v>0</v>
      </c>
    </row>
    <row r="177" spans="1:7" ht="12" customHeight="1" x14ac:dyDescent="0.2">
      <c r="A177" s="1770"/>
      <c r="B177" s="1784"/>
      <c r="C177" s="1785"/>
      <c r="D177" s="1786" t="s">
        <v>2056</v>
      </c>
      <c r="E177" s="1787"/>
      <c r="F177" s="1789">
        <f>F175+F176</f>
        <v>12053670</v>
      </c>
    </row>
    <row r="178" spans="1:7" ht="12" customHeight="1" x14ac:dyDescent="0.2">
      <c r="A178" s="1770"/>
      <c r="B178" s="1790"/>
      <c r="C178" s="1785"/>
      <c r="D178" s="1786" t="str">
        <f>D78</f>
        <v>9 Month ADA from District Average Daily Attendance/Prior General State Aid Inquiry 2018-2019</v>
      </c>
      <c r="E178" s="1787"/>
      <c r="F178" s="1791">
        <f>'PCTC-OEPP 27-28'!F78</f>
        <v>832.2</v>
      </c>
      <c r="G178" s="930"/>
    </row>
    <row r="179" spans="1:7" ht="12" customHeight="1" thickBot="1" x14ac:dyDescent="0.25">
      <c r="A179" s="1770"/>
      <c r="B179" s="1790"/>
      <c r="C179" s="1785"/>
      <c r="D179" s="1786" t="s">
        <v>2057</v>
      </c>
      <c r="E179" s="1787" t="s">
        <v>1545</v>
      </c>
      <c r="F179" s="1792">
        <f>F177/F178</f>
        <v>14484.102379235759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0"/>
  <sheetViews>
    <sheetView showGridLines="0" topLeftCell="A9" zoomScaleNormal="100" workbookViewId="0">
      <selection activeCell="I42" sqref="I42:O4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83" t="s">
        <v>1931</v>
      </c>
      <c r="B8" s="2284"/>
      <c r="C8" s="2284"/>
      <c r="D8" s="2284"/>
      <c r="E8" s="2284"/>
      <c r="F8" s="2284"/>
      <c r="G8" s="2285"/>
    </row>
    <row r="9" spans="1:7" ht="15.75" customHeight="1" x14ac:dyDescent="0.25">
      <c r="A9" s="2286" t="s">
        <v>1906</v>
      </c>
      <c r="B9" s="2287"/>
      <c r="C9" s="2287"/>
      <c r="D9" s="2287"/>
      <c r="E9" s="2287"/>
      <c r="F9" s="2287"/>
      <c r="G9" s="2288"/>
    </row>
    <row r="10" spans="1:7" ht="35.25" customHeight="1" x14ac:dyDescent="0.25">
      <c r="A10" s="2283" t="s">
        <v>2063</v>
      </c>
      <c r="B10" s="2284"/>
      <c r="C10" s="2284"/>
      <c r="D10" s="2284"/>
      <c r="E10" s="2284"/>
      <c r="F10" s="2284"/>
      <c r="G10" s="2285"/>
    </row>
    <row r="11" spans="1:7" ht="15" customHeight="1" x14ac:dyDescent="0.25">
      <c r="A11" s="1537" t="s">
        <v>1820</v>
      </c>
      <c r="B11" s="1538"/>
      <c r="C11" s="1538"/>
      <c r="D11" s="1538"/>
      <c r="E11" s="1538"/>
      <c r="F11" s="1538"/>
      <c r="G11" s="1539"/>
    </row>
    <row r="12" spans="1:7" ht="17.25" customHeight="1" x14ac:dyDescent="0.25">
      <c r="A12" s="2283" t="s">
        <v>1933</v>
      </c>
      <c r="B12" s="2284"/>
      <c r="C12" s="2284"/>
      <c r="D12" s="2284"/>
      <c r="E12" s="2284"/>
      <c r="F12" s="2284"/>
      <c r="G12" s="2285"/>
    </row>
    <row r="13" spans="1:7" ht="15" customHeight="1" x14ac:dyDescent="0.25">
      <c r="A13" s="1537" t="s">
        <v>1825</v>
      </c>
      <c r="B13" s="1538"/>
      <c r="C13" s="1538"/>
      <c r="D13" s="1538"/>
      <c r="E13" s="1538"/>
      <c r="F13" s="1538"/>
      <c r="G13" s="1539"/>
    </row>
    <row r="14" spans="1:7" ht="32.25" customHeight="1" x14ac:dyDescent="0.25">
      <c r="A14" s="2274" t="s">
        <v>1974</v>
      </c>
      <c r="B14" s="2275"/>
      <c r="C14" s="2275"/>
      <c r="D14" s="2275"/>
      <c r="E14" s="2275"/>
      <c r="F14" s="2275"/>
      <c r="G14" s="2276"/>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2085</v>
      </c>
      <c r="B18" s="1941" t="s">
        <v>2093</v>
      </c>
      <c r="C18" s="1942" t="s">
        <v>2086</v>
      </c>
      <c r="D18" s="1943">
        <v>8829</v>
      </c>
      <c r="E18" s="1540">
        <f t="shared" ref="E18:E140" si="0">IF(D18&lt;=25000,D18,IF(D18&gt;25000,25000,0))</f>
        <v>8829</v>
      </c>
      <c r="F18" s="1936">
        <f t="shared" ref="F18:F79"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8829</v>
      </c>
      <c r="G18" s="1793">
        <f>IF(F18=0,0,D18-F18)</f>
        <v>0</v>
      </c>
      <c r="H18" s="1647"/>
    </row>
    <row r="19" spans="1:8" x14ac:dyDescent="0.25">
      <c r="A19" s="1940" t="s">
        <v>2085</v>
      </c>
      <c r="B19" s="1941" t="s">
        <v>2093</v>
      </c>
      <c r="C19" s="1942" t="s">
        <v>2087</v>
      </c>
      <c r="D19" s="1943">
        <v>5000</v>
      </c>
      <c r="E19" s="1540">
        <f t="shared" ref="E19:E139" si="2">IF(D19&lt;=25000,D19,IF(D19&gt;25000,25000,0))</f>
        <v>5000</v>
      </c>
      <c r="F19" s="1936">
        <f t="shared" si="1"/>
        <v>5000</v>
      </c>
      <c r="G19" s="1793">
        <f t="shared" ref="G19:G139" si="3">IF(F19=0,0,D19-F19)</f>
        <v>0</v>
      </c>
    </row>
    <row r="20" spans="1:8" x14ac:dyDescent="0.25">
      <c r="A20" s="1940" t="s">
        <v>100</v>
      </c>
      <c r="B20" s="1941" t="s">
        <v>2095</v>
      </c>
      <c r="C20" s="1942" t="s">
        <v>2088</v>
      </c>
      <c r="D20" s="1943">
        <v>15966</v>
      </c>
      <c r="E20" s="1540">
        <f t="shared" si="2"/>
        <v>15966</v>
      </c>
      <c r="F20" s="1936">
        <f t="shared" si="1"/>
        <v>15966</v>
      </c>
      <c r="G20" s="1793">
        <f t="shared" si="3"/>
        <v>0</v>
      </c>
    </row>
    <row r="21" spans="1:8" x14ac:dyDescent="0.25">
      <c r="A21" s="1940" t="s">
        <v>100</v>
      </c>
      <c r="B21" s="1941" t="s">
        <v>2096</v>
      </c>
      <c r="C21" s="1942" t="s">
        <v>2088</v>
      </c>
      <c r="D21" s="1943">
        <v>125250</v>
      </c>
      <c r="E21" s="1540">
        <f t="shared" si="2"/>
        <v>25000</v>
      </c>
      <c r="F21" s="1936">
        <f t="shared" si="1"/>
        <v>25000</v>
      </c>
      <c r="G21" s="1793">
        <f t="shared" si="3"/>
        <v>100250</v>
      </c>
    </row>
    <row r="22" spans="1:8" x14ac:dyDescent="0.25">
      <c r="A22" s="1940" t="s">
        <v>100</v>
      </c>
      <c r="B22" s="1941" t="s">
        <v>2095</v>
      </c>
      <c r="C22" s="1942" t="s">
        <v>2089</v>
      </c>
      <c r="D22" s="1943">
        <v>1048</v>
      </c>
      <c r="E22" s="1540">
        <f t="shared" si="2"/>
        <v>1048</v>
      </c>
      <c r="F22" s="1936">
        <f t="shared" si="1"/>
        <v>1048</v>
      </c>
      <c r="G22" s="1793">
        <f t="shared" si="3"/>
        <v>0</v>
      </c>
    </row>
    <row r="23" spans="1:8" x14ac:dyDescent="0.25">
      <c r="A23" s="1944" t="s">
        <v>2090</v>
      </c>
      <c r="B23" s="1941" t="s">
        <v>2097</v>
      </c>
      <c r="C23" s="1942" t="s">
        <v>2091</v>
      </c>
      <c r="D23" s="1943">
        <v>8370</v>
      </c>
      <c r="E23" s="1540">
        <f t="shared" si="2"/>
        <v>8370</v>
      </c>
      <c r="F23" s="1936">
        <f t="shared" si="1"/>
        <v>8370</v>
      </c>
      <c r="G23" s="1793">
        <f t="shared" si="3"/>
        <v>0</v>
      </c>
    </row>
    <row r="24" spans="1:8" x14ac:dyDescent="0.25">
      <c r="A24" s="1944" t="s">
        <v>1061</v>
      </c>
      <c r="B24" s="1941" t="s">
        <v>2094</v>
      </c>
      <c r="C24" s="1942" t="s">
        <v>2092</v>
      </c>
      <c r="D24" s="1943">
        <v>1655</v>
      </c>
      <c r="E24" s="1540">
        <f t="shared" si="2"/>
        <v>1655</v>
      </c>
      <c r="F24" s="1936">
        <f t="shared" si="1"/>
        <v>1655</v>
      </c>
      <c r="G24" s="1793">
        <f t="shared" si="3"/>
        <v>0</v>
      </c>
    </row>
    <row r="25" spans="1:8" x14ac:dyDescent="0.25">
      <c r="A25" s="1653"/>
      <c r="B25" s="1933"/>
      <c r="C25" s="1654"/>
      <c r="D25" s="1844"/>
      <c r="E25" s="1540">
        <f t="shared" si="2"/>
        <v>0</v>
      </c>
      <c r="F25" s="1936">
        <f t="shared" si="1"/>
        <v>0</v>
      </c>
      <c r="G25" s="1793">
        <f t="shared" si="3"/>
        <v>0</v>
      </c>
    </row>
    <row r="26" spans="1:8" x14ac:dyDescent="0.25">
      <c r="A26" s="1653"/>
      <c r="B26" s="1933"/>
      <c r="C26" s="1654"/>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4"/>
      <c r="C37" s="1654"/>
      <c r="D37" s="1844"/>
      <c r="E37" s="1540">
        <f t="shared" si="2"/>
        <v>0</v>
      </c>
      <c r="F37" s="1936">
        <f t="shared" si="1"/>
        <v>0</v>
      </c>
      <c r="G37" s="1793">
        <f t="shared" si="3"/>
        <v>0</v>
      </c>
    </row>
    <row r="38" spans="1:7" x14ac:dyDescent="0.25">
      <c r="A38" s="1653"/>
      <c r="B38" s="1934"/>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667"/>
      <c r="C45" s="1654"/>
      <c r="D45" s="1844"/>
      <c r="E45" s="1540">
        <f t="shared" si="2"/>
        <v>0</v>
      </c>
      <c r="F45" s="1936">
        <f t="shared" si="1"/>
        <v>0</v>
      </c>
      <c r="G45" s="1793">
        <f t="shared" si="3"/>
        <v>0</v>
      </c>
    </row>
    <row r="46" spans="1:7" x14ac:dyDescent="0.25">
      <c r="A46" s="1653"/>
      <c r="B46" s="1667"/>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5"/>
      <c r="B63" s="1667"/>
      <c r="C63" s="1656"/>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3"/>
      <c r="B65" s="1667"/>
      <c r="C65" s="1654"/>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ref="E72:E83" si="4">IF(D72&lt;=25000,D72,IF(D72&gt;25000,25000,0))</f>
        <v>0</v>
      </c>
      <c r="F72" s="1936">
        <f t="shared" si="1"/>
        <v>0</v>
      </c>
      <c r="G72" s="1793">
        <f t="shared" ref="G72:G83" si="5">IF(F72=0,0,D72-F72)</f>
        <v>0</v>
      </c>
    </row>
    <row r="73" spans="1:7" x14ac:dyDescent="0.25">
      <c r="A73" s="1653"/>
      <c r="B73" s="1667"/>
      <c r="C73" s="1654"/>
      <c r="D73" s="1844"/>
      <c r="E73" s="1540">
        <f t="shared" si="4"/>
        <v>0</v>
      </c>
      <c r="F73" s="1936">
        <f t="shared" si="1"/>
        <v>0</v>
      </c>
      <c r="G73" s="1793">
        <f t="shared" si="5"/>
        <v>0</v>
      </c>
    </row>
    <row r="74" spans="1:7" x14ac:dyDescent="0.25">
      <c r="A74" s="1653"/>
      <c r="B74" s="1667"/>
      <c r="C74" s="1654"/>
      <c r="D74" s="1844"/>
      <c r="E74" s="1540">
        <f t="shared" si="4"/>
        <v>0</v>
      </c>
      <c r="F74" s="1936">
        <f t="shared" si="1"/>
        <v>0</v>
      </c>
      <c r="G74" s="1793">
        <f t="shared" si="5"/>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ref="F80:F139" si="6">(IF(D80="",0,(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Check func/obj # in Colm B"))))</f>
        <v>0</v>
      </c>
      <c r="G80" s="1793">
        <f t="shared" si="5"/>
        <v>0</v>
      </c>
    </row>
    <row r="81" spans="1:7" x14ac:dyDescent="0.25">
      <c r="A81" s="1653"/>
      <c r="B81" s="1667"/>
      <c r="C81" s="1654"/>
      <c r="D81" s="1844"/>
      <c r="E81" s="1540">
        <f t="shared" si="4"/>
        <v>0</v>
      </c>
      <c r="F81" s="1936">
        <f t="shared" si="6"/>
        <v>0</v>
      </c>
      <c r="G81" s="1793">
        <f t="shared" si="5"/>
        <v>0</v>
      </c>
    </row>
    <row r="82" spans="1:7" x14ac:dyDescent="0.25">
      <c r="A82" s="1653"/>
      <c r="B82" s="1667"/>
      <c r="C82" s="1654"/>
      <c r="D82" s="1844"/>
      <c r="E82" s="1540">
        <f t="shared" si="4"/>
        <v>0</v>
      </c>
      <c r="F82" s="1936">
        <f t="shared" si="6"/>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2"/>
        <v>0</v>
      </c>
      <c r="F84" s="1936">
        <f t="shared" si="6"/>
        <v>0</v>
      </c>
      <c r="G84" s="1793">
        <f t="shared" si="3"/>
        <v>0</v>
      </c>
    </row>
    <row r="85" spans="1:7" x14ac:dyDescent="0.25">
      <c r="A85" s="1653"/>
      <c r="B85" s="1667"/>
      <c r="C85" s="1654"/>
      <c r="D85" s="1844"/>
      <c r="E85" s="1540">
        <f t="shared" si="2"/>
        <v>0</v>
      </c>
      <c r="F85" s="1936">
        <f t="shared" si="6"/>
        <v>0</v>
      </c>
      <c r="G85" s="1793">
        <f t="shared" si="3"/>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ref="E92" si="7">IF(D92&lt;=25000,D92,IF(D92&gt;25000,25000,0))</f>
        <v>0</v>
      </c>
      <c r="F92" s="1936">
        <f t="shared" si="6"/>
        <v>0</v>
      </c>
      <c r="G92" s="1793">
        <f t="shared" ref="G92" si="8">IF(F92=0,0,D92-F92)</f>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E97" si="9">IF(D94&lt;=25000,D94,IF(D94&gt;25000,25000,0))</f>
        <v>0</v>
      </c>
      <c r="F94" s="1936">
        <f t="shared" si="6"/>
        <v>0</v>
      </c>
      <c r="G94" s="1793">
        <f t="shared" ref="G94:G97" si="10">IF(F94=0,0,D94-F94)</f>
        <v>0</v>
      </c>
    </row>
    <row r="95" spans="1:7" x14ac:dyDescent="0.25">
      <c r="A95" s="1653"/>
      <c r="B95" s="1667"/>
      <c r="C95" s="1654"/>
      <c r="D95" s="1844"/>
      <c r="E95" s="1540">
        <f t="shared" si="9"/>
        <v>0</v>
      </c>
      <c r="F95" s="1936">
        <f t="shared" si="6"/>
        <v>0</v>
      </c>
      <c r="G95" s="1793">
        <f t="shared" si="10"/>
        <v>0</v>
      </c>
    </row>
    <row r="96" spans="1:7" x14ac:dyDescent="0.25">
      <c r="A96" s="1653"/>
      <c r="B96" s="1667"/>
      <c r="C96" s="1654"/>
      <c r="D96" s="1844"/>
      <c r="E96" s="1540">
        <f t="shared" si="9"/>
        <v>0</v>
      </c>
      <c r="F96" s="1936">
        <f t="shared" si="6"/>
        <v>0</v>
      </c>
      <c r="G96" s="1793">
        <f t="shared" si="10"/>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ref="E98" si="11">IF(D98&lt;=25000,D98,IF(D98&gt;25000,25000,0))</f>
        <v>0</v>
      </c>
      <c r="F98" s="1936">
        <f t="shared" si="6"/>
        <v>0</v>
      </c>
      <c r="G98" s="1793">
        <f t="shared" ref="G98" si="12">IF(F98=0,0,D98-F98)</f>
        <v>0</v>
      </c>
    </row>
    <row r="99" spans="1:7" x14ac:dyDescent="0.25">
      <c r="A99" s="1653"/>
      <c r="B99" s="1667"/>
      <c r="C99" s="1654"/>
      <c r="D99" s="1844"/>
      <c r="E99" s="1540">
        <f t="shared" ref="E99:E111" si="13">IF(D99&lt;=25000,D99,IF(D99&gt;25000,25000,0))</f>
        <v>0</v>
      </c>
      <c r="F99" s="1936">
        <f t="shared" si="6"/>
        <v>0</v>
      </c>
      <c r="G99" s="1793">
        <f t="shared" ref="G99:G111" si="14">IF(F99=0,0,D99-F99)</f>
        <v>0</v>
      </c>
    </row>
    <row r="100" spans="1:7" x14ac:dyDescent="0.25">
      <c r="A100" s="1653"/>
      <c r="B100" s="1667"/>
      <c r="C100" s="1654"/>
      <c r="D100" s="1844"/>
      <c r="E100" s="1540">
        <f t="shared" si="13"/>
        <v>0</v>
      </c>
      <c r="F100" s="1936">
        <f t="shared" si="6"/>
        <v>0</v>
      </c>
      <c r="G100" s="1793">
        <f t="shared" si="14"/>
        <v>0</v>
      </c>
    </row>
    <row r="101" spans="1:7" x14ac:dyDescent="0.25">
      <c r="A101" s="1653"/>
      <c r="B101" s="1667"/>
      <c r="C101" s="1654"/>
      <c r="D101" s="1844"/>
      <c r="E101" s="1540">
        <f t="shared" si="13"/>
        <v>0</v>
      </c>
      <c r="F101" s="1936">
        <f t="shared" si="6"/>
        <v>0</v>
      </c>
      <c r="G101" s="1793">
        <f t="shared" si="14"/>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ref="E112:E124" si="15">IF(D112&lt;=25000,D112,IF(D112&gt;25000,25000,0))</f>
        <v>0</v>
      </c>
      <c r="F112" s="1936">
        <f t="shared" si="6"/>
        <v>0</v>
      </c>
      <c r="G112" s="1793">
        <f t="shared" ref="G112:G124" si="16">IF(F112=0,0,D112-F112)</f>
        <v>0</v>
      </c>
    </row>
    <row r="113" spans="1:7" x14ac:dyDescent="0.25">
      <c r="A113" s="1653"/>
      <c r="B113" s="1667"/>
      <c r="C113" s="1654"/>
      <c r="D113" s="1844"/>
      <c r="E113" s="1540">
        <f t="shared" si="15"/>
        <v>0</v>
      </c>
      <c r="F113" s="1936">
        <f t="shared" si="6"/>
        <v>0</v>
      </c>
      <c r="G113" s="1793">
        <f t="shared" si="16"/>
        <v>0</v>
      </c>
    </row>
    <row r="114" spans="1:7" x14ac:dyDescent="0.25">
      <c r="A114" s="1653"/>
      <c r="B114" s="1667"/>
      <c r="C114" s="1654"/>
      <c r="D114" s="1844"/>
      <c r="E114" s="1540">
        <f t="shared" si="15"/>
        <v>0</v>
      </c>
      <c r="F114" s="1936">
        <f t="shared" si="6"/>
        <v>0</v>
      </c>
      <c r="G114" s="1793">
        <f t="shared" si="16"/>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ref="E125:E133" si="17">IF(D125&lt;=25000,D125,IF(D125&gt;25000,25000,0))</f>
        <v>0</v>
      </c>
      <c r="F125" s="1936">
        <f t="shared" si="6"/>
        <v>0</v>
      </c>
      <c r="G125" s="1793">
        <f t="shared" ref="G125:G133" si="18">IF(F125=0,0,D125-F125)</f>
        <v>0</v>
      </c>
    </row>
    <row r="126" spans="1:7" x14ac:dyDescent="0.25">
      <c r="A126" s="1653"/>
      <c r="B126" s="1667"/>
      <c r="C126" s="1654"/>
      <c r="D126" s="1844"/>
      <c r="E126" s="1540">
        <f t="shared" si="17"/>
        <v>0</v>
      </c>
      <c r="F126" s="1936">
        <f t="shared" si="6"/>
        <v>0</v>
      </c>
      <c r="G126" s="1793">
        <f t="shared" si="18"/>
        <v>0</v>
      </c>
    </row>
    <row r="127" spans="1:7" x14ac:dyDescent="0.25">
      <c r="A127" s="1653"/>
      <c r="B127" s="1667"/>
      <c r="C127" s="1654"/>
      <c r="D127" s="1844"/>
      <c r="E127" s="1540">
        <f t="shared" si="17"/>
        <v>0</v>
      </c>
      <c r="F127" s="1936">
        <f t="shared" si="6"/>
        <v>0</v>
      </c>
      <c r="G127" s="1793">
        <f t="shared" si="18"/>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837"/>
      <c r="C130" s="1654"/>
      <c r="D130" s="1844"/>
      <c r="E130" s="1540">
        <f t="shared" si="17"/>
        <v>0</v>
      </c>
      <c r="F130" s="1936">
        <f t="shared" si="6"/>
        <v>0</v>
      </c>
      <c r="G130" s="1793">
        <f t="shared" si="18"/>
        <v>0</v>
      </c>
    </row>
    <row r="131" spans="1:7" x14ac:dyDescent="0.25">
      <c r="A131" s="1653"/>
      <c r="B131" s="1837"/>
      <c r="C131" s="1654"/>
      <c r="D131" s="1844"/>
      <c r="E131" s="1540">
        <f t="shared" si="17"/>
        <v>0</v>
      </c>
      <c r="F131" s="1936">
        <f t="shared" si="6"/>
        <v>0</v>
      </c>
      <c r="G131" s="1793">
        <f t="shared" si="18"/>
        <v>0</v>
      </c>
    </row>
    <row r="132" spans="1:7" x14ac:dyDescent="0.25">
      <c r="A132" s="1653"/>
      <c r="B132" s="1667"/>
      <c r="C132" s="1654"/>
      <c r="D132" s="1844"/>
      <c r="E132" s="1540">
        <f t="shared" si="17"/>
        <v>0</v>
      </c>
      <c r="F132" s="1936">
        <f t="shared" si="6"/>
        <v>0</v>
      </c>
      <c r="G132" s="1793">
        <f t="shared" si="18"/>
        <v>0</v>
      </c>
    </row>
    <row r="133" spans="1:7" x14ac:dyDescent="0.25">
      <c r="A133" s="1653"/>
      <c r="B133" s="1667"/>
      <c r="C133" s="1654"/>
      <c r="D133" s="1844"/>
      <c r="E133" s="1540">
        <f t="shared" si="17"/>
        <v>0</v>
      </c>
      <c r="F133" s="1936">
        <f t="shared" si="6"/>
        <v>0</v>
      </c>
      <c r="G133" s="1793">
        <f t="shared" si="18"/>
        <v>0</v>
      </c>
    </row>
    <row r="134" spans="1:7" x14ac:dyDescent="0.25">
      <c r="A134" s="1653"/>
      <c r="B134" s="1667"/>
      <c r="C134" s="1654"/>
      <c r="D134" s="1844"/>
      <c r="E134" s="1540">
        <f t="shared" ref="E134:E138" si="19">IF(D134&lt;=25000,D134,IF(D134&gt;25000,25000,0))</f>
        <v>0</v>
      </c>
      <c r="F134" s="1936">
        <f t="shared" si="6"/>
        <v>0</v>
      </c>
      <c r="G134" s="1793">
        <f t="shared" ref="G134:G138" si="20">IF(F134=0,0,D134-F134)</f>
        <v>0</v>
      </c>
    </row>
    <row r="135" spans="1:7" x14ac:dyDescent="0.25">
      <c r="A135" s="1653"/>
      <c r="B135" s="1667"/>
      <c r="C135" s="1654"/>
      <c r="D135" s="1844"/>
      <c r="E135" s="1540">
        <f t="shared" si="19"/>
        <v>0</v>
      </c>
      <c r="F135" s="1936">
        <f t="shared" si="6"/>
        <v>0</v>
      </c>
      <c r="G135" s="1793">
        <f t="shared" si="20"/>
        <v>0</v>
      </c>
    </row>
    <row r="136" spans="1:7" x14ac:dyDescent="0.25">
      <c r="A136" s="1653"/>
      <c r="B136" s="1667"/>
      <c r="C136" s="1654"/>
      <c r="D136" s="1844"/>
      <c r="E136" s="1540">
        <f t="shared" si="19"/>
        <v>0</v>
      </c>
      <c r="F136" s="1936">
        <f t="shared" si="6"/>
        <v>0</v>
      </c>
      <c r="G136" s="1793">
        <f t="shared" si="20"/>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6"/>
      <c r="C139" s="1654"/>
      <c r="D139" s="1844"/>
      <c r="E139" s="1540">
        <f t="shared" si="2"/>
        <v>0</v>
      </c>
      <c r="F139" s="1936">
        <f t="shared" si="6"/>
        <v>0</v>
      </c>
      <c r="G139" s="1793">
        <f t="shared" si="3"/>
        <v>0</v>
      </c>
    </row>
    <row r="140" spans="1:7" x14ac:dyDescent="0.25">
      <c r="A140" s="1796" t="s">
        <v>156</v>
      </c>
      <c r="B140" s="1797"/>
      <c r="C140" s="1798"/>
      <c r="D140" s="1794">
        <f>SUM(D18:D139)</f>
        <v>166118</v>
      </c>
      <c r="E140" s="1541">
        <f t="shared" si="0"/>
        <v>25000</v>
      </c>
      <c r="F140" s="1932">
        <f>SUM(F18:F139)</f>
        <v>65868</v>
      </c>
      <c r="G140" s="1795">
        <f>SUM(G18:G139)</f>
        <v>100250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I42" sqref="I42:O4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4" t="s">
        <v>1975</v>
      </c>
      <c r="B11" s="2295"/>
      <c r="C11" s="2295"/>
      <c r="D11" s="229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7722785</v>
      </c>
      <c r="F19" s="1799"/>
      <c r="G19" s="1801">
        <f>'Expenditures 15-22'!K33-SUM('Expenditures 15-22'!G33,'Expenditures 15-22'!I33)+'Expenditures 15-22'!D229</f>
        <v>7722785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951141</v>
      </c>
      <c r="F21" s="1802"/>
      <c r="G21" s="1805">
        <f>'Expenditures 15-22'!K42-SUM('Expenditures 15-22'!G42,'Expenditures 15-22'!I42)+'Expenditures 15-22'!K120-SUM('Expenditures 15-22'!G120,'Expenditures 15-22'!I120)+'Expenditures 15-22'!K180-SUM('Expenditures 15-22'!G180,'Expenditures 15-22'!I180)+'Expenditures 15-22'!D238</f>
        <v>951141</v>
      </c>
      <c r="H21" s="987"/>
      <c r="I21" s="162"/>
    </row>
    <row r="22" spans="1:9" s="668" customFormat="1" ht="12" customHeight="1" x14ac:dyDescent="0.2">
      <c r="A22" s="994" t="s">
        <v>564</v>
      </c>
      <c r="B22" s="995"/>
      <c r="C22" s="993">
        <v>2200</v>
      </c>
      <c r="D22" s="1802"/>
      <c r="E22" s="1804">
        <f>'Expenditures 15-22'!K47-SUM('Expenditures 15-22'!G47,'Expenditures 15-22'!I47)+'Expenditures 15-22'!D243</f>
        <v>629763</v>
      </c>
      <c r="F22" s="1802"/>
      <c r="G22" s="1805">
        <f>'Expenditures 15-22'!K47-SUM('Expenditures 15-22'!G47,'Expenditures 15-22'!I47)+'Expenditures 15-22'!D243</f>
        <v>629763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677810</v>
      </c>
      <c r="F23" s="1802"/>
      <c r="G23" s="1804">
        <f>'Expenditures 15-22'!K53-SUM('Expenditures 15-22'!G53,'Expenditures 15-22'!I53)+'Expenditures 15-22'!D257+'Expenditures 15-22'!K330-SUM('Expenditures 15-22'!G330,'Expenditures 15-22'!I330)</f>
        <v>677810</v>
      </c>
      <c r="H23" s="987"/>
      <c r="I23" s="162"/>
    </row>
    <row r="24" spans="1:9" s="668" customFormat="1" ht="12" customHeight="1" x14ac:dyDescent="0.2">
      <c r="A24" s="994" t="s">
        <v>566</v>
      </c>
      <c r="B24" s="995"/>
      <c r="C24" s="993">
        <v>2400</v>
      </c>
      <c r="D24" s="1802"/>
      <c r="E24" s="1804">
        <f>'Expenditures 15-22'!K57-SUM('Expenditures 15-22'!G57,'Expenditures 15-22'!I57)+'Expenditures 15-22'!D261</f>
        <v>681044</v>
      </c>
      <c r="F24" s="1802"/>
      <c r="G24" s="1805">
        <f>'Expenditures 15-22'!K57-SUM('Expenditures 15-22'!G57,'Expenditures 15-22'!I57)+'Expenditures 15-22'!D261</f>
        <v>681044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229553</v>
      </c>
      <c r="E27" s="1804">
        <f>E8</f>
        <v>0</v>
      </c>
      <c r="F27" s="1804">
        <f>'Expenditures 15-22'!K60-SUM('Expenditures 15-22'!G60,'Expenditures 15-22'!I60)+'Expenditures 15-22'!D264-E8</f>
        <v>229553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823517</v>
      </c>
      <c r="F28" s="1806">
        <f>'Expenditures 15-22'!K61-SUM('Expenditures 15-22'!G61,'Expenditures 15-22'!I61)+'Expenditures 15-22'!K124-SUM('Expenditures 15-22'!G124,'Expenditures 15-22'!I124)+'Expenditures 15-22'!D266-E9</f>
        <v>823517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714614</v>
      </c>
      <c r="F29" s="1802"/>
      <c r="G29" s="1805">
        <f>'Expenditures 15-22'!K62-SUM('Expenditures 15-22'!G62,'Expenditures 15-22'!I62)+'Expenditures 15-22'!K125-SUM('Expenditures 15-22'!G125,'Expenditures 15-22'!I125)+'Expenditures 15-22'!K182-SUM('Expenditures 15-22'!G182,'Expenditures 15-22'!I182)+'Expenditures 15-22'!D267</f>
        <v>714614</v>
      </c>
      <c r="H29" s="985"/>
    </row>
    <row r="30" spans="1:9" ht="12" customHeight="1" x14ac:dyDescent="0.2">
      <c r="A30" s="994" t="s">
        <v>100</v>
      </c>
      <c r="B30" s="997"/>
      <c r="C30" s="993">
        <v>2560</v>
      </c>
      <c r="D30" s="1802"/>
      <c r="E30" s="1804">
        <f>'Expenditures 15-22'!K63-SUM('Expenditures 15-22'!G63,'Expenditures 15-22'!I63)+'Expenditures 15-22'!D268-E10</f>
        <v>241041</v>
      </c>
      <c r="F30" s="1802"/>
      <c r="G30" s="1804">
        <f>'Expenditures 15-22'!K63-SUM('Expenditures 15-22'!G63,'Expenditures 15-22'!I63)+'Expenditures 15-22'!D268-E10</f>
        <v>241041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4882</v>
      </c>
      <c r="F34" s="1802"/>
      <c r="G34" s="1804">
        <f>'Expenditures 15-22'!K68-SUM('Expenditures 15-22'!G68,'Expenditures 15-22'!I68)+'Expenditures 15-22'!D273</f>
        <v>4882</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13255</v>
      </c>
      <c r="E36" s="1804">
        <f>E13</f>
        <v>0</v>
      </c>
      <c r="F36" s="1804">
        <f>'Expenditures 15-22'!K70-SUM('Expenditures 15-22'!G70,'Expenditures 15-22'!I70)+'Expenditures 15-22'!D275-E13</f>
        <v>13255</v>
      </c>
      <c r="G36" s="1804">
        <f>E13</f>
        <v>0</v>
      </c>
    </row>
    <row r="37" spans="1:7" ht="12" customHeight="1" x14ac:dyDescent="0.2">
      <c r="A37" s="994" t="s">
        <v>404</v>
      </c>
      <c r="B37" s="997"/>
      <c r="C37" s="993">
        <v>2660</v>
      </c>
      <c r="D37" s="1804">
        <f>'Expenditures 15-22'!K71-SUM('Expenditures 15-22'!G71,'Expenditures 15-22'!I71)+'Expenditures 15-22'!D276-E14</f>
        <v>5042</v>
      </c>
      <c r="E37" s="1804">
        <f>E14</f>
        <v>0</v>
      </c>
      <c r="F37" s="1804">
        <f>'Expenditures 15-22'!K71-SUM('Expenditures 15-22'!G71,'Expenditures 15-22'!I71)+'Expenditures 15-22'!D276-E14</f>
        <v>5042</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665</v>
      </c>
      <c r="F39" s="1802"/>
      <c r="G39" s="1804">
        <f>'Expenditures 15-22'!K75-SUM('Expenditures 15-22'!G75,'Expenditures 15-22'!I75)+'Expenditures 15-22'!K130-SUM('Expenditures 15-22'!G130,'Expenditures 15-22'!I130)+'Expenditures 15-22'!K185-SUM('Expenditures 15-22'!G185,'Expenditures 15-22'!I185)+'Expenditures 15-22'!D280</f>
        <v>665</v>
      </c>
    </row>
    <row r="40" spans="1:7" ht="12" customHeight="1" x14ac:dyDescent="0.2">
      <c r="A40" s="990" t="s">
        <v>1823</v>
      </c>
      <c r="B40" s="991"/>
      <c r="C40" s="993"/>
      <c r="D40" s="1802"/>
      <c r="E40" s="1806">
        <f>-'Contracts Paid in CY 29'!G140</f>
        <v>-100250</v>
      </c>
      <c r="F40" s="1802"/>
      <c r="G40" s="1806">
        <f>-'Contracts Paid in CY 29'!G140</f>
        <v>-100250</v>
      </c>
    </row>
    <row r="41" spans="1:7" ht="12" customHeight="1" x14ac:dyDescent="0.2">
      <c r="A41" s="998" t="s">
        <v>156</v>
      </c>
      <c r="B41" s="999"/>
      <c r="C41" s="1000"/>
      <c r="D41" s="1806">
        <f>SUM(D19:D39)</f>
        <v>247850</v>
      </c>
      <c r="E41" s="1806">
        <f>SUM(E19:E40)</f>
        <v>12347012</v>
      </c>
      <c r="F41" s="1806">
        <f>SUM(F19:F39)</f>
        <v>1071367</v>
      </c>
      <c r="G41" s="1806">
        <f>SUM(G19:G40)</f>
        <v>11523495</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247850</v>
      </c>
      <c r="F43" s="1807" t="s">
        <v>473</v>
      </c>
      <c r="G43" s="1808">
        <f>F41</f>
        <v>1071367</v>
      </c>
    </row>
    <row r="44" spans="1:7" ht="12" customHeight="1" x14ac:dyDescent="0.2">
      <c r="A44" s="987"/>
      <c r="B44" s="162"/>
      <c r="C44" s="1001"/>
      <c r="D44" s="1807" t="s">
        <v>474</v>
      </c>
      <c r="E44" s="1808">
        <f>E41</f>
        <v>12347012</v>
      </c>
      <c r="F44" s="1807" t="s">
        <v>474</v>
      </c>
      <c r="G44" s="1808">
        <f>G41</f>
        <v>11523495</v>
      </c>
    </row>
    <row r="45" spans="1:7" ht="12" customHeight="1" x14ac:dyDescent="0.2">
      <c r="A45" s="987"/>
      <c r="B45" s="162"/>
      <c r="C45" s="162"/>
      <c r="D45" s="1809" t="s">
        <v>1006</v>
      </c>
      <c r="E45" s="1810">
        <f>(E43/E44)</f>
        <v>2.0073682604341843E-2</v>
      </c>
      <c r="F45" s="1809" t="s">
        <v>1006</v>
      </c>
      <c r="G45" s="1810">
        <f>(G43/G44)</f>
        <v>9.2972401168221974E-2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9" activePane="bottomLeft" state="frozen"/>
      <selection activeCell="I42" sqref="I42:O42"/>
      <selection pane="bottomLeft" activeCell="I42" sqref="I42:O4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7.5703125" style="1878" bestFit="1" customWidth="1"/>
    <col min="9" max="9" width="4" style="1878" bestFit="1" customWidth="1"/>
    <col min="10" max="10" width="2.7109375" style="1878" bestFit="1" customWidth="1"/>
    <col min="11" max="11" width="9" style="1878" customWidth="1"/>
    <col min="12" max="16384" width="9.140625" style="1847"/>
  </cols>
  <sheetData>
    <row r="1" spans="1:10" x14ac:dyDescent="0.2">
      <c r="A1" s="2300" t="s">
        <v>1379</v>
      </c>
      <c r="B1" s="2300"/>
      <c r="C1" s="2300"/>
      <c r="D1" s="2300"/>
      <c r="E1" s="2300"/>
      <c r="F1" s="2300"/>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1" t="s">
        <v>1546</v>
      </c>
      <c r="B5" s="2302"/>
      <c r="C5" s="2303"/>
      <c r="D5" s="2303"/>
      <c r="E5" s="2303"/>
      <c r="F5" s="2303"/>
    </row>
    <row r="6" spans="1:10" ht="12" customHeight="1" x14ac:dyDescent="0.25">
      <c r="A6" s="1850"/>
      <c r="B6" s="1851"/>
      <c r="C6" s="2304" t="str">
        <f>COVER!A17</f>
        <v>Gower SD 62</v>
      </c>
      <c r="D6" s="2304"/>
      <c r="E6" s="2304"/>
      <c r="F6" s="1852"/>
    </row>
    <row r="7" spans="1:10" ht="11.25" customHeight="1" thickBot="1" x14ac:dyDescent="0.3">
      <c r="A7" s="1850"/>
      <c r="B7" s="1851"/>
      <c r="C7" s="2305">
        <f>COVER!A13</f>
        <v>19022062002</v>
      </c>
      <c r="D7" s="2305"/>
      <c r="E7" s="2305"/>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945" t="s">
        <v>2065</v>
      </c>
      <c r="D16" s="1945" t="s">
        <v>2065</v>
      </c>
      <c r="E16" s="1947"/>
      <c r="F16" s="1946" t="s">
        <v>2088</v>
      </c>
      <c r="H16" s="1878">
        <f t="shared" si="0"/>
        <v>5</v>
      </c>
      <c r="I16" s="1878">
        <f t="shared" si="1"/>
        <v>5</v>
      </c>
      <c r="J16" s="1878">
        <f t="shared" si="2"/>
        <v>0</v>
      </c>
    </row>
    <row r="17" spans="1:12" ht="12" customHeight="1" x14ac:dyDescent="0.2">
      <c r="A17" s="1863" t="s">
        <v>1389</v>
      </c>
      <c r="B17" s="1864"/>
      <c r="C17" s="1945"/>
      <c r="D17" s="1945"/>
      <c r="E17" s="1947"/>
      <c r="F17" s="1946"/>
      <c r="H17" s="1878">
        <f t="shared" si="0"/>
        <v>0</v>
      </c>
      <c r="I17" s="1878">
        <f t="shared" si="1"/>
        <v>0</v>
      </c>
      <c r="J17" s="1878">
        <f t="shared" si="2"/>
        <v>0</v>
      </c>
    </row>
    <row r="18" spans="1:12" ht="12" customHeight="1" x14ac:dyDescent="0.2">
      <c r="A18" s="1863" t="s">
        <v>1390</v>
      </c>
      <c r="B18" s="1864"/>
      <c r="C18" s="1945"/>
      <c r="D18" s="1945"/>
      <c r="E18" s="1947"/>
      <c r="F18" s="1946"/>
      <c r="H18" s="1878">
        <f t="shared" si="0"/>
        <v>0</v>
      </c>
      <c r="I18" s="1878">
        <f t="shared" si="1"/>
        <v>0</v>
      </c>
      <c r="J18" s="1878">
        <f t="shared" si="2"/>
        <v>0</v>
      </c>
    </row>
    <row r="19" spans="1:12" ht="12" customHeight="1" x14ac:dyDescent="0.2">
      <c r="A19" s="1863" t="s">
        <v>1527</v>
      </c>
      <c r="B19" s="1864"/>
      <c r="C19" s="1945" t="s">
        <v>2065</v>
      </c>
      <c r="D19" s="1945" t="s">
        <v>2065</v>
      </c>
      <c r="E19" s="1947"/>
      <c r="F19" s="1946" t="s">
        <v>2098</v>
      </c>
      <c r="H19" s="1878">
        <f t="shared" si="0"/>
        <v>5</v>
      </c>
      <c r="I19" s="1878">
        <f t="shared" si="1"/>
        <v>5</v>
      </c>
      <c r="J19" s="1878">
        <f t="shared" si="2"/>
        <v>0</v>
      </c>
    </row>
    <row r="20" spans="1:12" ht="12" customHeight="1" x14ac:dyDescent="0.2">
      <c r="A20" s="1863" t="s">
        <v>1528</v>
      </c>
      <c r="B20" s="1864"/>
      <c r="C20" s="1945" t="s">
        <v>2065</v>
      </c>
      <c r="D20" s="1945" t="s">
        <v>2065</v>
      </c>
      <c r="E20" s="1947"/>
      <c r="F20" s="1946" t="s">
        <v>2099</v>
      </c>
      <c r="H20" s="1878">
        <f t="shared" si="0"/>
        <v>5</v>
      </c>
      <c r="I20" s="1878">
        <f t="shared" si="1"/>
        <v>5</v>
      </c>
      <c r="J20" s="1878">
        <f t="shared" si="2"/>
        <v>0</v>
      </c>
    </row>
    <row r="21" spans="1:12" ht="12" customHeight="1" x14ac:dyDescent="0.2">
      <c r="A21" s="1863" t="s">
        <v>1529</v>
      </c>
      <c r="B21" s="1864"/>
      <c r="C21" s="1945"/>
      <c r="D21" s="1945"/>
      <c r="E21" s="1947"/>
      <c r="F21" s="1946"/>
      <c r="H21" s="1878">
        <f t="shared" si="0"/>
        <v>0</v>
      </c>
      <c r="I21" s="1878">
        <f t="shared" si="1"/>
        <v>0</v>
      </c>
      <c r="J21" s="1878">
        <f t="shared" si="2"/>
        <v>0</v>
      </c>
    </row>
    <row r="22" spans="1:12" ht="12" customHeight="1" x14ac:dyDescent="0.2">
      <c r="A22" s="1863" t="s">
        <v>1530</v>
      </c>
      <c r="B22" s="1864"/>
      <c r="C22" s="1945"/>
      <c r="D22" s="1945"/>
      <c r="E22" s="1947"/>
      <c r="F22" s="1946"/>
      <c r="H22" s="1878">
        <f t="shared" si="0"/>
        <v>0</v>
      </c>
      <c r="I22" s="1878">
        <f t="shared" si="1"/>
        <v>0</v>
      </c>
      <c r="J22" s="1878">
        <f t="shared" si="2"/>
        <v>0</v>
      </c>
    </row>
    <row r="23" spans="1:12" ht="12" customHeight="1" x14ac:dyDescent="0.2">
      <c r="A23" s="1863" t="s">
        <v>1531</v>
      </c>
      <c r="B23" s="1864"/>
      <c r="C23" s="1945"/>
      <c r="D23" s="1945"/>
      <c r="E23" s="1947"/>
      <c r="F23" s="1946"/>
      <c r="H23" s="1878">
        <f t="shared" si="0"/>
        <v>0</v>
      </c>
      <c r="I23" s="1878">
        <f t="shared" si="1"/>
        <v>0</v>
      </c>
      <c r="J23" s="1878">
        <f t="shared" si="2"/>
        <v>0</v>
      </c>
    </row>
    <row r="24" spans="1:12" ht="12" customHeight="1" x14ac:dyDescent="0.2">
      <c r="A24" s="1863" t="s">
        <v>1532</v>
      </c>
      <c r="B24" s="1864"/>
      <c r="C24" s="1945" t="s">
        <v>2065</v>
      </c>
      <c r="D24" s="1945" t="s">
        <v>2065</v>
      </c>
      <c r="E24" s="1947"/>
      <c r="F24" s="1946" t="s">
        <v>2100</v>
      </c>
      <c r="H24" s="1878">
        <f t="shared" si="0"/>
        <v>5</v>
      </c>
      <c r="I24" s="1878">
        <f t="shared" si="1"/>
        <v>5</v>
      </c>
      <c r="J24" s="1878">
        <f t="shared" si="2"/>
        <v>0</v>
      </c>
    </row>
    <row r="25" spans="1:12" ht="12" customHeight="1" x14ac:dyDescent="0.2">
      <c r="A25" s="1863" t="s">
        <v>1533</v>
      </c>
      <c r="B25" s="1864"/>
      <c r="C25" s="1945"/>
      <c r="D25" s="1945"/>
      <c r="E25" s="1947"/>
      <c r="F25" s="1946"/>
      <c r="H25" s="1878">
        <f t="shared" si="0"/>
        <v>0</v>
      </c>
      <c r="I25" s="1878">
        <f t="shared" si="1"/>
        <v>0</v>
      </c>
      <c r="J25" s="1878">
        <f t="shared" si="2"/>
        <v>0</v>
      </c>
    </row>
    <row r="26" spans="1:12" ht="12" customHeight="1" x14ac:dyDescent="0.2">
      <c r="A26" s="1863" t="s">
        <v>1534</v>
      </c>
      <c r="B26" s="1864"/>
      <c r="C26" s="1945" t="s">
        <v>2065</v>
      </c>
      <c r="D26" s="1945" t="s">
        <v>2065</v>
      </c>
      <c r="E26" s="1947"/>
      <c r="F26" s="1946" t="s">
        <v>2101</v>
      </c>
      <c r="H26" s="1878">
        <f t="shared" si="0"/>
        <v>5</v>
      </c>
      <c r="I26" s="1878">
        <f t="shared" si="1"/>
        <v>5</v>
      </c>
      <c r="J26" s="1878">
        <f t="shared" si="2"/>
        <v>0</v>
      </c>
    </row>
    <row r="27" spans="1:12" ht="18.75" x14ac:dyDescent="0.2">
      <c r="A27" s="1863" t="s">
        <v>1535</v>
      </c>
      <c r="B27" s="1864"/>
      <c r="C27" s="1945"/>
      <c r="D27" s="1945"/>
      <c r="E27" s="1947"/>
      <c r="F27" s="1946"/>
      <c r="H27" s="1878">
        <f t="shared" si="0"/>
        <v>0</v>
      </c>
      <c r="I27" s="1878">
        <f t="shared" si="1"/>
        <v>0</v>
      </c>
      <c r="J27" s="1878">
        <f t="shared" si="2"/>
        <v>0</v>
      </c>
    </row>
    <row r="28" spans="1:12" ht="12" customHeight="1" x14ac:dyDescent="0.2">
      <c r="A28" s="1863" t="s">
        <v>1536</v>
      </c>
      <c r="B28" s="1864"/>
      <c r="C28" s="1945" t="s">
        <v>2065</v>
      </c>
      <c r="D28" s="1945" t="s">
        <v>2065</v>
      </c>
      <c r="E28" s="1947"/>
      <c r="F28" s="1946" t="s">
        <v>2102</v>
      </c>
      <c r="H28" s="1878">
        <f t="shared" si="0"/>
        <v>5</v>
      </c>
      <c r="I28" s="1878">
        <f t="shared" si="1"/>
        <v>5</v>
      </c>
      <c r="J28" s="1878">
        <f t="shared" si="2"/>
        <v>0</v>
      </c>
    </row>
    <row r="29" spans="1:12" ht="12" customHeight="1" x14ac:dyDescent="0.2">
      <c r="A29" s="1863" t="s">
        <v>1537</v>
      </c>
      <c r="B29" s="1864"/>
      <c r="C29" s="1945"/>
      <c r="D29" s="1945"/>
      <c r="E29" s="1947"/>
      <c r="F29" s="1946"/>
      <c r="H29" s="1878">
        <f t="shared" si="0"/>
        <v>0</v>
      </c>
      <c r="I29" s="1878">
        <f t="shared" si="1"/>
        <v>0</v>
      </c>
      <c r="J29" s="1878">
        <f t="shared" si="2"/>
        <v>0</v>
      </c>
    </row>
    <row r="30" spans="1:12" ht="12" customHeight="1" x14ac:dyDescent="0.2">
      <c r="A30" s="1863" t="s">
        <v>1538</v>
      </c>
      <c r="B30" s="1864"/>
      <c r="C30" s="1945" t="s">
        <v>2065</v>
      </c>
      <c r="D30" s="1945" t="s">
        <v>2065</v>
      </c>
      <c r="E30" s="1947"/>
      <c r="F30" s="1946" t="s">
        <v>2103</v>
      </c>
      <c r="H30" s="1878">
        <f t="shared" si="0"/>
        <v>5</v>
      </c>
      <c r="I30" s="1878">
        <f t="shared" si="1"/>
        <v>5</v>
      </c>
      <c r="J30" s="1878">
        <f t="shared" si="2"/>
        <v>0</v>
      </c>
    </row>
    <row r="31" spans="1:12" ht="12" customHeight="1" x14ac:dyDescent="0.2">
      <c r="A31" s="1863" t="s">
        <v>1539</v>
      </c>
      <c r="B31" s="1864"/>
      <c r="C31" s="1945"/>
      <c r="D31" s="1945"/>
      <c r="E31" s="1947"/>
      <c r="F31" s="1946"/>
      <c r="H31" s="1878">
        <f t="shared" si="0"/>
        <v>0</v>
      </c>
      <c r="I31" s="1878">
        <f t="shared" si="1"/>
        <v>0</v>
      </c>
      <c r="J31" s="1878">
        <f t="shared" si="2"/>
        <v>0</v>
      </c>
      <c r="L31" s="1869"/>
    </row>
    <row r="32" spans="1:12" ht="12" customHeight="1" x14ac:dyDescent="0.2">
      <c r="A32" s="1863" t="s">
        <v>1540</v>
      </c>
      <c r="B32" s="1864"/>
      <c r="C32" s="1945" t="s">
        <v>2065</v>
      </c>
      <c r="D32" s="1945" t="s">
        <v>2065</v>
      </c>
      <c r="E32" s="1947"/>
      <c r="F32" s="1946" t="s">
        <v>2103</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0</v>
      </c>
      <c r="K34" s="1878">
        <f>SUM(H34:J34)</f>
        <v>80</v>
      </c>
    </row>
    <row r="35" spans="1:11" ht="12" customHeight="1" x14ac:dyDescent="0.2">
      <c r="A35" s="1871" t="s">
        <v>1392</v>
      </c>
      <c r="B35" s="1872"/>
      <c r="C35" s="2306"/>
      <c r="D35" s="2306"/>
      <c r="E35" s="2306"/>
      <c r="F35" s="2307"/>
    </row>
    <row r="36" spans="1:11" ht="12" customHeight="1" x14ac:dyDescent="0.2">
      <c r="A36" s="2297" t="s">
        <v>2104</v>
      </c>
      <c r="B36" s="2298"/>
      <c r="C36" s="2298"/>
      <c r="D36" s="2298"/>
      <c r="E36" s="2298"/>
      <c r="F36" s="2299"/>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73"/>
      <c r="B39" s="1873"/>
      <c r="C39" s="1873"/>
      <c r="D39" s="1873"/>
      <c r="E39" s="1873"/>
      <c r="F39" s="1873"/>
    </row>
    <row r="40" spans="1:11" s="1870" customFormat="1" ht="12" customHeight="1" x14ac:dyDescent="0.25">
      <c r="A40" s="1874" t="s">
        <v>1391</v>
      </c>
      <c r="B40" s="1875"/>
      <c r="C40" s="2317"/>
      <c r="D40" s="2317"/>
      <c r="E40" s="2317"/>
      <c r="F40" s="2318"/>
      <c r="H40" s="1879"/>
      <c r="I40" s="1879"/>
      <c r="J40" s="1879"/>
      <c r="K40" s="1879"/>
    </row>
    <row r="41" spans="1:11" s="1870" customFormat="1" ht="12" customHeight="1" x14ac:dyDescent="0.25">
      <c r="A41" s="2319" t="s">
        <v>2105</v>
      </c>
      <c r="B41" s="2320"/>
      <c r="C41" s="2320"/>
      <c r="D41" s="2320"/>
      <c r="E41" s="2320"/>
      <c r="F41" s="2321"/>
      <c r="H41" s="1879"/>
      <c r="I41" s="1879"/>
      <c r="J41" s="1879"/>
      <c r="K41" s="1879"/>
    </row>
    <row r="42" spans="1:11" s="1870" customFormat="1" ht="12" customHeight="1" x14ac:dyDescent="0.25">
      <c r="A42" s="2319"/>
      <c r="B42" s="2320"/>
      <c r="C42" s="2320"/>
      <c r="D42" s="2320"/>
      <c r="E42" s="2320"/>
      <c r="F42" s="2321"/>
      <c r="H42" s="1879"/>
      <c r="I42" s="1879"/>
      <c r="J42" s="1879"/>
      <c r="K42" s="1879"/>
    </row>
    <row r="43" spans="1:11" s="1870" customFormat="1" ht="15" x14ac:dyDescent="0.25">
      <c r="A43" s="2322" t="s">
        <v>2106</v>
      </c>
      <c r="B43" s="2323"/>
      <c r="C43" s="2323"/>
      <c r="D43" s="2323"/>
      <c r="E43" s="2323"/>
      <c r="F43" s="2324"/>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42" sqref="I42:O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0" t="str">
        <f>COVER!A17</f>
        <v>Gower SD 62</v>
      </c>
      <c r="J6" s="2331"/>
      <c r="Q6" s="1664"/>
    </row>
    <row r="7" spans="1:17" x14ac:dyDescent="0.2">
      <c r="A7" s="2332" t="s">
        <v>869</v>
      </c>
      <c r="B7" s="2333"/>
      <c r="C7" s="2333"/>
      <c r="D7" s="2333"/>
      <c r="E7" s="2334"/>
      <c r="F7" s="1017"/>
      <c r="G7" s="1009"/>
      <c r="H7" s="1016" t="s">
        <v>372</v>
      </c>
      <c r="I7" s="2335">
        <f>COVER!A13</f>
        <v>19022062002</v>
      </c>
      <c r="J7" s="233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6" t="s">
        <v>481</v>
      </c>
      <c r="B11" s="2337"/>
      <c r="C11" s="233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529806</v>
      </c>
      <c r="F12" s="1039"/>
      <c r="G12" s="1811">
        <f t="shared" ref="G12:G18" si="0">SUM(E12:F12)</f>
        <v>529806</v>
      </c>
      <c r="H12" s="1040">
        <v>373138</v>
      </c>
      <c r="I12" s="1039"/>
      <c r="J12" s="1811">
        <f t="shared" ref="J12:J18" si="1">SUM(H12:I12)</f>
        <v>373138</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9" t="s">
        <v>7</v>
      </c>
      <c r="C18" s="2340"/>
      <c r="D18" s="234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529806</v>
      </c>
      <c r="F19" s="1813">
        <f t="shared" si="2"/>
        <v>0</v>
      </c>
      <c r="G19" s="1813">
        <f t="shared" si="2"/>
        <v>529806</v>
      </c>
      <c r="H19" s="1813">
        <f t="shared" si="2"/>
        <v>373138</v>
      </c>
      <c r="I19" s="1813">
        <f t="shared" si="2"/>
        <v>0</v>
      </c>
      <c r="J19" s="1813">
        <f t="shared" si="2"/>
        <v>373138</v>
      </c>
    </row>
    <row r="20" spans="1:10" ht="13.5" thickTop="1" x14ac:dyDescent="0.2">
      <c r="A20" s="1035">
        <v>9</v>
      </c>
      <c r="B20" s="2342" t="s">
        <v>1979</v>
      </c>
      <c r="C20" s="2342"/>
      <c r="D20" s="2343"/>
      <c r="E20" s="1046"/>
      <c r="F20" s="1046"/>
      <c r="G20" s="1046"/>
      <c r="H20" s="1046"/>
      <c r="I20" s="1046"/>
      <c r="J20" s="1814">
        <f>IF(AND(G19&gt;0,J19&gt;0),(((J19-G19)/G19)),"Enter Budget Data")</f>
        <v>-0.29570824037477872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8"/>
      <c r="D26" s="2348"/>
      <c r="E26" s="1050"/>
      <c r="F26" s="2347"/>
      <c r="G26" s="2347"/>
    </row>
    <row r="27" spans="1:10" x14ac:dyDescent="0.2">
      <c r="B27" s="1047"/>
      <c r="C27" s="1051" t="s">
        <v>1033</v>
      </c>
      <c r="D27" s="1052"/>
      <c r="E27" s="1053"/>
      <c r="F27" s="2344" t="s">
        <v>1509</v>
      </c>
      <c r="G27" s="2344"/>
    </row>
    <row r="28" spans="1:10" ht="28.5" customHeight="1" x14ac:dyDescent="0.2">
      <c r="B28" s="1047"/>
      <c r="C28" s="2346"/>
      <c r="D28" s="2346"/>
      <c r="E28" s="1054"/>
      <c r="F28" s="2346"/>
      <c r="G28" s="2346"/>
    </row>
    <row r="29" spans="1:10" x14ac:dyDescent="0.2">
      <c r="B29" s="1047"/>
      <c r="C29" s="1055" t="s">
        <v>1561</v>
      </c>
      <c r="E29" s="1056"/>
      <c r="F29" s="2345" t="s">
        <v>1510</v>
      </c>
      <c r="G29" s="234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2"/>
    </row>
    <row r="36" spans="1:10" ht="13.5" customHeight="1" x14ac:dyDescent="0.2">
      <c r="B36" s="1061"/>
      <c r="C36" s="2329" t="s">
        <v>1981</v>
      </c>
      <c r="D36" s="2328"/>
      <c r="E36" s="2328"/>
      <c r="F36" s="2328"/>
      <c r="G36" s="2328"/>
      <c r="H36" s="2328"/>
      <c r="I36" s="2328"/>
      <c r="J36" s="1063"/>
    </row>
    <row r="37" spans="1:10" ht="22.5" customHeight="1" x14ac:dyDescent="0.2">
      <c r="C37" s="2328"/>
      <c r="D37" s="2328"/>
      <c r="E37" s="2328"/>
      <c r="F37" s="2328"/>
      <c r="G37" s="2328"/>
      <c r="H37" s="2328"/>
      <c r="I37" s="2328"/>
      <c r="J37" s="1063"/>
    </row>
    <row r="38" spans="1:10" ht="7.5" customHeight="1" x14ac:dyDescent="0.2">
      <c r="C38" s="1062"/>
      <c r="D38" s="1064"/>
      <c r="E38" s="1065"/>
      <c r="F38" s="1066"/>
      <c r="G38" s="1065"/>
    </row>
    <row r="39" spans="1:10" ht="13.5" customHeight="1" x14ac:dyDescent="0.2">
      <c r="B39" s="1061"/>
      <c r="C39" s="2325" t="s">
        <v>882</v>
      </c>
      <c r="D39" s="2326"/>
      <c r="E39" s="2326"/>
      <c r="F39" s="2326"/>
      <c r="G39" s="2326"/>
      <c r="H39" s="2326"/>
      <c r="I39" s="232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42" sqref="I42:O4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Gower SD 62</v>
      </c>
    </row>
    <row r="65" spans="2:2" x14ac:dyDescent="0.2">
      <c r="B65" s="1070">
        <f>COVER!A13</f>
        <v>19022062002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42" sqref="I42:O4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42" sqref="I42:O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9" t="s">
        <v>1685</v>
      </c>
      <c r="B18" s="234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1066800</xdr:colOff>
                <xdr:row>2</xdr:row>
                <xdr:rowOff>9525</xdr:rowOff>
              </from>
              <to>
                <xdr:col>1</xdr:col>
                <xdr:colOff>1981200</xdr:colOff>
                <xdr:row>6</xdr:row>
                <xdr:rowOff>47625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42" sqref="I42:O4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1690</v>
      </c>
      <c r="B1" s="2351"/>
      <c r="C1" s="2351"/>
      <c r="D1" s="2351"/>
      <c r="E1" s="2351"/>
      <c r="F1" s="2352"/>
    </row>
    <row r="2" spans="1:8" ht="45" customHeight="1" x14ac:dyDescent="0.2">
      <c r="A2" s="2360" t="s">
        <v>1985</v>
      </c>
      <c r="B2" s="2361"/>
      <c r="C2" s="2361"/>
      <c r="D2" s="2361"/>
      <c r="E2" s="2361"/>
      <c r="F2" s="2362"/>
      <c r="G2" s="1074"/>
      <c r="H2" s="1074"/>
    </row>
    <row r="3" spans="1:8" ht="57" customHeight="1" x14ac:dyDescent="0.2">
      <c r="A3" s="2363" t="s">
        <v>1686</v>
      </c>
      <c r="B3" s="2364"/>
      <c r="C3" s="2364"/>
      <c r="D3" s="2364"/>
      <c r="E3" s="2364"/>
      <c r="F3" s="2365"/>
      <c r="G3" s="1074"/>
      <c r="H3" s="1074"/>
    </row>
    <row r="4" spans="1:8" ht="14.25" customHeight="1" x14ac:dyDescent="0.2">
      <c r="A4" s="2369" t="s">
        <v>1986</v>
      </c>
      <c r="B4" s="2370"/>
      <c r="C4" s="2370"/>
      <c r="D4" s="2370"/>
      <c r="E4" s="2370"/>
      <c r="F4" s="2371"/>
      <c r="G4" s="1074"/>
      <c r="H4" s="1074"/>
    </row>
    <row r="5" spans="1:8" ht="14.25" customHeight="1" x14ac:dyDescent="0.2">
      <c r="A5" s="2372" t="s">
        <v>1982</v>
      </c>
      <c r="B5" s="2373"/>
      <c r="C5" s="2373"/>
      <c r="D5" s="2373"/>
      <c r="E5" s="2373"/>
      <c r="F5" s="2374"/>
      <c r="G5" s="1074"/>
      <c r="H5" s="1074"/>
    </row>
    <row r="6" spans="1:8" s="1075" customFormat="1" ht="41.25" customHeight="1" x14ac:dyDescent="0.2">
      <c r="A6" s="2366" t="s">
        <v>1691</v>
      </c>
      <c r="B6" s="2367"/>
      <c r="C6" s="2367"/>
      <c r="D6" s="2367"/>
      <c r="E6" s="2367"/>
      <c r="F6" s="236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11386997</v>
      </c>
      <c r="C8" s="1815">
        <f>'Acct Summary 7-8'!D8</f>
        <v>1278103</v>
      </c>
      <c r="D8" s="1815">
        <f>'Acct Summary 7-8'!F8</f>
        <v>666826</v>
      </c>
      <c r="E8" s="1815">
        <f>'Acct Summary 7-8'!I8</f>
        <v>0</v>
      </c>
      <c r="F8" s="1815">
        <f>SUM(B8:E8)</f>
        <v>13331926</v>
      </c>
    </row>
    <row r="9" spans="1:8" s="1079" customFormat="1" ht="14.25" customHeight="1" thickBot="1" x14ac:dyDescent="0.25">
      <c r="A9" s="1078" t="s">
        <v>1369</v>
      </c>
      <c r="B9" s="1816">
        <f>'Acct Summary 7-8'!C17</f>
        <v>11399033</v>
      </c>
      <c r="C9" s="1816">
        <f>'Acct Summary 7-8'!D17</f>
        <v>1080497</v>
      </c>
      <c r="D9" s="1816">
        <f>'Acct Summary 7-8'!F17</f>
        <v>680986</v>
      </c>
      <c r="E9" s="1815"/>
      <c r="F9" s="1815">
        <f>SUM(B9:E9)</f>
        <v>13160516</v>
      </c>
    </row>
    <row r="10" spans="1:8" s="1079" customFormat="1" ht="14.25" thickTop="1" thickBot="1" x14ac:dyDescent="0.25">
      <c r="A10" s="1080" t="s">
        <v>1370</v>
      </c>
      <c r="B10" s="1817">
        <f>(B8-B9)</f>
        <v>-12036</v>
      </c>
      <c r="C10" s="1817">
        <f>(C8-C9)</f>
        <v>197606</v>
      </c>
      <c r="D10" s="1817">
        <f>(D8-D9)</f>
        <v>-14160</v>
      </c>
      <c r="E10" s="1816">
        <f>(E8-E9)</f>
        <v>0</v>
      </c>
      <c r="F10" s="1818">
        <f>SUM(F8-F9)</f>
        <v>171410</v>
      </c>
    </row>
    <row r="11" spans="1:8" s="1079" customFormat="1" ht="14.25" thickTop="1" thickBot="1" x14ac:dyDescent="0.25">
      <c r="A11" s="1081" t="s">
        <v>1983</v>
      </c>
      <c r="B11" s="1819">
        <f>'Acct Summary 7-8'!C81</f>
        <v>10498129</v>
      </c>
      <c r="C11" s="1819">
        <f>'Acct Summary 7-8'!D81</f>
        <v>885322</v>
      </c>
      <c r="D11" s="1819">
        <f>'Acct Summary 7-8'!F81</f>
        <v>501485</v>
      </c>
      <c r="E11" s="1819">
        <f>'Acct Summary 7-8'!I81</f>
        <v>0</v>
      </c>
      <c r="F11" s="1820">
        <f>SUM(B11:E11)</f>
        <v>11884936</v>
      </c>
    </row>
    <row r="12" spans="1:8" ht="16.5" customHeight="1" thickTop="1" x14ac:dyDescent="0.2">
      <c r="A12" s="1082"/>
      <c r="B12" s="1083"/>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4"/>
      <c r="B13" s="1085"/>
      <c r="C13" s="2354"/>
      <c r="D13" s="2355"/>
      <c r="E13" s="2355"/>
      <c r="F13" s="2356"/>
      <c r="H13" s="1074"/>
    </row>
    <row r="14" spans="1:8" ht="19.5" customHeight="1" x14ac:dyDescent="0.2">
      <c r="A14" s="1084"/>
      <c r="B14" s="1085"/>
      <c r="C14" s="2354"/>
      <c r="D14" s="2355"/>
      <c r="E14" s="2355"/>
      <c r="F14" s="2356"/>
      <c r="H14" s="1074"/>
    </row>
    <row r="15" spans="1:8" ht="17.25" customHeight="1" x14ac:dyDescent="0.2">
      <c r="A15" s="1084"/>
      <c r="B15" s="1085"/>
      <c r="C15" s="2357"/>
      <c r="D15" s="2358"/>
      <c r="E15" s="2358"/>
      <c r="F15" s="2359"/>
      <c r="H15" s="1074"/>
    </row>
    <row r="16" spans="1:8" s="310" customFormat="1" ht="51.75" hidden="1" customHeight="1" x14ac:dyDescent="0.2">
      <c r="A16" s="2353" t="s">
        <v>1687</v>
      </c>
      <c r="B16" s="2353"/>
      <c r="C16" s="2353"/>
      <c r="D16" s="2353"/>
      <c r="E16" s="235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I42" sqref="I42:O4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5" t="s">
        <v>665</v>
      </c>
      <c r="B3" s="2376"/>
      <c r="C3" s="2376"/>
      <c r="D3" s="237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6" t="s">
        <v>1504</v>
      </c>
      <c r="D7" s="238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8" t="s">
        <v>1008</v>
      </c>
      <c r="B15" s="2379"/>
      <c r="C15" s="2379"/>
      <c r="D15" s="2380"/>
    </row>
    <row r="16" spans="1:4" s="668" customFormat="1" ht="24" customHeight="1" x14ac:dyDescent="0.2">
      <c r="A16" s="2381" t="s">
        <v>663</v>
      </c>
      <c r="B16" s="2382"/>
      <c r="C16" s="2382"/>
      <c r="D16" s="238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0" t="s">
        <v>314</v>
      </c>
      <c r="D21" s="2391"/>
    </row>
    <row r="22" spans="1:10" ht="12.75" x14ac:dyDescent="0.2">
      <c r="A22" s="1139"/>
      <c r="B22" s="1140">
        <v>2</v>
      </c>
      <c r="C22" s="2388" t="s">
        <v>1524</v>
      </c>
      <c r="D22" s="238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2" t="s">
        <v>536</v>
      </c>
      <c r="D43" s="239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4" t="s">
        <v>784</v>
      </c>
      <c r="D56" s="238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84" t="s">
        <v>1696</v>
      </c>
      <c r="D70" s="238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29'!D140&gt;0,"OK","PLEASE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19022062002</v>
      </c>
    </row>
    <row r="3" spans="1:2" x14ac:dyDescent="0.2">
      <c r="A3" t="s">
        <v>956</v>
      </c>
      <c r="B3" s="138" t="str">
        <f>COVER!A15</f>
        <v>DuPage County</v>
      </c>
    </row>
    <row r="4" spans="1:2" x14ac:dyDescent="0.2">
      <c r="A4" t="s">
        <v>1007</v>
      </c>
      <c r="B4" s="138" t="str">
        <f>COVER!A17</f>
        <v>Gower SD 62</v>
      </c>
    </row>
    <row r="5" spans="1:2" x14ac:dyDescent="0.2">
      <c r="A5" t="s">
        <v>704</v>
      </c>
      <c r="B5" s="138" t="str">
        <f>COVER!A38</f>
        <v>Victor Simon III, Ed. 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066-003284</v>
      </c>
    </row>
    <row r="16" spans="1:2" x14ac:dyDescent="0.2">
      <c r="A16" t="s">
        <v>422</v>
      </c>
      <c r="B16" s="138" t="str">
        <f>COVER!T13</f>
        <v>Sikich LLP</v>
      </c>
    </row>
    <row r="17" spans="1:2" x14ac:dyDescent="0.2">
      <c r="A17" t="s">
        <v>884</v>
      </c>
      <c r="B17" s="138" t="str">
        <f>COVER!T15</f>
        <v>Anthony Cervini</v>
      </c>
    </row>
    <row r="18" spans="1:2" x14ac:dyDescent="0.2">
      <c r="A18" t="s">
        <v>1150</v>
      </c>
      <c r="B18" s="138" t="str">
        <f>COVER!T17</f>
        <v>1415 Diehl Road, Suite 400</v>
      </c>
    </row>
    <row r="19" spans="1:2" x14ac:dyDescent="0.2">
      <c r="A19" t="s">
        <v>886</v>
      </c>
      <c r="B19" s="138" t="str">
        <f>COVER!T25</f>
        <v>anthony.cervini@sikich.com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630-566-8400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10498129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10498129</v>
      </c>
      <c r="D92" s="2" t="str">
        <f t="shared" si="0"/>
        <v>Error?</v>
      </c>
    </row>
    <row r="93" spans="1:4" x14ac:dyDescent="0.2">
      <c r="A93" s="5">
        <v>32</v>
      </c>
      <c r="B93" s="138">
        <f>'Assets-Liab 5-6'!C41</f>
        <v>10498129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885322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885322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962532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962532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501485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501485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487607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487607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951820</v>
      </c>
      <c r="D273" s="2" t="str">
        <f t="shared" si="3"/>
        <v>Error?</v>
      </c>
    </row>
    <row r="274" spans="1:4" x14ac:dyDescent="0.2">
      <c r="A274" s="5">
        <v>213</v>
      </c>
      <c r="B274" s="138">
        <f>'Assets-Liab 5-6'!M17</f>
        <v>20495747</v>
      </c>
      <c r="D274" s="2" t="str">
        <f t="shared" si="3"/>
        <v>Error?</v>
      </c>
    </row>
    <row r="275" spans="1:4" x14ac:dyDescent="0.2">
      <c r="A275" s="5">
        <v>214</v>
      </c>
      <c r="B275" s="138">
        <f>'Assets-Liab 5-6'!M18</f>
        <v>1670308</v>
      </c>
      <c r="D275" s="2" t="str">
        <f t="shared" si="3"/>
        <v>Error?</v>
      </c>
    </row>
    <row r="276" spans="1:4" x14ac:dyDescent="0.2">
      <c r="A276" s="5">
        <v>215</v>
      </c>
      <c r="B276" s="138">
        <f>'Assets-Liab 5-6'!M19</f>
        <v>5468846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28586721</v>
      </c>
      <c r="C279" s="2" t="s">
        <v>573</v>
      </c>
      <c r="D279" s="2" t="str">
        <f t="shared" si="3"/>
        <v>Error?</v>
      </c>
    </row>
    <row r="280" spans="1:4" x14ac:dyDescent="0.2">
      <c r="A280" s="5">
        <v>219</v>
      </c>
      <c r="B280" s="138">
        <f>'Assets-Liab 5-6'!M40</f>
        <v>28586721</v>
      </c>
      <c r="D280" s="2" t="str">
        <f t="shared" si="3"/>
        <v>Error?</v>
      </c>
    </row>
    <row r="281" spans="1:4" x14ac:dyDescent="0.2">
      <c r="A281" s="5">
        <v>220</v>
      </c>
      <c r="B281" s="138">
        <f>'Assets-Liab 5-6'!M41</f>
        <v>28586721</v>
      </c>
      <c r="C281" s="2" t="s">
        <v>573</v>
      </c>
      <c r="D281" s="2" t="str">
        <f t="shared" si="3"/>
        <v>Error?</v>
      </c>
    </row>
    <row r="282" spans="1:4" x14ac:dyDescent="0.2">
      <c r="A282" s="5">
        <v>221</v>
      </c>
      <c r="B282" s="138">
        <f>'Assets-Liab 5-6'!N21</f>
        <v>962532</v>
      </c>
      <c r="D282" s="2" t="str">
        <f t="shared" si="3"/>
        <v>Error?</v>
      </c>
    </row>
    <row r="283" spans="1:4" x14ac:dyDescent="0.2">
      <c r="A283" s="5">
        <v>222</v>
      </c>
      <c r="B283" s="138">
        <f>'Assets-Liab 5-6'!N22</f>
        <v>3660978</v>
      </c>
      <c r="D283" s="2" t="str">
        <f t="shared" si="3"/>
        <v>Error?</v>
      </c>
    </row>
    <row r="284" spans="1:4" x14ac:dyDescent="0.2">
      <c r="A284" s="5">
        <v>223</v>
      </c>
      <c r="B284" s="138">
        <f>'Assets-Liab 5-6'!N23</f>
        <v>4623510</v>
      </c>
      <c r="C284" s="2" t="s">
        <v>573</v>
      </c>
      <c r="D284" s="2" t="str">
        <f t="shared" si="3"/>
        <v>Error?</v>
      </c>
    </row>
    <row r="285" spans="1:4" x14ac:dyDescent="0.2">
      <c r="A285" s="5">
        <v>224</v>
      </c>
      <c r="B285" s="138">
        <f>'Assets-Liab 5-6'!N36</f>
        <v>4623510</v>
      </c>
      <c r="D285" s="2" t="str">
        <f t="shared" si="3"/>
        <v>Error?</v>
      </c>
    </row>
    <row r="286" spans="1:4" x14ac:dyDescent="0.2">
      <c r="A286" s="10">
        <v>225</v>
      </c>
      <c r="D286" s="2" t="str">
        <f t="shared" si="3"/>
        <v>OK</v>
      </c>
    </row>
    <row r="287" spans="1:4" x14ac:dyDescent="0.2">
      <c r="A287" s="5">
        <v>226</v>
      </c>
      <c r="B287" s="138">
        <f>'Assets-Liab 5-6'!N37</f>
        <v>4623510</v>
      </c>
      <c r="C287" s="2" t="s">
        <v>573</v>
      </c>
      <c r="D287" s="2" t="str">
        <f t="shared" si="3"/>
        <v>Error?</v>
      </c>
    </row>
    <row r="288" spans="1:4" x14ac:dyDescent="0.2">
      <c r="A288" s="5">
        <v>227</v>
      </c>
      <c r="B288" s="138">
        <f>'Assets-Liab 5-6'!N41</f>
        <v>4623510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4102749</v>
      </c>
      <c r="D705" s="2" t="str">
        <f t="shared" si="10"/>
        <v>Error?</v>
      </c>
    </row>
    <row r="706" spans="1:4" x14ac:dyDescent="0.2">
      <c r="A706" s="5">
        <v>645</v>
      </c>
      <c r="B706" s="138">
        <f>'Expenditures 15-22'!C16</f>
        <v>94595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128077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89546</v>
      </c>
      <c r="D718" s="2" t="str">
        <f t="shared" si="10"/>
        <v>Error?</v>
      </c>
    </row>
    <row r="719" spans="1:4" x14ac:dyDescent="0.2">
      <c r="A719" s="5">
        <v>658</v>
      </c>
      <c r="B719" s="138">
        <f>'Expenditures 15-22'!C15</f>
        <v>32872</v>
      </c>
      <c r="D719" s="2" t="str">
        <f t="shared" si="10"/>
        <v>Error?</v>
      </c>
    </row>
    <row r="720" spans="1:4" x14ac:dyDescent="0.2">
      <c r="A720" s="5">
        <v>659</v>
      </c>
      <c r="B720" s="138">
        <f>'Expenditures 15-22'!C33</f>
        <v>6060608</v>
      </c>
      <c r="C720" s="2" t="s">
        <v>573</v>
      </c>
      <c r="D720" s="2" t="str">
        <f t="shared" si="10"/>
        <v>Error?</v>
      </c>
    </row>
    <row r="721" spans="1:4" x14ac:dyDescent="0.2">
      <c r="A721" s="5">
        <v>660</v>
      </c>
      <c r="B721" s="138">
        <f>'Expenditures 15-22'!C36</f>
        <v>223569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216319</v>
      </c>
      <c r="D723" s="2" t="str">
        <f t="shared" si="10"/>
        <v>Error?</v>
      </c>
    </row>
    <row r="724" spans="1:4" x14ac:dyDescent="0.2">
      <c r="A724" s="5">
        <v>663</v>
      </c>
      <c r="B724" s="138">
        <f>'Expenditures 15-22'!C39</f>
        <v>76421</v>
      </c>
      <c r="D724" s="2" t="str">
        <f t="shared" si="10"/>
        <v>Error?</v>
      </c>
    </row>
    <row r="725" spans="1:4" x14ac:dyDescent="0.2">
      <c r="A725" s="5">
        <v>664</v>
      </c>
      <c r="B725" s="138">
        <f>'Expenditures 15-22'!C40</f>
        <v>284472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800781</v>
      </c>
      <c r="C727" s="2" t="s">
        <v>573</v>
      </c>
      <c r="D727" s="2" t="str">
        <f t="shared" si="10"/>
        <v>Error?</v>
      </c>
    </row>
    <row r="728" spans="1:4" x14ac:dyDescent="0.2">
      <c r="A728" s="5">
        <v>667</v>
      </c>
      <c r="B728" s="138">
        <f>'Expenditures 15-22'!C44</f>
        <v>19513</v>
      </c>
      <c r="D728" s="2" t="str">
        <f t="shared" si="10"/>
        <v>Error?</v>
      </c>
    </row>
    <row r="729" spans="1:4" x14ac:dyDescent="0.2">
      <c r="A729" s="5">
        <v>668</v>
      </c>
      <c r="B729" s="138">
        <f>'Expenditures 15-22'!C45</f>
        <v>248368</v>
      </c>
      <c r="D729" s="2" t="str">
        <f t="shared" si="10"/>
        <v>Error?</v>
      </c>
    </row>
    <row r="730" spans="1:4" x14ac:dyDescent="0.2">
      <c r="A730" s="5">
        <v>669</v>
      </c>
      <c r="B730" s="138">
        <f>'Expenditures 15-22'!C46</f>
        <v>28</v>
      </c>
      <c r="D730" s="2" t="str">
        <f t="shared" si="10"/>
        <v>Error?</v>
      </c>
    </row>
    <row r="731" spans="1:4" x14ac:dyDescent="0.2">
      <c r="A731" s="5">
        <v>670</v>
      </c>
      <c r="B731" s="138">
        <f>'Expenditures 15-22'!C47</f>
        <v>267909</v>
      </c>
      <c r="C731" s="2" t="s">
        <v>573</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430519</v>
      </c>
      <c r="D733" s="2" t="str">
        <f t="shared" si="10"/>
        <v>Error?</v>
      </c>
    </row>
    <row r="734" spans="1:4" x14ac:dyDescent="0.2">
      <c r="A734" s="5">
        <v>673</v>
      </c>
      <c r="B734" s="138">
        <f>'Expenditures 15-22'!C53</f>
        <v>433519</v>
      </c>
      <c r="C734" s="2" t="s">
        <v>573</v>
      </c>
      <c r="D734" s="2" t="str">
        <f t="shared" si="10"/>
        <v>Error?</v>
      </c>
    </row>
    <row r="735" spans="1:4" x14ac:dyDescent="0.2">
      <c r="A735" s="5">
        <v>674</v>
      </c>
      <c r="B735" s="138">
        <f>'Expenditures 15-22'!C55</f>
        <v>499226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499226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159267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79644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238911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3303</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3000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6303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2246649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8307257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561805</v>
      </c>
      <c r="D763" s="2" t="str">
        <f t="shared" si="10"/>
        <v>Error?</v>
      </c>
    </row>
    <row r="764" spans="1:4" x14ac:dyDescent="0.2">
      <c r="A764" s="5">
        <v>703</v>
      </c>
      <c r="B764" s="138">
        <f>'Expenditures 15-22'!D16</f>
        <v>17902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23677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2633</v>
      </c>
      <c r="D776" s="2" t="str">
        <f t="shared" si="11"/>
        <v>Error?</v>
      </c>
    </row>
    <row r="777" spans="1:4" x14ac:dyDescent="0.2">
      <c r="A777" s="5">
        <v>716</v>
      </c>
      <c r="B777" s="138">
        <f>'Expenditures 15-22'!D15</f>
        <v>897</v>
      </c>
      <c r="D777" s="2" t="str">
        <f t="shared" si="11"/>
        <v>Error?</v>
      </c>
    </row>
    <row r="778" spans="1:4" x14ac:dyDescent="0.2">
      <c r="A778" s="5">
        <v>717</v>
      </c>
      <c r="B778" s="138">
        <f>'Expenditures 15-22'!D33</f>
        <v>945282</v>
      </c>
      <c r="C778" s="2" t="s">
        <v>573</v>
      </c>
      <c r="D778" s="2" t="str">
        <f t="shared" si="11"/>
        <v>Error?</v>
      </c>
    </row>
    <row r="779" spans="1:4" x14ac:dyDescent="0.2">
      <c r="A779" s="5">
        <v>718</v>
      </c>
      <c r="B779" s="138">
        <f>'Expenditures 15-22'!D36</f>
        <v>21985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9114</v>
      </c>
      <c r="D781" s="2" t="str">
        <f t="shared" si="11"/>
        <v>Error?</v>
      </c>
    </row>
    <row r="782" spans="1:4" x14ac:dyDescent="0.2">
      <c r="A782" s="5">
        <v>721</v>
      </c>
      <c r="B782" s="138">
        <f>'Expenditures 15-22'!D39</f>
        <v>1153</v>
      </c>
      <c r="D782" s="2" t="str">
        <f t="shared" si="11"/>
        <v>Error?</v>
      </c>
    </row>
    <row r="783" spans="1:4" x14ac:dyDescent="0.2">
      <c r="A783" s="5">
        <v>722</v>
      </c>
      <c r="B783" s="138">
        <f>'Expenditures 15-22'!D40</f>
        <v>45373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77625</v>
      </c>
      <c r="C785" s="2" t="s">
        <v>573</v>
      </c>
      <c r="D785" s="2" t="str">
        <f t="shared" si="11"/>
        <v>Error?</v>
      </c>
    </row>
    <row r="786" spans="1:4" x14ac:dyDescent="0.2">
      <c r="A786" s="5">
        <v>725</v>
      </c>
      <c r="B786" s="138">
        <f>'Expenditures 15-22'!D44</f>
        <v>12505</v>
      </c>
      <c r="D786" s="2" t="str">
        <f t="shared" si="11"/>
        <v>Error?</v>
      </c>
    </row>
    <row r="787" spans="1:4" x14ac:dyDescent="0.2">
      <c r="A787" s="5">
        <v>726</v>
      </c>
      <c r="B787" s="138">
        <f>'Expenditures 15-22'!D45</f>
        <v>25052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37557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83290</v>
      </c>
      <c r="D791" s="2" t="str">
        <f t="shared" si="11"/>
        <v>Error?</v>
      </c>
    </row>
    <row r="792" spans="1:4" x14ac:dyDescent="0.2">
      <c r="A792" s="5">
        <v>731</v>
      </c>
      <c r="B792" s="138">
        <f>'Expenditures 15-22'!D53</f>
        <v>83290</v>
      </c>
      <c r="C792" s="2" t="s">
        <v>573</v>
      </c>
      <c r="D792" s="2" t="str">
        <f t="shared" si="11"/>
        <v>Error?</v>
      </c>
    </row>
    <row r="793" spans="1:4" x14ac:dyDescent="0.2">
      <c r="A793" s="5">
        <v>732</v>
      </c>
      <c r="B793" s="138">
        <f>'Expenditures 15-22'!D55</f>
        <v>148639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148639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18007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9764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27771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13</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374895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1320177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10726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334458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16129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16172</v>
      </c>
      <c r="C843" s="2" t="s">
        <v>573</v>
      </c>
      <c r="D843" s="2" t="str">
        <f t="shared" si="12"/>
        <v>Error?</v>
      </c>
    </row>
    <row r="844" spans="1:4" x14ac:dyDescent="0.2">
      <c r="A844" s="5">
        <v>783</v>
      </c>
      <c r="B844" s="138">
        <f>'Expenditures 15-22'!E44</f>
        <v>34579</v>
      </c>
      <c r="D844" s="2" t="str">
        <f t="shared" si="12"/>
        <v>Error?</v>
      </c>
    </row>
    <row r="845" spans="1:4" x14ac:dyDescent="0.2">
      <c r="A845" s="5">
        <v>784</v>
      </c>
      <c r="B845" s="138">
        <f>'Expenditures 15-22'!E45</f>
        <v>182609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217188</v>
      </c>
      <c r="C847" s="2" t="s">
        <v>573</v>
      </c>
      <c r="D847" s="2" t="str">
        <f t="shared" si="12"/>
        <v>Error?</v>
      </c>
    </row>
    <row r="848" spans="1:4" x14ac:dyDescent="0.2">
      <c r="A848" s="5">
        <v>787</v>
      </c>
      <c r="B848" s="138">
        <f>'Expenditures 15-22'!E49</f>
        <v>81670</v>
      </c>
      <c r="D848" s="2" t="str">
        <f t="shared" si="12"/>
        <v>Error?</v>
      </c>
    </row>
    <row r="849" spans="1:4" x14ac:dyDescent="0.2">
      <c r="A849" s="5">
        <v>788</v>
      </c>
      <c r="B849" s="138">
        <f>'Expenditures 15-22'!E50</f>
        <v>5107</v>
      </c>
      <c r="D849" s="2" t="str">
        <f t="shared" si="12"/>
        <v>Error?</v>
      </c>
    </row>
    <row r="850" spans="1:4" x14ac:dyDescent="0.2">
      <c r="A850" s="5">
        <v>789</v>
      </c>
      <c r="B850" s="138">
        <f>'Expenditures 15-22'!E53</f>
        <v>86777</v>
      </c>
      <c r="C850" s="2" t="s">
        <v>573</v>
      </c>
      <c r="D850" s="2" t="str">
        <f t="shared" si="12"/>
        <v>Error?</v>
      </c>
    </row>
    <row r="851" spans="1:4" x14ac:dyDescent="0.2">
      <c r="A851" s="5">
        <v>790</v>
      </c>
      <c r="B851" s="138">
        <f>'Expenditures 15-22'!E55</f>
        <v>509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14589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18476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33065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9328</v>
      </c>
      <c r="D865" s="2" t="str">
        <f t="shared" si="12"/>
        <v>Error?</v>
      </c>
    </row>
    <row r="866" spans="1:4" x14ac:dyDescent="0.2">
      <c r="A866" s="10">
        <v>805</v>
      </c>
      <c r="D866" s="2" t="str">
        <f t="shared" si="12"/>
        <v>OK</v>
      </c>
    </row>
    <row r="867" spans="1:4" x14ac:dyDescent="0.2">
      <c r="A867" s="5">
        <v>806</v>
      </c>
      <c r="B867" s="138">
        <f>'Expenditures 15-22'!E71</f>
        <v>5042</v>
      </c>
      <c r="D867" s="2" t="str">
        <f t="shared" si="12"/>
        <v>Error?</v>
      </c>
    </row>
    <row r="868" spans="1:4" x14ac:dyDescent="0.2">
      <c r="A868" s="10">
        <v>807</v>
      </c>
      <c r="D868" s="2" t="str">
        <f t="shared" si="12"/>
        <v>OK</v>
      </c>
    </row>
    <row r="869" spans="1:4" x14ac:dyDescent="0.2">
      <c r="A869" s="5">
        <v>808</v>
      </c>
      <c r="B869" s="138">
        <f>'Expenditures 15-22'!E72</f>
        <v>14370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368081</v>
      </c>
      <c r="C871" s="2" t="s">
        <v>573</v>
      </c>
      <c r="D871" s="2" t="str">
        <f t="shared" si="12"/>
        <v>Error?</v>
      </c>
    </row>
    <row r="872" spans="1:4" x14ac:dyDescent="0.2">
      <c r="A872" s="5">
        <v>811</v>
      </c>
      <c r="B872" s="138">
        <f>'Expenditures 15-22'!E75</f>
        <v>350</v>
      </c>
      <c r="D872" s="2" t="str">
        <f t="shared" si="12"/>
        <v>Error?</v>
      </c>
    </row>
    <row r="873" spans="1:4" x14ac:dyDescent="0.2">
      <c r="A873" s="5">
        <v>812</v>
      </c>
      <c r="B873" s="138">
        <f>'Expenditures 15-22'!E114</f>
        <v>1036978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165644</v>
      </c>
      <c r="D879" s="2" t="str">
        <f t="shared" si="12"/>
        <v>Error?</v>
      </c>
    </row>
    <row r="880" spans="1:4" x14ac:dyDescent="0.2">
      <c r="A880" s="5">
        <v>819</v>
      </c>
      <c r="B880" s="138">
        <f>'Expenditures 15-22'!F16</f>
        <v>97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393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1248</v>
      </c>
      <c r="D892" s="2" t="str">
        <f t="shared" si="12"/>
        <v>Error?</v>
      </c>
    </row>
    <row r="893" spans="1:4" x14ac:dyDescent="0.2">
      <c r="A893" s="5">
        <v>832</v>
      </c>
      <c r="B893" s="138">
        <f>'Expenditures 15-22'!F15</f>
        <v>2426</v>
      </c>
      <c r="D893" s="2" t="str">
        <f t="shared" si="12"/>
        <v>Error?</v>
      </c>
    </row>
    <row r="894" spans="1:4" x14ac:dyDescent="0.2">
      <c r="A894" s="5">
        <v>833</v>
      </c>
      <c r="B894" s="138">
        <f>'Expenditures 15-22'!F33</f>
        <v>192249</v>
      </c>
      <c r="C894" s="2" t="s">
        <v>573</v>
      </c>
      <c r="D894" s="2" t="str">
        <f t="shared" si="12"/>
        <v>Error?</v>
      </c>
    </row>
    <row r="895" spans="1:4" x14ac:dyDescent="0.2">
      <c r="A895" s="5">
        <v>834</v>
      </c>
      <c r="B895" s="138">
        <f>'Expenditures 15-22'!F36</f>
        <v>7938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3120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457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11515</v>
      </c>
      <c r="C901" s="2" t="s">
        <v>573</v>
      </c>
      <c r="D901" s="2" t="str">
        <f t="shared" si="13"/>
        <v>Error?</v>
      </c>
    </row>
    <row r="902" spans="1:4" x14ac:dyDescent="0.2">
      <c r="A902" s="5">
        <v>841</v>
      </c>
      <c r="B902" s="138">
        <f>'Expenditures 15-22'!F44</f>
        <v>4091</v>
      </c>
      <c r="D902" s="2" t="str">
        <f t="shared" si="13"/>
        <v>Error?</v>
      </c>
    </row>
    <row r="903" spans="1:4" x14ac:dyDescent="0.2">
      <c r="A903" s="5">
        <v>842</v>
      </c>
      <c r="B903" s="138">
        <f>'Expenditures 15-22'!F45</f>
        <v>79665</v>
      </c>
      <c r="D903" s="2" t="str">
        <f t="shared" si="13"/>
        <v>Error?</v>
      </c>
    </row>
    <row r="904" spans="1:4" x14ac:dyDescent="0.2">
      <c r="A904" s="5">
        <v>843</v>
      </c>
      <c r="B904" s="138">
        <f>'Expenditures 15-22'!F46</f>
        <v>15947</v>
      </c>
      <c r="D904" s="2" t="str">
        <f t="shared" si="13"/>
        <v>Error?</v>
      </c>
    </row>
    <row r="905" spans="1:4" x14ac:dyDescent="0.2">
      <c r="A905" s="5">
        <v>844</v>
      </c>
      <c r="B905" s="138">
        <f>'Expenditures 15-22'!F47</f>
        <v>99703</v>
      </c>
      <c r="C905" s="2" t="s">
        <v>573</v>
      </c>
      <c r="D905" s="2" t="str">
        <f t="shared" si="13"/>
        <v>Error?</v>
      </c>
    </row>
    <row r="906" spans="1:4" x14ac:dyDescent="0.2">
      <c r="A906" s="5">
        <v>845</v>
      </c>
      <c r="B906" s="138">
        <f>'Expenditures 15-22'!F49</f>
        <v>4364</v>
      </c>
      <c r="D906" s="2" t="str">
        <f t="shared" si="13"/>
        <v>Error?</v>
      </c>
    </row>
    <row r="907" spans="1:4" x14ac:dyDescent="0.2">
      <c r="A907" s="5">
        <v>846</v>
      </c>
      <c r="B907" s="138">
        <f>'Expenditures 15-22'!F50</f>
        <v>3614</v>
      </c>
      <c r="D907" s="2" t="str">
        <f t="shared" si="13"/>
        <v>Error?</v>
      </c>
    </row>
    <row r="908" spans="1:4" x14ac:dyDescent="0.2">
      <c r="A908" s="5">
        <v>847</v>
      </c>
      <c r="B908" s="138">
        <f>'Expenditures 15-22'!F53</f>
        <v>7978</v>
      </c>
      <c r="C908" s="2" t="s">
        <v>573</v>
      </c>
      <c r="D908" s="2" t="str">
        <f t="shared" si="13"/>
        <v>Error?</v>
      </c>
    </row>
    <row r="909" spans="1:4" x14ac:dyDescent="0.2">
      <c r="A909" s="5">
        <v>848</v>
      </c>
      <c r="B909" s="138">
        <f>'Expenditures 15-22'!F55</f>
        <v>785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1784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121312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123096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359</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359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243436</v>
      </c>
      <c r="C929" s="2" t="s">
        <v>573</v>
      </c>
      <c r="D929" s="2" t="str">
        <f t="shared" si="13"/>
        <v>Error?</v>
      </c>
    </row>
    <row r="930" spans="1:4" x14ac:dyDescent="0.2">
      <c r="A930" s="5">
        <v>869</v>
      </c>
      <c r="B930" s="138">
        <f>'Expenditures 15-22'!F75</f>
        <v>315</v>
      </c>
      <c r="D930" s="2" t="str">
        <f t="shared" si="13"/>
        <v>Error?</v>
      </c>
    </row>
    <row r="931" spans="1:4" x14ac:dyDescent="0.2">
      <c r="A931" s="5">
        <v>870</v>
      </c>
      <c r="B931" s="138">
        <f>'Expenditures 15-22'!F114</f>
        <v>436000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20657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13980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43668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211811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211811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4439</v>
      </c>
      <c r="D965" s="2" t="str">
        <f t="shared" si="14"/>
        <v>Error?</v>
      </c>
    </row>
    <row r="966" spans="1:4" x14ac:dyDescent="0.2">
      <c r="A966" s="5">
        <v>905</v>
      </c>
      <c r="B966" s="138">
        <f>'Expenditures 15-22'!G53</f>
        <v>4439</v>
      </c>
      <c r="C966" s="2" t="s">
        <v>573</v>
      </c>
      <c r="D966" s="2" t="str">
        <f t="shared" si="14"/>
        <v>Error?</v>
      </c>
    </row>
    <row r="967" spans="1:4" x14ac:dyDescent="0.2">
      <c r="A967" s="5">
        <v>906</v>
      </c>
      <c r="B967" s="138">
        <f>'Expenditures 15-22'!G55</f>
        <v>404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404</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2223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4520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6743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223397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267065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219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11318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11537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6955</v>
      </c>
      <c r="D1022" s="2" t="str">
        <f t="shared" si="14"/>
        <v>Error?</v>
      </c>
    </row>
    <row r="1023" spans="1:4" x14ac:dyDescent="0.2">
      <c r="A1023" s="5">
        <v>962</v>
      </c>
      <c r="B1023" s="138">
        <f>'Expenditures 15-22'!H50</f>
        <v>2837</v>
      </c>
      <c r="D1023" s="2" t="str">
        <f t="shared" ref="D1023:D1086" si="15">IF(ISBLANK(B1023),"OK",IF(A1023-B1023=0,"OK","Error?"))</f>
        <v>Error?</v>
      </c>
    </row>
    <row r="1024" spans="1:4" x14ac:dyDescent="0.2">
      <c r="A1024" s="5">
        <v>963</v>
      </c>
      <c r="B1024" s="138">
        <f>'Expenditures 15-22'!H53</f>
        <v>9792</v>
      </c>
      <c r="C1024" s="2" t="s">
        <v>573</v>
      </c>
      <c r="D1024" s="2" t="str">
        <f t="shared" si="15"/>
        <v>Error?</v>
      </c>
    </row>
    <row r="1025" spans="1:4" x14ac:dyDescent="0.2">
      <c r="A1025" s="5">
        <v>964</v>
      </c>
      <c r="B1025" s="138">
        <f>'Expenditures 15-22'!H55</f>
        <v>1211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1211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7493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7493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1490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33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1523</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20019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31556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4861800</v>
      </c>
      <c r="C1093" s="2" t="s">
        <v>573</v>
      </c>
      <c r="D1093" s="2" t="str">
        <f t="shared" si="16"/>
        <v>Error?</v>
      </c>
    </row>
    <row r="1094" spans="1:4" x14ac:dyDescent="0.2">
      <c r="A1094" s="5">
        <v>1033</v>
      </c>
      <c r="B1094" s="138">
        <f>'Expenditures 15-22'!K16</f>
        <v>112594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152243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118725</v>
      </c>
      <c r="C1106" s="2" t="s">
        <v>573</v>
      </c>
      <c r="D1106" s="2" t="str">
        <f t="shared" si="16"/>
        <v>Error?</v>
      </c>
    </row>
    <row r="1107" spans="1:4" x14ac:dyDescent="0.2">
      <c r="A1107" s="5">
        <v>1046</v>
      </c>
      <c r="B1107" s="138">
        <f>'Expenditures 15-22'!K15</f>
        <v>36195</v>
      </c>
      <c r="C1107" s="2" t="s">
        <v>573</v>
      </c>
      <c r="D1107" s="2" t="str">
        <f t="shared" si="16"/>
        <v>Error?</v>
      </c>
    </row>
    <row r="1108" spans="1:4" x14ac:dyDescent="0.2">
      <c r="A1108" s="5">
        <v>1047</v>
      </c>
      <c r="B1108" s="138">
        <f>'Expenditures 15-22'!K33</f>
        <v>7587802</v>
      </c>
      <c r="C1108" s="2" t="s">
        <v>573</v>
      </c>
      <c r="D1108" s="2" t="str">
        <f t="shared" si="16"/>
        <v>Error?</v>
      </c>
    </row>
    <row r="1109" spans="1:4" x14ac:dyDescent="0.2">
      <c r="A1109" s="5">
        <v>1048</v>
      </c>
      <c r="B1109" s="138">
        <f>'Expenditures 15-22'!K36</f>
        <v>253492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244682</v>
      </c>
      <c r="C1111" s="2" t="s">
        <v>573</v>
      </c>
      <c r="D1111" s="2" t="str">
        <f t="shared" si="16"/>
        <v>Error?</v>
      </c>
    </row>
    <row r="1112" spans="1:4" x14ac:dyDescent="0.2">
      <c r="A1112" s="5">
        <v>1051</v>
      </c>
      <c r="B1112" s="138">
        <f>'Expenditures 15-22'!K39</f>
        <v>77574</v>
      </c>
      <c r="C1112" s="2" t="s">
        <v>573</v>
      </c>
      <c r="D1112" s="2" t="str">
        <f t="shared" si="16"/>
        <v>Error?</v>
      </c>
    </row>
    <row r="1113" spans="1:4" x14ac:dyDescent="0.2">
      <c r="A1113" s="5">
        <v>1052</v>
      </c>
      <c r="B1113" s="138">
        <f>'Expenditures 15-22'!K40</f>
        <v>330345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906093</v>
      </c>
      <c r="C1115" s="2" t="s">
        <v>573</v>
      </c>
      <c r="D1115" s="2" t="str">
        <f t="shared" si="16"/>
        <v>Error?</v>
      </c>
    </row>
    <row r="1116" spans="1:4" x14ac:dyDescent="0.2">
      <c r="A1116" s="5">
        <v>1055</v>
      </c>
      <c r="B1116" s="138">
        <f>'Expenditures 15-22'!K44</f>
        <v>70688</v>
      </c>
      <c r="C1116" s="2" t="s">
        <v>573</v>
      </c>
      <c r="D1116" s="2" t="str">
        <f t="shared" si="16"/>
        <v>Error?</v>
      </c>
    </row>
    <row r="1117" spans="1:4" x14ac:dyDescent="0.2">
      <c r="A1117" s="5">
        <v>1056</v>
      </c>
      <c r="B1117" s="138">
        <f>'Expenditures 15-22'!K45</f>
        <v>747505</v>
      </c>
      <c r="C1117" s="2" t="s">
        <v>573</v>
      </c>
      <c r="D1117" s="2" t="str">
        <f t="shared" si="16"/>
        <v>Error?</v>
      </c>
    </row>
    <row r="1118" spans="1:4" x14ac:dyDescent="0.2">
      <c r="A1118" s="5">
        <v>1057</v>
      </c>
      <c r="B1118" s="138">
        <f>'Expenditures 15-22'!K46</f>
        <v>15975</v>
      </c>
      <c r="C1118" s="2" t="s">
        <v>573</v>
      </c>
      <c r="D1118" s="2" t="str">
        <f t="shared" si="16"/>
        <v>Error?</v>
      </c>
    </row>
    <row r="1119" spans="1:4" x14ac:dyDescent="0.2">
      <c r="A1119" s="5">
        <v>1058</v>
      </c>
      <c r="B1119" s="138">
        <f>'Expenditures 15-22'!K47</f>
        <v>834168</v>
      </c>
      <c r="C1119" s="2" t="s">
        <v>573</v>
      </c>
      <c r="D1119" s="2" t="str">
        <f t="shared" si="16"/>
        <v>Error?</v>
      </c>
    </row>
    <row r="1120" spans="1:4" x14ac:dyDescent="0.2">
      <c r="A1120" s="5">
        <v>1059</v>
      </c>
      <c r="B1120" s="138">
        <f>'Expenditures 15-22'!K49</f>
        <v>95989</v>
      </c>
      <c r="C1120" s="2" t="s">
        <v>573</v>
      </c>
      <c r="D1120" s="2" t="str">
        <f t="shared" si="16"/>
        <v>Error?</v>
      </c>
    </row>
    <row r="1121" spans="1:4" x14ac:dyDescent="0.2">
      <c r="A1121" s="5">
        <v>1060</v>
      </c>
      <c r="B1121" s="138">
        <f>'Expenditures 15-22'!K50</f>
        <v>529806</v>
      </c>
      <c r="C1121" s="2" t="s">
        <v>573</v>
      </c>
      <c r="D1121" s="2" t="str">
        <f t="shared" si="16"/>
        <v>Error?</v>
      </c>
    </row>
    <row r="1122" spans="1:4" x14ac:dyDescent="0.2">
      <c r="A1122" s="5">
        <v>1061</v>
      </c>
      <c r="B1122" s="138">
        <f>'Expenditures 15-22'!K53</f>
        <v>625795</v>
      </c>
      <c r="C1122" s="2" t="s">
        <v>573</v>
      </c>
      <c r="D1122" s="2" t="str">
        <f t="shared" si="16"/>
        <v>Error?</v>
      </c>
    </row>
    <row r="1123" spans="1:4" x14ac:dyDescent="0.2">
      <c r="A1123" s="5">
        <v>1062</v>
      </c>
      <c r="B1123" s="138">
        <f>'Expenditures 15-22'!K55</f>
        <v>650774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650774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203363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233716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437079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4806</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12720</v>
      </c>
      <c r="C1137" s="2" t="s">
        <v>573</v>
      </c>
      <c r="D1137" s="2" t="str">
        <f t="shared" si="16"/>
        <v>Error?</v>
      </c>
    </row>
    <row r="1138" spans="1:4" x14ac:dyDescent="0.2">
      <c r="A1138" s="10">
        <v>1077</v>
      </c>
      <c r="D1138" s="2" t="str">
        <f t="shared" si="16"/>
        <v>OK</v>
      </c>
    </row>
    <row r="1139" spans="1:4" x14ac:dyDescent="0.2">
      <c r="A1139" s="5">
        <v>1078</v>
      </c>
      <c r="B1139" s="138">
        <f>'Expenditures 15-22'!K71</f>
        <v>5042</v>
      </c>
      <c r="C1139" s="2" t="s">
        <v>573</v>
      </c>
      <c r="D1139" s="2" t="str">
        <f t="shared" si="16"/>
        <v>Error?</v>
      </c>
    </row>
    <row r="1140" spans="1:4" x14ac:dyDescent="0.2">
      <c r="A1140" s="10">
        <v>1079</v>
      </c>
      <c r="D1140" s="2" t="str">
        <f t="shared" si="16"/>
        <v>OK</v>
      </c>
    </row>
    <row r="1141" spans="1:4" x14ac:dyDescent="0.2">
      <c r="A1141" s="5">
        <v>1080</v>
      </c>
      <c r="B1141" s="138">
        <f>'Expenditures 15-22'!K72</f>
        <v>22568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3476477</v>
      </c>
      <c r="C1143" s="2" t="s">
        <v>573</v>
      </c>
      <c r="D1143" s="2" t="str">
        <f t="shared" si="16"/>
        <v>Error?</v>
      </c>
    </row>
    <row r="1144" spans="1:4" x14ac:dyDescent="0.2">
      <c r="A1144" s="5">
        <v>1083</v>
      </c>
      <c r="B1144" s="138">
        <f>'Expenditures 15-22'!K75</f>
        <v>665</v>
      </c>
      <c r="C1144" s="2" t="s">
        <v>573</v>
      </c>
      <c r="D1144" s="2" t="str">
        <f t="shared" si="16"/>
        <v>Error?</v>
      </c>
    </row>
    <row r="1145" spans="1:4" x14ac:dyDescent="0.2">
      <c r="A1145" s="5">
        <v>1084</v>
      </c>
      <c r="B1145" s="138">
        <f>'Expenditures 15-22'!K102</f>
        <v>334089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11399033</v>
      </c>
      <c r="C1152" s="2" t="s">
        <v>573</v>
      </c>
      <c r="D1152" s="2" t="str">
        <f t="shared" si="17"/>
        <v>Error?</v>
      </c>
    </row>
    <row r="1153" spans="1:4" x14ac:dyDescent="0.2">
      <c r="A1153" s="5">
        <v>1092</v>
      </c>
      <c r="B1153" s="138">
        <f>'Expenditures 15-22'!K115</f>
        <v>-12036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282142</v>
      </c>
      <c r="D1221" s="2" t="str">
        <f t="shared" si="18"/>
        <v>Error?</v>
      </c>
    </row>
    <row r="1222" spans="1:4" x14ac:dyDescent="0.2">
      <c r="A1222" s="10">
        <v>1161</v>
      </c>
      <c r="D1222" s="2" t="str">
        <f t="shared" si="18"/>
        <v>OK</v>
      </c>
    </row>
    <row r="1223" spans="1:4" x14ac:dyDescent="0.2">
      <c r="A1223" s="5">
        <v>1162</v>
      </c>
      <c r="B1223" s="138">
        <f>'Expenditures 15-22'!C127</f>
        <v>282142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282142</v>
      </c>
      <c r="C1225" s="2" t="s">
        <v>573</v>
      </c>
      <c r="D1225" s="2" t="str">
        <f t="shared" si="18"/>
        <v>Error?</v>
      </c>
    </row>
    <row r="1226" spans="1:4" x14ac:dyDescent="0.2">
      <c r="A1226" s="5">
        <v>1165</v>
      </c>
      <c r="B1226" s="138">
        <f>'Expenditures 15-22'!C151</f>
        <v>282142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73473</v>
      </c>
      <c r="D1229" s="2" t="str">
        <f t="shared" si="18"/>
        <v>Error?</v>
      </c>
    </row>
    <row r="1230" spans="1:4" x14ac:dyDescent="0.2">
      <c r="A1230" s="10">
        <v>1169</v>
      </c>
      <c r="D1230" s="2" t="str">
        <f t="shared" si="18"/>
        <v>OK</v>
      </c>
    </row>
    <row r="1231" spans="1:4" x14ac:dyDescent="0.2">
      <c r="A1231" s="5">
        <v>1170</v>
      </c>
      <c r="B1231" s="138">
        <f>'Expenditures 15-22'!D127</f>
        <v>73473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73473</v>
      </c>
      <c r="C1233" s="2" t="s">
        <v>573</v>
      </c>
      <c r="D1233" s="2" t="str">
        <f t="shared" si="18"/>
        <v>Error?</v>
      </c>
    </row>
    <row r="1234" spans="1:4" x14ac:dyDescent="0.2">
      <c r="A1234" s="5">
        <v>1173</v>
      </c>
      <c r="B1234" s="138">
        <f>'Expenditures 15-22'!D151</f>
        <v>73473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27454</v>
      </c>
      <c r="D1236" s="2" t="str">
        <f t="shared" si="18"/>
        <v>Error?</v>
      </c>
    </row>
    <row r="1237" spans="1:4" x14ac:dyDescent="0.2">
      <c r="A1237" s="5">
        <v>1176</v>
      </c>
      <c r="B1237" s="138">
        <f>'Expenditures 15-22'!E124</f>
        <v>195627</v>
      </c>
      <c r="D1237" s="2" t="str">
        <f t="shared" si="18"/>
        <v>Error?</v>
      </c>
    </row>
    <row r="1238" spans="1:4" x14ac:dyDescent="0.2">
      <c r="A1238" s="10">
        <v>1177</v>
      </c>
      <c r="D1238" s="2" t="str">
        <f t="shared" si="18"/>
        <v>OK</v>
      </c>
    </row>
    <row r="1239" spans="1:4" x14ac:dyDescent="0.2">
      <c r="A1239" s="5">
        <v>1178</v>
      </c>
      <c r="B1239" s="138">
        <f>'Expenditures 15-22'!E127</f>
        <v>223081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223081</v>
      </c>
      <c r="C1241" s="2" t="s">
        <v>573</v>
      </c>
      <c r="D1241" s="2" t="str">
        <f t="shared" si="18"/>
        <v>Error?</v>
      </c>
    </row>
    <row r="1242" spans="1:4" x14ac:dyDescent="0.2">
      <c r="A1242" s="5">
        <v>1181</v>
      </c>
      <c r="B1242" s="138">
        <f>'Expenditures 15-22'!E151</f>
        <v>223081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223919</v>
      </c>
      <c r="D1245" s="2" t="str">
        <f t="shared" si="18"/>
        <v>Error?</v>
      </c>
    </row>
    <row r="1246" spans="1:4" x14ac:dyDescent="0.2">
      <c r="A1246" s="10">
        <v>1185</v>
      </c>
      <c r="D1246" s="2" t="str">
        <f t="shared" si="18"/>
        <v>OK</v>
      </c>
    </row>
    <row r="1247" spans="1:4" x14ac:dyDescent="0.2">
      <c r="A1247" s="5">
        <v>1186</v>
      </c>
      <c r="B1247" s="138">
        <f>'Expenditures 15-22'!F127</f>
        <v>223919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223919</v>
      </c>
      <c r="C1249" s="2" t="s">
        <v>573</v>
      </c>
      <c r="D1249" s="2" t="str">
        <f t="shared" si="18"/>
        <v>Error?</v>
      </c>
    </row>
    <row r="1250" spans="1:4" x14ac:dyDescent="0.2">
      <c r="A1250" s="5">
        <v>1189</v>
      </c>
      <c r="B1250" s="138">
        <f>'Expenditures 15-22'!F151</f>
        <v>223919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277882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277882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277882</v>
      </c>
      <c r="C1258" s="2" t="s">
        <v>573</v>
      </c>
      <c r="D1258" s="2" t="str">
        <f t="shared" si="18"/>
        <v>Error?</v>
      </c>
    </row>
    <row r="1259" spans="1:4" x14ac:dyDescent="0.2">
      <c r="A1259" s="5">
        <v>1198</v>
      </c>
      <c r="B1259" s="138">
        <f>'Expenditures 15-22'!G151</f>
        <v>277882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27454</v>
      </c>
      <c r="C1275" s="2" t="s">
        <v>573</v>
      </c>
      <c r="D1275" s="2" t="str">
        <f t="shared" si="18"/>
        <v>Error?</v>
      </c>
    </row>
    <row r="1276" spans="1:4" x14ac:dyDescent="0.2">
      <c r="A1276" s="5">
        <v>1215</v>
      </c>
      <c r="B1276" s="138">
        <f>'Expenditures 15-22'!K124</f>
        <v>1053043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1080497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1080497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1080497</v>
      </c>
      <c r="C1288" s="2" t="s">
        <v>573</v>
      </c>
      <c r="D1288" s="2" t="str">
        <f t="shared" si="19"/>
        <v>Error?</v>
      </c>
    </row>
    <row r="1289" spans="1:4" x14ac:dyDescent="0.2">
      <c r="A1289" s="5">
        <v>1228</v>
      </c>
      <c r="B1289" s="138">
        <f>'Expenditures 15-22'!K152</f>
        <v>197606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143700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1138700</v>
      </c>
      <c r="C1317" s="2" t="s">
        <v>573</v>
      </c>
      <c r="D1317" s="2" t="str">
        <f t="shared" si="19"/>
        <v>Error?</v>
      </c>
    </row>
    <row r="1318" spans="1:4" x14ac:dyDescent="0.2">
      <c r="A1318" s="5">
        <v>1257</v>
      </c>
      <c r="B1318" s="138">
        <f>'Expenditures 15-22'!H174</f>
        <v>1138700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143700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995000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1138700</v>
      </c>
      <c r="C1331" s="2" t="s">
        <v>573</v>
      </c>
      <c r="D1331" s="2" t="str">
        <f t="shared" si="19"/>
        <v>Error?</v>
      </c>
    </row>
    <row r="1332" spans="1:4" x14ac:dyDescent="0.2">
      <c r="A1332" s="5">
        <v>1271</v>
      </c>
      <c r="B1332" s="138">
        <f>'Expenditures 15-22'!K174</f>
        <v>1138700</v>
      </c>
      <c r="C1332" s="2" t="s">
        <v>573</v>
      </c>
      <c r="D1332" s="2" t="str">
        <f t="shared" si="19"/>
        <v>Error?</v>
      </c>
    </row>
    <row r="1333" spans="1:4" x14ac:dyDescent="0.2">
      <c r="A1333" s="5">
        <v>1272</v>
      </c>
      <c r="B1333" s="138">
        <f>'Expenditures 15-22'!K175</f>
        <v>-1479</v>
      </c>
      <c r="C1333" s="2" t="s">
        <v>573</v>
      </c>
      <c r="D1333" s="2" t="str">
        <f t="shared" si="19"/>
        <v>Error?</v>
      </c>
    </row>
    <row r="1334" spans="1:4" x14ac:dyDescent="0.2">
      <c r="A1334" s="10">
        <v>1273</v>
      </c>
      <c r="D1334" s="2" t="str">
        <f t="shared" si="19"/>
        <v>OK</v>
      </c>
    </row>
    <row r="1335" spans="1:4" x14ac:dyDescent="0.2">
      <c r="A1335" s="5">
        <v>1274</v>
      </c>
      <c r="B1335" s="138">
        <f>'Expenditures 15-22'!C182</f>
        <v>188091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188091</v>
      </c>
      <c r="C1339" s="2" t="s">
        <v>573</v>
      </c>
      <c r="D1339" s="2" t="str">
        <f t="shared" si="19"/>
        <v>Error?</v>
      </c>
    </row>
    <row r="1340" spans="1:4" x14ac:dyDescent="0.2">
      <c r="A1340" s="5">
        <v>1279</v>
      </c>
      <c r="B1340" s="138">
        <f>'Expenditures 15-22'!C210</f>
        <v>188091</v>
      </c>
      <c r="C1340" s="2" t="s">
        <v>573</v>
      </c>
      <c r="D1340" s="2" t="str">
        <f t="shared" si="19"/>
        <v>Error?</v>
      </c>
    </row>
    <row r="1341" spans="1:4" x14ac:dyDescent="0.2">
      <c r="A1341" s="5">
        <v>1280</v>
      </c>
      <c r="B1341" s="138">
        <f>'Expenditures 15-22'!D182</f>
        <v>12991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12991</v>
      </c>
      <c r="C1345" s="2" t="s">
        <v>573</v>
      </c>
      <c r="D1345" s="2" t="str">
        <f t="shared" si="20"/>
        <v>Error?</v>
      </c>
    </row>
    <row r="1346" spans="1:4" x14ac:dyDescent="0.2">
      <c r="A1346" s="5">
        <v>1285</v>
      </c>
      <c r="B1346" s="138">
        <f>'Expenditures 15-22'!D210</f>
        <v>12991</v>
      </c>
      <c r="C1346" s="2" t="s">
        <v>573</v>
      </c>
      <c r="D1346" s="2" t="str">
        <f t="shared" si="20"/>
        <v>Error?</v>
      </c>
    </row>
    <row r="1347" spans="1:4" x14ac:dyDescent="0.2">
      <c r="A1347" s="5">
        <v>1286</v>
      </c>
      <c r="B1347" s="138">
        <f>'Expenditures 15-22'!E182</f>
        <v>446715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446715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446715</v>
      </c>
      <c r="C1353" s="2" t="s">
        <v>573</v>
      </c>
      <c r="D1353" s="2" t="str">
        <f t="shared" si="20"/>
        <v>Error?</v>
      </c>
    </row>
    <row r="1354" spans="1:4" x14ac:dyDescent="0.2">
      <c r="A1354" s="5">
        <v>1293</v>
      </c>
      <c r="B1354" s="138">
        <f>'Expenditures 15-22'!F182</f>
        <v>33189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33189</v>
      </c>
      <c r="C1358" s="2" t="s">
        <v>573</v>
      </c>
      <c r="D1358" s="2" t="str">
        <f t="shared" si="20"/>
        <v>Error?</v>
      </c>
    </row>
    <row r="1359" spans="1:4" x14ac:dyDescent="0.2">
      <c r="A1359" s="5">
        <v>1298</v>
      </c>
      <c r="B1359" s="138">
        <f>'Expenditures 15-22'!F210</f>
        <v>33189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680986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680986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680986</v>
      </c>
      <c r="C1388" s="2" t="s">
        <v>573</v>
      </c>
      <c r="D1388" s="2" t="str">
        <f t="shared" si="20"/>
        <v>Error?</v>
      </c>
    </row>
    <row r="1389" spans="1:4" x14ac:dyDescent="0.2">
      <c r="A1389" s="5">
        <v>1328</v>
      </c>
      <c r="B1389" s="138">
        <f>'Expenditures 15-22'!K211</f>
        <v>-14160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1251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1712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3024</v>
      </c>
      <c r="D1408" s="2" t="str">
        <f t="shared" si="21"/>
        <v>Error?</v>
      </c>
    </row>
    <row r="1409" spans="1:4" x14ac:dyDescent="0.2">
      <c r="A1409" s="5">
        <v>1348</v>
      </c>
      <c r="B1409" s="138">
        <f>'Expenditures 15-22'!D224</f>
        <v>1478</v>
      </c>
      <c r="D1409" s="2" t="str">
        <f t="shared" si="21"/>
        <v>Error?</v>
      </c>
    </row>
    <row r="1410" spans="1:4" x14ac:dyDescent="0.2">
      <c r="A1410" s="5">
        <v>1349</v>
      </c>
      <c r="B1410" s="138">
        <f>'Expenditures 15-22'!D229</f>
        <v>178651</v>
      </c>
      <c r="C1410" s="2" t="s">
        <v>573</v>
      </c>
      <c r="D1410" s="2" t="str">
        <f t="shared" si="21"/>
        <v>Error?</v>
      </c>
    </row>
    <row r="1411" spans="1:4" x14ac:dyDescent="0.2">
      <c r="A1411" s="5">
        <v>1350</v>
      </c>
      <c r="B1411" s="138">
        <f>'Expenditures 15-22'!D232</f>
        <v>3218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37023</v>
      </c>
      <c r="D1413" s="2" t="str">
        <f t="shared" si="21"/>
        <v>Error?</v>
      </c>
    </row>
    <row r="1414" spans="1:4" x14ac:dyDescent="0.2">
      <c r="A1414" s="5">
        <v>1353</v>
      </c>
      <c r="B1414" s="138">
        <f>'Expenditures 15-22'!D235</f>
        <v>1064</v>
      </c>
      <c r="D1414" s="2" t="str">
        <f t="shared" si="21"/>
        <v>Error?</v>
      </c>
    </row>
    <row r="1415" spans="1:4" x14ac:dyDescent="0.2">
      <c r="A1415" s="5">
        <v>1354</v>
      </c>
      <c r="B1415" s="138">
        <f>'Expenditures 15-22'!D236</f>
        <v>3743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45048</v>
      </c>
      <c r="C1417" s="2" t="s">
        <v>573</v>
      </c>
      <c r="D1417" s="2" t="str">
        <f t="shared" si="21"/>
        <v>Error?</v>
      </c>
    </row>
    <row r="1418" spans="1:4" x14ac:dyDescent="0.2">
      <c r="A1418" s="5">
        <v>1357</v>
      </c>
      <c r="B1418" s="138">
        <f>'Expenditures 15-22'!D240</f>
        <v>297</v>
      </c>
      <c r="D1418" s="2" t="str">
        <f t="shared" si="21"/>
        <v>Error?</v>
      </c>
    </row>
    <row r="1419" spans="1:4" x14ac:dyDescent="0.2">
      <c r="A1419" s="5">
        <v>1358</v>
      </c>
      <c r="B1419" s="138">
        <f>'Expenditures 15-22'!D241</f>
        <v>7109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7406</v>
      </c>
      <c r="C1421" s="2" t="s">
        <v>573</v>
      </c>
      <c r="D1421" s="2" t="str">
        <f t="shared" si="21"/>
        <v>Error?</v>
      </c>
    </row>
    <row r="1422" spans="1:4" x14ac:dyDescent="0.2">
      <c r="A1422" s="5">
        <v>1361</v>
      </c>
      <c r="B1422" s="138">
        <f>'Expenditures 15-22'!D245</f>
        <v>535</v>
      </c>
      <c r="D1422" s="2" t="str">
        <f t="shared" si="21"/>
        <v>Error?</v>
      </c>
    </row>
    <row r="1423" spans="1:4" x14ac:dyDescent="0.2">
      <c r="A1423" s="5">
        <v>1362</v>
      </c>
      <c r="B1423" s="138">
        <f>'Expenditures 15-22'!D246</f>
        <v>18830</v>
      </c>
      <c r="D1423" s="2" t="str">
        <f t="shared" si="21"/>
        <v>Error?</v>
      </c>
    </row>
    <row r="1424" spans="1:4" x14ac:dyDescent="0.2">
      <c r="A1424" s="5">
        <v>1363</v>
      </c>
      <c r="B1424" s="138">
        <f>'Expenditures 15-22'!D257</f>
        <v>19365</v>
      </c>
      <c r="C1424" s="2" t="s">
        <v>573</v>
      </c>
      <c r="D1424" s="2" t="str">
        <f t="shared" si="21"/>
        <v>Error?</v>
      </c>
    </row>
    <row r="1425" spans="1:4" x14ac:dyDescent="0.2">
      <c r="A1425" s="5">
        <v>1364</v>
      </c>
      <c r="B1425" s="138">
        <f>'Expenditures 15-22'!D259</f>
        <v>30674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30674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28413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48356</v>
      </c>
      <c r="D1431" s="2" t="str">
        <f t="shared" si="21"/>
        <v>Error?</v>
      </c>
    </row>
    <row r="1432" spans="1:4" x14ac:dyDescent="0.2">
      <c r="A1432" s="5">
        <v>1371</v>
      </c>
      <c r="B1432" s="138">
        <f>'Expenditures 15-22'!D267</f>
        <v>33628</v>
      </c>
      <c r="D1432" s="2" t="str">
        <f t="shared" si="21"/>
        <v>Error?</v>
      </c>
    </row>
    <row r="1433" spans="1:4" x14ac:dyDescent="0.2">
      <c r="A1433" s="5">
        <v>1372</v>
      </c>
      <c r="B1433" s="138">
        <f>'Expenditures 15-22'!D268</f>
        <v>11845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122242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76</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535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611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225346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403997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1251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1712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3024</v>
      </c>
      <c r="C1472" s="2" t="s">
        <v>573</v>
      </c>
      <c r="D1472" s="2" t="str">
        <f t="shared" si="22"/>
        <v>Error?</v>
      </c>
    </row>
    <row r="1473" spans="1:4" x14ac:dyDescent="0.2">
      <c r="A1473" s="5">
        <v>1412</v>
      </c>
      <c r="B1473" s="138">
        <f>'Expenditures 15-22'!K224</f>
        <v>1478</v>
      </c>
      <c r="C1473" s="2" t="s">
        <v>573</v>
      </c>
      <c r="D1473" s="2" t="str">
        <f t="shared" si="22"/>
        <v>Error?</v>
      </c>
    </row>
    <row r="1474" spans="1:4" x14ac:dyDescent="0.2">
      <c r="A1474" s="5">
        <v>1413</v>
      </c>
      <c r="B1474" s="138">
        <f>'Expenditures 15-22'!K229</f>
        <v>178651</v>
      </c>
      <c r="C1474" s="2" t="s">
        <v>573</v>
      </c>
      <c r="D1474" s="2" t="str">
        <f t="shared" si="22"/>
        <v>Error?</v>
      </c>
    </row>
    <row r="1475" spans="1:4" x14ac:dyDescent="0.2">
      <c r="A1475" s="5">
        <v>1414</v>
      </c>
      <c r="B1475" s="138">
        <f>'Expenditures 15-22'!K232</f>
        <v>3218</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37023</v>
      </c>
      <c r="C1477" s="2" t="s">
        <v>573</v>
      </c>
      <c r="D1477" s="2" t="str">
        <f t="shared" si="22"/>
        <v>Error?</v>
      </c>
    </row>
    <row r="1478" spans="1:4" x14ac:dyDescent="0.2">
      <c r="A1478" s="5">
        <v>1417</v>
      </c>
      <c r="B1478" s="138">
        <f>'Expenditures 15-22'!K235</f>
        <v>1064</v>
      </c>
      <c r="C1478" s="2" t="s">
        <v>573</v>
      </c>
      <c r="D1478" s="2" t="str">
        <f t="shared" si="22"/>
        <v>Error?</v>
      </c>
    </row>
    <row r="1479" spans="1:4" x14ac:dyDescent="0.2">
      <c r="A1479" s="5">
        <v>1418</v>
      </c>
      <c r="B1479" s="138">
        <f>'Expenditures 15-22'!K236</f>
        <v>3743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45048</v>
      </c>
      <c r="C1481" s="2" t="s">
        <v>573</v>
      </c>
      <c r="D1481" s="2" t="str">
        <f t="shared" si="22"/>
        <v>Error?</v>
      </c>
    </row>
    <row r="1482" spans="1:4" x14ac:dyDescent="0.2">
      <c r="A1482" s="5">
        <v>1421</v>
      </c>
      <c r="B1482" s="138">
        <f>'Expenditures 15-22'!K240</f>
        <v>297</v>
      </c>
      <c r="C1482" s="2" t="s">
        <v>573</v>
      </c>
      <c r="D1482" s="2" t="str">
        <f t="shared" si="22"/>
        <v>Error?</v>
      </c>
    </row>
    <row r="1483" spans="1:4" x14ac:dyDescent="0.2">
      <c r="A1483" s="5">
        <v>1422</v>
      </c>
      <c r="B1483" s="138">
        <f>'Expenditures 15-22'!K241</f>
        <v>7109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7406</v>
      </c>
      <c r="C1485" s="2" t="s">
        <v>573</v>
      </c>
      <c r="D1485" s="2" t="str">
        <f t="shared" si="22"/>
        <v>Error?</v>
      </c>
    </row>
    <row r="1486" spans="1:4" x14ac:dyDescent="0.2">
      <c r="A1486" s="5">
        <v>1425</v>
      </c>
      <c r="B1486" s="138">
        <f>'Expenditures 15-22'!K245</f>
        <v>535</v>
      </c>
      <c r="C1486" s="2" t="s">
        <v>573</v>
      </c>
      <c r="D1486" s="2" t="str">
        <f t="shared" si="22"/>
        <v>Error?</v>
      </c>
    </row>
    <row r="1487" spans="1:4" x14ac:dyDescent="0.2">
      <c r="A1487" s="5">
        <v>1426</v>
      </c>
      <c r="B1487" s="138">
        <f>'Expenditures 15-22'!K246</f>
        <v>18830</v>
      </c>
      <c r="C1487" s="2" t="s">
        <v>573</v>
      </c>
      <c r="D1487" s="2" t="str">
        <f t="shared" si="22"/>
        <v>Error?</v>
      </c>
    </row>
    <row r="1488" spans="1:4" x14ac:dyDescent="0.2">
      <c r="A1488" s="5">
        <v>1427</v>
      </c>
      <c r="B1488" s="138">
        <f>'Expenditures 15-22'!K257</f>
        <v>19365</v>
      </c>
      <c r="C1488" s="2" t="s">
        <v>573</v>
      </c>
      <c r="D1488" s="2" t="str">
        <f t="shared" si="22"/>
        <v>Error?</v>
      </c>
    </row>
    <row r="1489" spans="1:4" x14ac:dyDescent="0.2">
      <c r="A1489" s="5">
        <v>1428</v>
      </c>
      <c r="B1489" s="138">
        <f>'Expenditures 15-22'!K259</f>
        <v>30674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30674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28413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48356</v>
      </c>
      <c r="C1495" s="2" t="s">
        <v>573</v>
      </c>
      <c r="D1495" s="2" t="str">
        <f t="shared" si="22"/>
        <v>Error?</v>
      </c>
    </row>
    <row r="1496" spans="1:4" x14ac:dyDescent="0.2">
      <c r="A1496" s="5">
        <v>1435</v>
      </c>
      <c r="B1496" s="138">
        <f>'Expenditures 15-22'!K267</f>
        <v>33628</v>
      </c>
      <c r="C1496" s="2" t="s">
        <v>573</v>
      </c>
      <c r="D1496" s="2" t="str">
        <f t="shared" si="22"/>
        <v>Error?</v>
      </c>
    </row>
    <row r="1497" spans="1:4" x14ac:dyDescent="0.2">
      <c r="A1497" s="5">
        <v>1436</v>
      </c>
      <c r="B1497" s="138">
        <f>'Expenditures 15-22'!K268</f>
        <v>11845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122242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76</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535</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611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225346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403997</v>
      </c>
      <c r="C1517" s="2" t="s">
        <v>573</v>
      </c>
      <c r="D1517" s="2" t="str">
        <f t="shared" si="22"/>
        <v>Error?</v>
      </c>
    </row>
    <row r="1518" spans="1:4" x14ac:dyDescent="0.2">
      <c r="A1518" s="5">
        <v>1457</v>
      </c>
      <c r="B1518" s="138">
        <f>'Expenditures 15-22'!K296</f>
        <v>79900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10498129</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885322</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962532</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501485</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487607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9700409</v>
      </c>
      <c r="C1744" s="2" t="s">
        <v>573</v>
      </c>
      <c r="D1744" s="2" t="str">
        <f t="shared" si="26"/>
        <v>Error?</v>
      </c>
    </row>
    <row r="1745" spans="1:5" x14ac:dyDescent="0.2">
      <c r="A1745" s="5">
        <v>1684</v>
      </c>
      <c r="B1745" s="138">
        <f>'Tax Sched 23'!B5</f>
        <v>1230864</v>
      </c>
      <c r="C1745" s="2" t="s">
        <v>573</v>
      </c>
      <c r="D1745" s="2" t="str">
        <f t="shared" si="26"/>
        <v>Error?</v>
      </c>
    </row>
    <row r="1746" spans="1:5" x14ac:dyDescent="0.2">
      <c r="A1746" s="5">
        <v>1685</v>
      </c>
      <c r="B1746" s="138">
        <f>'Tax Sched 23'!B6</f>
        <v>1125546</v>
      </c>
      <c r="C1746" s="2" t="s">
        <v>573</v>
      </c>
      <c r="D1746" s="2" t="str">
        <f t="shared" si="26"/>
        <v>Error?</v>
      </c>
    </row>
    <row r="1747" spans="1:5" x14ac:dyDescent="0.2">
      <c r="A1747" s="5">
        <v>1686</v>
      </c>
      <c r="B1747" s="138">
        <f>'Tax Sched 23'!B7</f>
        <v>425295</v>
      </c>
      <c r="C1747" s="2" t="s">
        <v>573</v>
      </c>
      <c r="D1747" s="2" t="str">
        <f t="shared" si="26"/>
        <v>Error?</v>
      </c>
    </row>
    <row r="1748" spans="1:5" x14ac:dyDescent="0.2">
      <c r="A1748" s="5">
        <v>1687</v>
      </c>
      <c r="B1748" s="138">
        <f>'Tax Sched 23'!B8</f>
        <v>227238</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7462</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12944052</v>
      </c>
      <c r="C1759" s="2" t="s">
        <v>573</v>
      </c>
      <c r="D1759" s="2" t="str">
        <f t="shared" si="26"/>
        <v>Error?</v>
      </c>
    </row>
    <row r="1760" spans="1:5" x14ac:dyDescent="0.2">
      <c r="A1760" s="5">
        <v>1699</v>
      </c>
      <c r="B1760" s="138">
        <f>'Tax Sched 23'!D4</f>
        <v>4371567</v>
      </c>
      <c r="C1760" s="2" t="s">
        <v>573</v>
      </c>
      <c r="D1760" s="2" t="str">
        <f t="shared" si="26"/>
        <v>Error?</v>
      </c>
    </row>
    <row r="1761" spans="1:5" x14ac:dyDescent="0.2">
      <c r="A1761" s="5">
        <v>1700</v>
      </c>
      <c r="B1761" s="138">
        <f>'Tax Sched 23'!D5</f>
        <v>598665</v>
      </c>
      <c r="C1761" s="2" t="s">
        <v>573</v>
      </c>
      <c r="D1761" s="2" t="str">
        <f t="shared" si="26"/>
        <v>Error?</v>
      </c>
    </row>
    <row r="1762" spans="1:5" s="8" customFormat="1" x14ac:dyDescent="0.2">
      <c r="A1762" s="5">
        <v>1701</v>
      </c>
      <c r="B1762" s="138">
        <f>'Tax Sched 23'!D6</f>
        <v>516479</v>
      </c>
      <c r="C1762" s="2" t="s">
        <v>573</v>
      </c>
      <c r="D1762" s="2" t="str">
        <f t="shared" si="26"/>
        <v>Error?</v>
      </c>
      <c r="E1762" s="9"/>
    </row>
    <row r="1763" spans="1:5" x14ac:dyDescent="0.2">
      <c r="A1763" s="5">
        <v>1702</v>
      </c>
      <c r="B1763" s="138">
        <f>'Tax Sched 23'!D7</f>
        <v>164038</v>
      </c>
      <c r="C1763" s="2" t="s">
        <v>573</v>
      </c>
      <c r="D1763" s="2" t="str">
        <f t="shared" si="26"/>
        <v>Error?</v>
      </c>
    </row>
    <row r="1764" spans="1:5" x14ac:dyDescent="0.2">
      <c r="A1764" s="5">
        <v>1703</v>
      </c>
      <c r="B1764" s="138">
        <f>'Tax Sched 23'!D8</f>
        <v>101994</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2277</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5857014</v>
      </c>
      <c r="C1775" s="2" t="s">
        <v>573</v>
      </c>
      <c r="D1775" s="2" t="str">
        <f t="shared" si="26"/>
        <v>Error?</v>
      </c>
    </row>
    <row r="1776" spans="1:5" x14ac:dyDescent="0.2">
      <c r="A1776" s="5">
        <v>1715</v>
      </c>
      <c r="B1776" s="138">
        <f>'Tax Sched 23'!C4</f>
        <v>5328842</v>
      </c>
      <c r="D1776" s="2" t="str">
        <f t="shared" si="26"/>
        <v>Error?</v>
      </c>
    </row>
    <row r="1777" spans="1:4" x14ac:dyDescent="0.2">
      <c r="A1777" s="5">
        <v>1716</v>
      </c>
      <c r="B1777" s="138">
        <f>'Tax Sched 23'!C5</f>
        <v>632199</v>
      </c>
      <c r="D1777" s="2" t="str">
        <f t="shared" si="26"/>
        <v>Error?</v>
      </c>
    </row>
    <row r="1778" spans="1:4" x14ac:dyDescent="0.2">
      <c r="A1778" s="5">
        <v>1717</v>
      </c>
      <c r="B1778" s="138">
        <f>'Tax Sched 23'!C6</f>
        <v>609067</v>
      </c>
      <c r="D1778" s="2" t="str">
        <f t="shared" si="26"/>
        <v>Error?</v>
      </c>
    </row>
    <row r="1779" spans="1:4" x14ac:dyDescent="0.2">
      <c r="A1779" s="5">
        <v>1718</v>
      </c>
      <c r="B1779" s="138">
        <f>'Tax Sched 23'!C7</f>
        <v>261257</v>
      </c>
      <c r="D1779" s="2" t="str">
        <f t="shared" si="26"/>
        <v>Error?</v>
      </c>
    </row>
    <row r="1780" spans="1:4" x14ac:dyDescent="0.2">
      <c r="A1780" s="5">
        <v>1719</v>
      </c>
      <c r="B1780" s="138">
        <f>'Tax Sched 23'!C8</f>
        <v>125244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5185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7087038</v>
      </c>
      <c r="C1791" s="2" t="s">
        <v>573</v>
      </c>
      <c r="D1791" s="2" t="str">
        <f t="shared" ref="D1791:D1854" si="27">IF(ISBLANK(B1791),"OK",IF(A1791-B1791=0,"OK","Error?"))</f>
        <v>Error?</v>
      </c>
    </row>
    <row r="1792" spans="1:4" x14ac:dyDescent="0.2">
      <c r="A1792" s="5">
        <v>1731</v>
      </c>
      <c r="B1792" s="138">
        <f>'Tax Sched 23'!F4</f>
        <v>4868412</v>
      </c>
      <c r="C1792" s="2" t="s">
        <v>573</v>
      </c>
      <c r="D1792" s="2" t="str">
        <f t="shared" si="27"/>
        <v>Error?</v>
      </c>
    </row>
    <row r="1793" spans="1:4" x14ac:dyDescent="0.2">
      <c r="A1793" s="5">
        <v>1732</v>
      </c>
      <c r="B1793" s="138">
        <f>'Tax Sched 23'!F5</f>
        <v>577580</v>
      </c>
      <c r="C1793" s="2" t="s">
        <v>573</v>
      </c>
      <c r="D1793" s="2" t="str">
        <f t="shared" si="27"/>
        <v>Error?</v>
      </c>
    </row>
    <row r="1794" spans="1:4" x14ac:dyDescent="0.2">
      <c r="A1794" s="5">
        <v>1733</v>
      </c>
      <c r="B1794" s="138">
        <f>'Tax Sched 23'!F6</f>
        <v>556442</v>
      </c>
      <c r="C1794" s="2" t="s">
        <v>573</v>
      </c>
      <c r="D1794" s="2" t="str">
        <f t="shared" si="27"/>
        <v>Error?</v>
      </c>
    </row>
    <row r="1795" spans="1:4" x14ac:dyDescent="0.2">
      <c r="A1795" s="5">
        <v>1734</v>
      </c>
      <c r="B1795" s="138">
        <f>'Tax Sched 23'!F7</f>
        <v>238683</v>
      </c>
      <c r="C1795" s="2" t="s">
        <v>573</v>
      </c>
      <c r="D1795" s="2" t="str">
        <f t="shared" si="27"/>
        <v>Error?</v>
      </c>
    </row>
    <row r="1796" spans="1:4" x14ac:dyDescent="0.2">
      <c r="A1796" s="5">
        <v>1735</v>
      </c>
      <c r="B1796" s="138">
        <f>'Tax Sched 23'!F8</f>
        <v>114422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4737</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6474698</v>
      </c>
      <c r="C1807" s="2" t="s">
        <v>573</v>
      </c>
      <c r="D1807" s="2" t="str">
        <f t="shared" si="27"/>
        <v>Error?</v>
      </c>
    </row>
    <row r="1808" spans="1:4" x14ac:dyDescent="0.2">
      <c r="A1808" s="5">
        <v>1747</v>
      </c>
      <c r="B1808" s="138">
        <f>'Tax Sched 23'!E4</f>
        <v>10197254</v>
      </c>
      <c r="D1808" s="2" t="str">
        <f t="shared" si="27"/>
        <v>Error?</v>
      </c>
    </row>
    <row r="1809" spans="1:4" x14ac:dyDescent="0.2">
      <c r="A1809" s="5">
        <v>1748</v>
      </c>
      <c r="B1809" s="138">
        <f>'Tax Sched 23'!E5</f>
        <v>1209779</v>
      </c>
      <c r="D1809" s="2" t="str">
        <f t="shared" si="27"/>
        <v>Error?</v>
      </c>
    </row>
    <row r="1810" spans="1:4" x14ac:dyDescent="0.2">
      <c r="A1810" s="5">
        <v>1749</v>
      </c>
      <c r="B1810" s="138">
        <f>'Tax Sched 23'!E6</f>
        <v>1165509</v>
      </c>
      <c r="D1810" s="2" t="str">
        <f t="shared" si="27"/>
        <v>Error?</v>
      </c>
    </row>
    <row r="1811" spans="1:4" x14ac:dyDescent="0.2">
      <c r="A1811" s="5">
        <v>1750</v>
      </c>
      <c r="B1811" s="138">
        <f>'Tax Sched 23'!E7</f>
        <v>499940</v>
      </c>
      <c r="D1811" s="2" t="str">
        <f t="shared" si="27"/>
        <v>Error?</v>
      </c>
    </row>
    <row r="1812" spans="1:4" x14ac:dyDescent="0.2">
      <c r="A1812" s="5">
        <v>1751</v>
      </c>
      <c r="B1812" s="138">
        <f>'Tax Sched 23'!E8</f>
        <v>239666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9922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13561736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5706923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951820</v>
      </c>
      <c r="D2008" s="2" t="str">
        <f t="shared" si="30"/>
        <v>Error?</v>
      </c>
    </row>
    <row r="2009" spans="1:4" x14ac:dyDescent="0.2">
      <c r="A2009" s="5">
        <v>1948</v>
      </c>
      <c r="B2009" s="138">
        <f>'Cap Outlay Deprec 26'!C8</f>
        <v>20220747</v>
      </c>
      <c r="D2009" s="2" t="str">
        <f t="shared" si="30"/>
        <v>Error?</v>
      </c>
    </row>
    <row r="2010" spans="1:4" x14ac:dyDescent="0.2">
      <c r="A2010" s="5">
        <v>1949</v>
      </c>
      <c r="B2010" s="138">
        <f>'Cap Outlay Deprec 26'!C10</f>
        <v>1670308</v>
      </c>
      <c r="D2010" s="2" t="str">
        <f t="shared" si="30"/>
        <v>Error?</v>
      </c>
    </row>
    <row r="2011" spans="1:4" x14ac:dyDescent="0.2">
      <c r="A2011" s="5">
        <v>1950</v>
      </c>
      <c r="B2011" s="138">
        <f>'Cap Outlay Deprec 26'!C12</f>
        <v>5393910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28236785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275000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255966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530966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181030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181030</v>
      </c>
      <c r="C2025" s="2" t="s">
        <v>573</v>
      </c>
      <c r="D2025" s="2" t="str">
        <f t="shared" si="30"/>
        <v>Error?</v>
      </c>
    </row>
    <row r="2026" spans="1:4" x14ac:dyDescent="0.2">
      <c r="A2026" s="5">
        <v>1965</v>
      </c>
      <c r="B2026" s="138">
        <f>'Cap Outlay Deprec 26'!F5</f>
        <v>951820</v>
      </c>
      <c r="C2026" s="2" t="s">
        <v>573</v>
      </c>
      <c r="D2026" s="2" t="str">
        <f t="shared" si="30"/>
        <v>Error?</v>
      </c>
    </row>
    <row r="2027" spans="1:4" x14ac:dyDescent="0.2">
      <c r="A2027" s="5">
        <v>1966</v>
      </c>
      <c r="B2027" s="138">
        <f>'Cap Outlay Deprec 26'!F8</f>
        <v>20495747</v>
      </c>
      <c r="C2027" s="2" t="s">
        <v>573</v>
      </c>
      <c r="D2027" s="2" t="str">
        <f t="shared" si="30"/>
        <v>Error?</v>
      </c>
    </row>
    <row r="2028" spans="1:4" x14ac:dyDescent="0.2">
      <c r="A2028" s="5">
        <v>1967</v>
      </c>
      <c r="B2028" s="138">
        <f>'Cap Outlay Deprec 26'!F10</f>
        <v>1670308</v>
      </c>
      <c r="C2028" s="2" t="s">
        <v>573</v>
      </c>
      <c r="D2028" s="2" t="str">
        <f t="shared" si="30"/>
        <v>Error?</v>
      </c>
    </row>
    <row r="2029" spans="1:4" x14ac:dyDescent="0.2">
      <c r="A2029" s="5">
        <v>1968</v>
      </c>
      <c r="B2029" s="138">
        <f>'Cap Outlay Deprec 26'!F12</f>
        <v>5468846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28586721</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951820</v>
      </c>
      <c r="C2056" s="2" t="s">
        <v>573</v>
      </c>
      <c r="D2056" s="2" t="str">
        <f t="shared" si="31"/>
        <v>Error?</v>
      </c>
    </row>
    <row r="2057" spans="1:4" x14ac:dyDescent="0.2">
      <c r="A2057" s="5">
        <v>1996</v>
      </c>
      <c r="B2057" s="138">
        <f>'Cap Outlay Deprec 26'!L8</f>
        <v>20495747</v>
      </c>
      <c r="C2057" s="2" t="s">
        <v>573</v>
      </c>
      <c r="D2057" s="2" t="str">
        <f t="shared" si="31"/>
        <v>Error?</v>
      </c>
    </row>
    <row r="2058" spans="1:4" x14ac:dyDescent="0.2">
      <c r="A2058" s="5">
        <v>1997</v>
      </c>
      <c r="B2058" s="138">
        <f>'Cap Outlay Deprec 26'!L10</f>
        <v>1670308</v>
      </c>
      <c r="C2058" s="2" t="s">
        <v>573</v>
      </c>
      <c r="D2058" s="2" t="str">
        <f t="shared" si="31"/>
        <v>Error?</v>
      </c>
    </row>
    <row r="2059" spans="1:4" x14ac:dyDescent="0.2">
      <c r="A2059" s="5">
        <v>1998</v>
      </c>
      <c r="B2059" s="138">
        <f>'Cap Outlay Deprec 26'!L12</f>
        <v>5468846</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28586721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334089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885322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501485</v>
      </c>
      <c r="D2475" s="2" t="str">
        <f t="shared" si="37"/>
        <v>Error?</v>
      </c>
    </row>
    <row r="2476" spans="1:4" x14ac:dyDescent="0.2">
      <c r="A2476" s="10">
        <v>2415</v>
      </c>
      <c r="D2476" s="2" t="str">
        <f t="shared" si="37"/>
        <v>OK</v>
      </c>
    </row>
    <row r="2477" spans="1:4" x14ac:dyDescent="0.2">
      <c r="A2477" s="5">
        <v>2416</v>
      </c>
      <c r="B2477" s="138">
        <f>'Assets-Liab 5-6'!G38</f>
        <v>487607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962532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10586509</v>
      </c>
      <c r="C2551" s="2" t="s">
        <v>573</v>
      </c>
      <c r="D2551" s="2" t="str">
        <f t="shared" si="38"/>
        <v>Error?</v>
      </c>
    </row>
    <row r="2552" spans="1:4" x14ac:dyDescent="0.2">
      <c r="A2552" s="10">
        <v>2491</v>
      </c>
      <c r="D2552" s="2" t="str">
        <f t="shared" si="38"/>
        <v>OK</v>
      </c>
    </row>
    <row r="2553" spans="1:4" x14ac:dyDescent="0.2">
      <c r="A2553" s="5">
        <v>2492</v>
      </c>
      <c r="B2553" s="138">
        <f>'Acct Summary 7-8'!C6</f>
        <v>669097</v>
      </c>
      <c r="C2553" s="2" t="s">
        <v>573</v>
      </c>
      <c r="D2553" s="2" t="str">
        <f t="shared" si="38"/>
        <v>Error?</v>
      </c>
    </row>
    <row r="2554" spans="1:4" x14ac:dyDescent="0.2">
      <c r="A2554" s="5">
        <v>2493</v>
      </c>
      <c r="B2554" s="138">
        <f>'Acct Summary 7-8'!C7</f>
        <v>131391</v>
      </c>
      <c r="C2554" s="2" t="s">
        <v>573</v>
      </c>
      <c r="D2554" s="2" t="str">
        <f t="shared" si="38"/>
        <v>Error?</v>
      </c>
    </row>
    <row r="2555" spans="1:4" x14ac:dyDescent="0.2">
      <c r="A2555" s="5">
        <v>2494</v>
      </c>
      <c r="B2555" s="138">
        <f>'Acct Summary 7-8'!C8</f>
        <v>11386997</v>
      </c>
      <c r="C2555" s="2" t="s">
        <v>573</v>
      </c>
      <c r="D2555" s="2" t="str">
        <f t="shared" si="38"/>
        <v>Error?</v>
      </c>
    </row>
    <row r="2556" spans="1:4" x14ac:dyDescent="0.2">
      <c r="A2556" s="5">
        <v>2495</v>
      </c>
      <c r="B2556" s="138">
        <f>'Acct Summary 7-8'!C12</f>
        <v>7587802</v>
      </c>
      <c r="C2556" s="2" t="s">
        <v>573</v>
      </c>
      <c r="D2556" s="2" t="str">
        <f t="shared" si="38"/>
        <v>Error?</v>
      </c>
    </row>
    <row r="2557" spans="1:4" x14ac:dyDescent="0.2">
      <c r="A2557" s="5">
        <v>2496</v>
      </c>
      <c r="B2557" s="138">
        <f>'Acct Summary 7-8'!C13</f>
        <v>3476477</v>
      </c>
      <c r="C2557" s="2" t="s">
        <v>573</v>
      </c>
      <c r="D2557" s="2" t="str">
        <f t="shared" si="38"/>
        <v>Error?</v>
      </c>
    </row>
    <row r="2558" spans="1:4" x14ac:dyDescent="0.2">
      <c r="A2558" s="5">
        <v>2497</v>
      </c>
      <c r="B2558" s="138">
        <f>'Acct Summary 7-8'!C14</f>
        <v>665</v>
      </c>
      <c r="C2558" s="2" t="s">
        <v>573</v>
      </c>
      <c r="D2558" s="2" t="str">
        <f t="shared" si="38"/>
        <v>Error?</v>
      </c>
    </row>
    <row r="2559" spans="1:4" x14ac:dyDescent="0.2">
      <c r="A2559" s="5">
        <v>2498</v>
      </c>
      <c r="B2559" s="138">
        <f>'Acct Summary 7-8'!C15</f>
        <v>334089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11399033</v>
      </c>
      <c r="C2561" s="2" t="s">
        <v>573</v>
      </c>
      <c r="D2561" s="2" t="str">
        <f t="shared" si="39"/>
        <v>Error?</v>
      </c>
    </row>
    <row r="2562" spans="1:4" x14ac:dyDescent="0.2">
      <c r="A2562" s="5">
        <v>2501</v>
      </c>
      <c r="B2562" s="138">
        <f>'Acct Summary 7-8'!C20</f>
        <v>-12036</v>
      </c>
      <c r="C2562" s="2" t="s">
        <v>573</v>
      </c>
      <c r="D2562" s="2" t="str">
        <f t="shared" si="39"/>
        <v>Error?</v>
      </c>
    </row>
    <row r="2563" spans="1:4" x14ac:dyDescent="0.2">
      <c r="A2563" s="5">
        <v>2502</v>
      </c>
      <c r="B2563" s="138">
        <f>'Acct Summary 7-8'!C80</f>
        <v>10510165</v>
      </c>
      <c r="D2563" s="2" t="str">
        <f t="shared" si="39"/>
        <v>Error?</v>
      </c>
    </row>
    <row r="2564" spans="1:4" x14ac:dyDescent="0.2">
      <c r="A2564" s="5">
        <v>2503</v>
      </c>
      <c r="B2564" s="138">
        <f>'Acct Summary 7-8'!D4</f>
        <v>1278103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1278103</v>
      </c>
      <c r="C2568" s="2" t="s">
        <v>573</v>
      </c>
      <c r="D2568" s="2" t="str">
        <f t="shared" si="39"/>
        <v>Error?</v>
      </c>
    </row>
    <row r="2569" spans="1:4" x14ac:dyDescent="0.2">
      <c r="A2569" s="5">
        <v>2508</v>
      </c>
      <c r="B2569" s="138">
        <f>'Acct Summary 7-8'!D13</f>
        <v>1080497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1080497</v>
      </c>
      <c r="C2573" s="2" t="s">
        <v>573</v>
      </c>
      <c r="D2573" s="2" t="str">
        <f t="shared" si="39"/>
        <v>Error?</v>
      </c>
    </row>
    <row r="2574" spans="1:4" x14ac:dyDescent="0.2">
      <c r="A2574" s="5">
        <v>2513</v>
      </c>
      <c r="B2574" s="138">
        <f>'Acct Summary 7-8'!D20</f>
        <v>197606</v>
      </c>
      <c r="C2574" s="2" t="s">
        <v>573</v>
      </c>
      <c r="D2574" s="2" t="str">
        <f t="shared" si="39"/>
        <v>Error?</v>
      </c>
    </row>
    <row r="2575" spans="1:4" x14ac:dyDescent="0.2">
      <c r="A2575" s="5">
        <v>2514</v>
      </c>
      <c r="B2575" s="138">
        <f>'Acct Summary 7-8'!D80</f>
        <v>687716</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499414</v>
      </c>
      <c r="C2591" s="2" t="s">
        <v>573</v>
      </c>
      <c r="D2591" s="2" t="str">
        <f t="shared" si="39"/>
        <v>Error?</v>
      </c>
    </row>
    <row r="2592" spans="1:4" x14ac:dyDescent="0.2">
      <c r="A2592" s="10">
        <v>2531</v>
      </c>
      <c r="D2592" s="2" t="str">
        <f t="shared" si="39"/>
        <v>OK</v>
      </c>
    </row>
    <row r="2593" spans="1:4" x14ac:dyDescent="0.2">
      <c r="A2593" s="5">
        <v>2532</v>
      </c>
      <c r="B2593" s="138">
        <f>'Acct Summary 7-8'!F6</f>
        <v>167412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666826</v>
      </c>
      <c r="C2595" s="2" t="s">
        <v>573</v>
      </c>
      <c r="D2595" s="2" t="str">
        <f t="shared" si="39"/>
        <v>Error?</v>
      </c>
    </row>
    <row r="2596" spans="1:4" x14ac:dyDescent="0.2">
      <c r="A2596" s="5">
        <v>2535</v>
      </c>
      <c r="B2596" s="138">
        <f>'Acct Summary 7-8'!F13</f>
        <v>680986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680986</v>
      </c>
      <c r="C2600" s="2" t="s">
        <v>573</v>
      </c>
      <c r="D2600" s="2" t="str">
        <f t="shared" si="39"/>
        <v>Error?</v>
      </c>
    </row>
    <row r="2601" spans="1:4" x14ac:dyDescent="0.2">
      <c r="A2601" s="5">
        <v>2540</v>
      </c>
      <c r="B2601" s="138">
        <f>'Acct Summary 7-8'!F20</f>
        <v>-14160</v>
      </c>
      <c r="C2601" s="2" t="s">
        <v>573</v>
      </c>
      <c r="D2601" s="2" t="str">
        <f t="shared" si="39"/>
        <v>Error?</v>
      </c>
    </row>
    <row r="2602" spans="1:4" x14ac:dyDescent="0.2">
      <c r="A2602" s="5">
        <v>2541</v>
      </c>
      <c r="B2602" s="138">
        <f>'Acct Summary 7-8'!F80</f>
        <v>515645</v>
      </c>
      <c r="D2602" s="2" t="str">
        <f t="shared" si="39"/>
        <v>Error?</v>
      </c>
    </row>
    <row r="2603" spans="1:4" x14ac:dyDescent="0.2">
      <c r="A2603" s="5">
        <v>2542</v>
      </c>
      <c r="B2603" s="138">
        <f>'Acct Summary 7-8'!G4</f>
        <v>483897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483897</v>
      </c>
      <c r="C2606" s="2" t="s">
        <v>573</v>
      </c>
      <c r="D2606" s="2" t="str">
        <f t="shared" si="39"/>
        <v>Error?</v>
      </c>
    </row>
    <row r="2607" spans="1:4" x14ac:dyDescent="0.2">
      <c r="A2607" s="5">
        <v>2546</v>
      </c>
      <c r="B2607" s="138">
        <f>'Acct Summary 7-8'!G12</f>
        <v>178651</v>
      </c>
      <c r="C2607" s="2" t="s">
        <v>573</v>
      </c>
      <c r="D2607" s="2" t="str">
        <f t="shared" si="39"/>
        <v>Error?</v>
      </c>
    </row>
    <row r="2608" spans="1:4" x14ac:dyDescent="0.2">
      <c r="A2608" s="5">
        <v>2547</v>
      </c>
      <c r="B2608" s="138">
        <f>'Acct Summary 7-8'!G13</f>
        <v>225346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403997</v>
      </c>
      <c r="C2612" s="2" t="s">
        <v>573</v>
      </c>
      <c r="D2612" s="2" t="str">
        <f t="shared" si="39"/>
        <v>Error?</v>
      </c>
    </row>
    <row r="2613" spans="1:4" x14ac:dyDescent="0.2">
      <c r="A2613" s="5">
        <v>2552</v>
      </c>
      <c r="B2613" s="138">
        <f>'Acct Summary 7-8'!G20</f>
        <v>79900</v>
      </c>
      <c r="C2613" s="2" t="s">
        <v>573</v>
      </c>
      <c r="D2613" s="2" t="str">
        <f t="shared" si="39"/>
        <v>Error?</v>
      </c>
    </row>
    <row r="2614" spans="1:4" x14ac:dyDescent="0.2">
      <c r="A2614" s="5">
        <v>2553</v>
      </c>
      <c r="B2614" s="138">
        <f>'Acct Summary 7-8'!G80</f>
        <v>407707</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1137221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1137221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1138700</v>
      </c>
      <c r="C2634" s="2" t="s">
        <v>573</v>
      </c>
      <c r="D2634" s="2" t="str">
        <f t="shared" si="40"/>
        <v>Error?</v>
      </c>
    </row>
    <row r="2635" spans="1:4" x14ac:dyDescent="0.2">
      <c r="A2635" s="5">
        <v>2574</v>
      </c>
      <c r="B2635" s="138">
        <f>'Acct Summary 7-8'!E17</f>
        <v>1138700</v>
      </c>
      <c r="C2635" s="2" t="s">
        <v>573</v>
      </c>
      <c r="D2635" s="2" t="str">
        <f t="shared" si="40"/>
        <v>Error?</v>
      </c>
    </row>
    <row r="2636" spans="1:4" x14ac:dyDescent="0.2">
      <c r="A2636" s="5">
        <v>2575</v>
      </c>
      <c r="B2636" s="138">
        <f>'Acct Summary 7-8'!E20</f>
        <v>-1479</v>
      </c>
      <c r="C2636" s="2" t="s">
        <v>573</v>
      </c>
      <c r="D2636" s="2" t="str">
        <f t="shared" si="40"/>
        <v>Error?</v>
      </c>
    </row>
    <row r="2637" spans="1:4" x14ac:dyDescent="0.2">
      <c r="A2637" s="5">
        <v>2576</v>
      </c>
      <c r="B2637" s="138">
        <f>'Acct Summary 7-8'!E80</f>
        <v>964011</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334089</v>
      </c>
      <c r="C2789" s="2" t="s">
        <v>573</v>
      </c>
      <c r="D2789" s="2" t="str">
        <f t="shared" si="42"/>
        <v>Error?</v>
      </c>
    </row>
    <row r="2790" spans="1:4" x14ac:dyDescent="0.2">
      <c r="A2790" s="5">
        <v>2729</v>
      </c>
      <c r="B2790" s="138">
        <f>'Expenditures 15-22'!E102</f>
        <v>334089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50612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50612</v>
      </c>
      <c r="D2914" s="2" t="str">
        <f t="shared" si="44"/>
        <v>Error?</v>
      </c>
    </row>
    <row r="2915" spans="1:4" x14ac:dyDescent="0.2">
      <c r="A2915" s="10">
        <v>2854</v>
      </c>
      <c r="D2915" s="2" t="str">
        <f t="shared" si="44"/>
        <v>OK</v>
      </c>
    </row>
    <row r="2916" spans="1:4" x14ac:dyDescent="0.2">
      <c r="A2916" s="5">
        <v>2855</v>
      </c>
      <c r="B2916" s="138">
        <f>'Assets-Liab 5-6'!L34</f>
        <v>50612</v>
      </c>
      <c r="C2916" s="2" t="s">
        <v>573</v>
      </c>
      <c r="D2916" s="2" t="str">
        <f t="shared" si="44"/>
        <v>Error?</v>
      </c>
    </row>
    <row r="2917" spans="1:4" x14ac:dyDescent="0.2">
      <c r="A2917" s="5">
        <v>2856</v>
      </c>
      <c r="B2917" s="138">
        <f>'Assets-Liab 5-6'!L41</f>
        <v>50612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334089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334089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204479</v>
      </c>
      <c r="D3055" s="2" t="str">
        <f t="shared" si="46"/>
        <v>Error?</v>
      </c>
    </row>
    <row r="3056" spans="1:4" x14ac:dyDescent="0.2">
      <c r="A3056" s="5">
        <v>2995</v>
      </c>
      <c r="B3056" s="138">
        <f>'Expenditures 15-22'!D10</f>
        <v>36174</v>
      </c>
      <c r="D3056" s="2" t="str">
        <f t="shared" si="46"/>
        <v>Error?</v>
      </c>
    </row>
    <row r="3057" spans="1:4" x14ac:dyDescent="0.2">
      <c r="A3057" s="5">
        <v>2996</v>
      </c>
      <c r="B3057" s="138">
        <f>'Expenditures 15-22'!E10</f>
        <v>89</v>
      </c>
      <c r="D3057" s="2" t="str">
        <f t="shared" si="46"/>
        <v>Error?</v>
      </c>
    </row>
    <row r="3058" spans="1:4" x14ac:dyDescent="0.2">
      <c r="A3058" s="5">
        <v>2997</v>
      </c>
      <c r="B3058" s="138">
        <f>'Expenditures 15-22'!F10</f>
        <v>162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240904</v>
      </c>
      <c r="C3062" s="2" t="s">
        <v>573</v>
      </c>
      <c r="D3062" s="2" t="str">
        <f t="shared" si="46"/>
        <v>Error?</v>
      </c>
    </row>
    <row r="3063" spans="1:4" x14ac:dyDescent="0.2">
      <c r="A3063" s="10">
        <v>3002</v>
      </c>
      <c r="D3063" s="2" t="str">
        <f t="shared" si="46"/>
        <v>OK</v>
      </c>
    </row>
    <row r="3064" spans="1:4" x14ac:dyDescent="0.2">
      <c r="A3064" s="5">
        <v>3003</v>
      </c>
      <c r="B3064" s="138">
        <f>'Expenditures 15-22'!D219</f>
        <v>7864</v>
      </c>
      <c r="D3064" s="2" t="str">
        <f t="shared" si="46"/>
        <v>Error?</v>
      </c>
    </row>
    <row r="3065" spans="1:4" x14ac:dyDescent="0.2">
      <c r="A3065" s="5">
        <v>3004</v>
      </c>
      <c r="B3065" s="138">
        <f>'Expenditures 15-22'!K219</f>
        <v>7864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-12036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197606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-14160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79900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-1479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1408290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302194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323547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22279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9031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2065341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57378</v>
      </c>
      <c r="D3387" s="2" t="str">
        <f t="shared" si="51"/>
        <v>Error?</v>
      </c>
    </row>
    <row r="3388" spans="1:4" x14ac:dyDescent="0.2">
      <c r="A3388" s="5">
        <v>3327</v>
      </c>
      <c r="B3388" s="138">
        <f>'Expenditures 15-22'!D217</f>
        <v>105944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57378</v>
      </c>
      <c r="C3390" s="2" t="s">
        <v>573</v>
      </c>
      <c r="D3390" s="2" t="str">
        <f t="shared" si="51"/>
        <v>Error?</v>
      </c>
    </row>
    <row r="3391" spans="1:4" x14ac:dyDescent="0.2">
      <c r="A3391" s="5">
        <v>3330</v>
      </c>
      <c r="B3391" s="138">
        <f>'Expenditures 15-22'!K217</f>
        <v>105944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10498129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885322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962532</v>
      </c>
      <c r="D3417" s="2" t="str">
        <f t="shared" si="52"/>
        <v>Error?</v>
      </c>
    </row>
    <row r="3418" spans="1:4" x14ac:dyDescent="0.2">
      <c r="A3418" s="10">
        <v>3357</v>
      </c>
      <c r="D3418" s="2" t="str">
        <f t="shared" si="52"/>
        <v>OK</v>
      </c>
    </row>
    <row r="3419" spans="1:4" x14ac:dyDescent="0.2">
      <c r="A3419" s="5">
        <v>3358</v>
      </c>
      <c r="B3419" s="138">
        <f>'Assets-Liab 5-6'!F4</f>
        <v>501485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487607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50612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227238</v>
      </c>
      <c r="C3446" s="2" t="s">
        <v>573</v>
      </c>
      <c r="D3446" s="2" t="str">
        <f t="shared" si="52"/>
        <v>Error?</v>
      </c>
    </row>
    <row r="3447" spans="1:4" x14ac:dyDescent="0.2">
      <c r="A3447" s="5">
        <v>3386</v>
      </c>
      <c r="B3447" s="138">
        <f>'Tax Sched 23'!D16</f>
        <v>101994</v>
      </c>
      <c r="C3447" s="2" t="s">
        <v>573</v>
      </c>
      <c r="D3447" s="2" t="str">
        <f t="shared" si="52"/>
        <v>Error?</v>
      </c>
    </row>
    <row r="3448" spans="1:4" x14ac:dyDescent="0.2">
      <c r="A3448" s="5">
        <v>3387</v>
      </c>
      <c r="B3448" s="138">
        <f>'Tax Sched 23'!C16</f>
        <v>125244</v>
      </c>
      <c r="D3448" s="2" t="str">
        <f t="shared" si="52"/>
        <v>Error?</v>
      </c>
    </row>
    <row r="3449" spans="1:4" x14ac:dyDescent="0.2">
      <c r="A3449" s="5">
        <v>3388</v>
      </c>
      <c r="B3449" s="138">
        <f>'Tax Sched 23'!F16</f>
        <v>114422</v>
      </c>
      <c r="C3449" s="2" t="s">
        <v>573</v>
      </c>
      <c r="D3449" s="2" t="str">
        <f t="shared" si="52"/>
        <v>Error?</v>
      </c>
    </row>
    <row r="3450" spans="1:4" x14ac:dyDescent="0.2">
      <c r="A3450" s="5">
        <v>3389</v>
      </c>
      <c r="B3450" s="138">
        <f>'Tax Sched 23'!E16</f>
        <v>239666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4049993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15436990</v>
      </c>
      <c r="C4122" s="2" t="s">
        <v>573</v>
      </c>
      <c r="D4122" s="2" t="str">
        <f t="shared" si="63"/>
        <v>Error?</v>
      </c>
    </row>
    <row r="4123" spans="1:4" x14ac:dyDescent="0.2">
      <c r="A4123" s="5">
        <v>4062</v>
      </c>
      <c r="B4123" s="138">
        <f>'Acct Summary 7-8'!D10</f>
        <v>1278103</v>
      </c>
      <c r="C4123" s="2" t="s">
        <v>573</v>
      </c>
      <c r="D4123" s="2" t="str">
        <f t="shared" si="63"/>
        <v>Error?</v>
      </c>
    </row>
    <row r="4124" spans="1:4" x14ac:dyDescent="0.2">
      <c r="A4124" s="5">
        <v>4063</v>
      </c>
      <c r="B4124" s="138">
        <f>'Acct Summary 7-8'!E10</f>
        <v>1137221</v>
      </c>
      <c r="C4124" s="2" t="s">
        <v>573</v>
      </c>
      <c r="D4124" s="2" t="str">
        <f t="shared" si="63"/>
        <v>Error?</v>
      </c>
    </row>
    <row r="4125" spans="1:4" x14ac:dyDescent="0.2">
      <c r="A4125" s="5">
        <v>4064</v>
      </c>
      <c r="B4125" s="138">
        <f>'Acct Summary 7-8'!F10</f>
        <v>666826</v>
      </c>
      <c r="C4125" s="2" t="s">
        <v>573</v>
      </c>
      <c r="D4125" s="2" t="str">
        <f t="shared" si="63"/>
        <v>Error?</v>
      </c>
    </row>
    <row r="4126" spans="1:4" x14ac:dyDescent="0.2">
      <c r="A4126" s="5">
        <v>4065</v>
      </c>
      <c r="B4126" s="138">
        <f>'Acct Summary 7-8'!G10</f>
        <v>483897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4049993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15449026</v>
      </c>
      <c r="C4136" s="2" t="s">
        <v>573</v>
      </c>
      <c r="D4136" s="2" t="str">
        <f t="shared" si="63"/>
        <v>Error?</v>
      </c>
    </row>
    <row r="4137" spans="1:4" x14ac:dyDescent="0.2">
      <c r="A4137" s="5">
        <v>4076</v>
      </c>
      <c r="B4137" s="138">
        <f>'Acct Summary 7-8'!D19</f>
        <v>1080497</v>
      </c>
      <c r="C4137" s="2" t="s">
        <v>573</v>
      </c>
      <c r="D4137" s="2" t="str">
        <f t="shared" si="63"/>
        <v>Error?</v>
      </c>
    </row>
    <row r="4138" spans="1:4" x14ac:dyDescent="0.2">
      <c r="A4138" s="5">
        <v>4077</v>
      </c>
      <c r="B4138" s="138">
        <f>'Acct Summary 7-8'!E19</f>
        <v>1138700</v>
      </c>
      <c r="C4138" s="2" t="s">
        <v>573</v>
      </c>
      <c r="D4138" s="2" t="str">
        <f t="shared" si="63"/>
        <v>Error?</v>
      </c>
    </row>
    <row r="4139" spans="1:4" x14ac:dyDescent="0.2">
      <c r="A4139" s="5">
        <v>4078</v>
      </c>
      <c r="B4139" s="138">
        <f>'Acct Summary 7-8'!F19</f>
        <v>680986</v>
      </c>
      <c r="C4139" s="2" t="s">
        <v>573</v>
      </c>
      <c r="D4139" s="2" t="str">
        <f t="shared" si="63"/>
        <v>Error?</v>
      </c>
    </row>
    <row r="4140" spans="1:4" x14ac:dyDescent="0.2">
      <c r="A4140" s="5">
        <v>4079</v>
      </c>
      <c r="B4140" s="138">
        <f>'Acct Summary 7-8'!G19</f>
        <v>403997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4623510</v>
      </c>
      <c r="C4171" s="2" t="s">
        <v>573</v>
      </c>
      <c r="D4171" s="2" t="str">
        <f t="shared" si="64"/>
        <v>Error?</v>
      </c>
    </row>
    <row r="4172" spans="1:4" x14ac:dyDescent="0.2">
      <c r="A4172" s="5">
        <v>4111</v>
      </c>
      <c r="B4172" s="138">
        <f>'Short-Term Long-Term Debt 24'!J49</f>
        <v>3660978</v>
      </c>
      <c r="C4172" s="2" t="s">
        <v>573</v>
      </c>
      <c r="D4172" s="2" t="str">
        <f t="shared" si="64"/>
        <v>Error?</v>
      </c>
    </row>
    <row r="4173" spans="1:4" x14ac:dyDescent="0.2">
      <c r="A4173" s="5">
        <v>4112</v>
      </c>
      <c r="B4173" s="138">
        <f>'Short-Term Long-Term Debt 24'!H49</f>
        <v>995000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-88413</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1336</v>
      </c>
      <c r="C4265" s="2" t="s">
        <v>573</v>
      </c>
      <c r="D4265" s="2" t="str">
        <f t="shared" si="65"/>
        <v>Error?</v>
      </c>
      <c r="E4265" s="128"/>
    </row>
    <row r="4266" spans="1:5" x14ac:dyDescent="0.2">
      <c r="A4266" s="12">
        <v>4205</v>
      </c>
      <c r="B4266" s="138">
        <f>('FP Info 3'!F10)*100000</f>
        <v>183.3</v>
      </c>
      <c r="C4266" s="2" t="s">
        <v>573</v>
      </c>
      <c r="D4266" s="2" t="str">
        <f t="shared" si="65"/>
        <v>Error?</v>
      </c>
      <c r="E4266" s="128"/>
    </row>
    <row r="4267" spans="1:5" x14ac:dyDescent="0.2">
      <c r="A4267" s="12">
        <v>4206</v>
      </c>
      <c r="B4267" s="138">
        <f>('FP Info 3'!H10)*100000</f>
        <v>117.6</v>
      </c>
      <c r="C4267" s="2" t="s">
        <v>573</v>
      </c>
      <c r="D4267" s="2" t="str">
        <f t="shared" si="65"/>
        <v>Error?</v>
      </c>
      <c r="E4267" s="128"/>
    </row>
    <row r="4268" spans="1:5" x14ac:dyDescent="0.2">
      <c r="A4268" s="12">
        <v>4207</v>
      </c>
      <c r="B4268" s="138">
        <f>('FP Info 3'!J10)*100000</f>
        <v>1637</v>
      </c>
      <c r="C4268" s="2" t="s">
        <v>573</v>
      </c>
      <c r="D4268" s="2" t="str">
        <f t="shared" si="65"/>
        <v>Error?</v>
      </c>
    </row>
    <row r="4269" spans="1:5" x14ac:dyDescent="0.2">
      <c r="A4269" s="12">
        <v>4208</v>
      </c>
      <c r="B4269" s="138">
        <f>'FP Info 3'!J16</f>
        <v>11884936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750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50100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763267498</v>
      </c>
      <c r="D4995" s="2" t="str">
        <f t="shared" si="77"/>
        <v>Error?</v>
      </c>
    </row>
    <row r="4996" spans="1:4" x14ac:dyDescent="0.2">
      <c r="A4996" s="12">
        <v>4935</v>
      </c>
      <c r="B4996" s="138">
        <f>'FP Info 3'!H31</f>
        <v>52665457.362000003</v>
      </c>
      <c r="D4996" s="2" t="str">
        <f t="shared" si="77"/>
        <v>Error?</v>
      </c>
    </row>
    <row r="4997" spans="1:4" x14ac:dyDescent="0.2">
      <c r="A4997" s="12">
        <v>4936</v>
      </c>
      <c r="B4997" s="138">
        <f>'FP Info 3'!H37</f>
        <v>4623510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9700409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9700409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345751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345751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7680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16522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24202</v>
      </c>
      <c r="C5087" s="2" t="s">
        <v>573</v>
      </c>
      <c r="D5087" s="2" t="str">
        <f t="shared" si="78"/>
        <v>Error?</v>
      </c>
    </row>
    <row r="5088" spans="1:4" x14ac:dyDescent="0.2">
      <c r="A5088" s="5">
        <v>5027</v>
      </c>
      <c r="B5088" s="138">
        <f>'Revenues 9-14'!C65</f>
        <v>157728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157728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206814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7053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7053</v>
      </c>
      <c r="C5102" s="2" t="s">
        <v>573</v>
      </c>
      <c r="D5102" s="2" t="str">
        <f t="shared" si="78"/>
        <v>Error?</v>
      </c>
    </row>
    <row r="5103" spans="1:4" x14ac:dyDescent="0.2">
      <c r="A5103" s="5">
        <v>5042</v>
      </c>
      <c r="B5103" s="138">
        <f>'Revenues 9-14'!C84</f>
        <v>105160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105160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16897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7135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15360</v>
      </c>
      <c r="D5119" s="2" t="str">
        <f t="shared" ref="D5119:D5182" si="79">IF(ISBLANK(B5119),"OK",IF(A5119-B5119=0,"OK","Error?"))</f>
        <v>Error?</v>
      </c>
    </row>
    <row r="5120" spans="1:4" x14ac:dyDescent="0.2">
      <c r="A5120" s="5">
        <v>5059</v>
      </c>
      <c r="B5120" s="138">
        <f>'Revenues 9-14'!C108</f>
        <v>39392</v>
      </c>
      <c r="C5120" s="2" t="s">
        <v>573</v>
      </c>
      <c r="D5120" s="2" t="str">
        <f t="shared" si="79"/>
        <v>Error?</v>
      </c>
    </row>
    <row r="5121" spans="1:4" x14ac:dyDescent="0.2">
      <c r="A5121" s="5">
        <v>5060</v>
      </c>
      <c r="B5121" s="138">
        <f>'Revenues 9-14'!C109</f>
        <v>10586509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597459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597459</v>
      </c>
      <c r="C5132" s="2" t="s">
        <v>573</v>
      </c>
      <c r="D5132" s="2" t="str">
        <f t="shared" si="79"/>
        <v>Error?</v>
      </c>
    </row>
    <row r="5133" spans="1:4" x14ac:dyDescent="0.2">
      <c r="A5133" s="5">
        <v>5072</v>
      </c>
      <c r="B5133" s="138">
        <f>'Revenues 9-14'!C125</f>
        <v>70888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70888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71638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669097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43827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43827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37464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37464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131391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131391</v>
      </c>
      <c r="C5326" s="2" t="s">
        <v>573</v>
      </c>
      <c r="D5326" s="2" t="str">
        <f t="shared" si="82"/>
        <v>Error?</v>
      </c>
    </row>
    <row r="5327" spans="1:5" x14ac:dyDescent="0.2">
      <c r="A5327" s="5">
        <v>5266</v>
      </c>
      <c r="B5327" s="138">
        <f>'Revenues 9-14'!C268</f>
        <v>11386997</v>
      </c>
      <c r="C5327" s="2" t="s">
        <v>573</v>
      </c>
      <c r="D5327" s="2" t="str">
        <f t="shared" si="82"/>
        <v>Error?</v>
      </c>
    </row>
    <row r="5328" spans="1:5" x14ac:dyDescent="0.2">
      <c r="A5328" s="5">
        <v>5267</v>
      </c>
      <c r="B5328" s="138">
        <f>'Revenues 9-14'!D5</f>
        <v>1230864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1230864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10048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10048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18025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19166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37191</v>
      </c>
      <c r="C5355" s="2" t="s">
        <v>573</v>
      </c>
      <c r="D5355" s="2" t="str">
        <f t="shared" si="82"/>
        <v>Error?</v>
      </c>
    </row>
    <row r="5356" spans="1:4" x14ac:dyDescent="0.2">
      <c r="A5356" s="5">
        <v>5295</v>
      </c>
      <c r="B5356" s="138">
        <f>'Revenues 9-14'!D109</f>
        <v>1278103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1278103</v>
      </c>
      <c r="C5508" s="2" t="s">
        <v>573</v>
      </c>
      <c r="D5508" s="2" t="str">
        <f t="shared" si="85"/>
        <v>Error?</v>
      </c>
    </row>
    <row r="5509" spans="1:4" x14ac:dyDescent="0.2">
      <c r="A5509" s="5">
        <v>5448</v>
      </c>
      <c r="B5509" s="138">
        <f>'Revenues 9-14'!E5</f>
        <v>1125546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1125546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11675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11675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1137221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1137221</v>
      </c>
      <c r="C5552" s="2" t="s">
        <v>573</v>
      </c>
      <c r="D5552" s="2" t="str">
        <f t="shared" si="85"/>
        <v>Error?</v>
      </c>
    </row>
    <row r="5553" spans="1:4" x14ac:dyDescent="0.2">
      <c r="A5553" s="5">
        <v>5492</v>
      </c>
      <c r="B5553" s="138">
        <f>'Revenues 9-14'!F5</f>
        <v>425295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425295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67515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67515</v>
      </c>
      <c r="C5579" s="2" t="s">
        <v>573</v>
      </c>
      <c r="D5579" s="2" t="str">
        <f t="shared" si="86"/>
        <v>Error?</v>
      </c>
    </row>
    <row r="5580" spans="1:4" x14ac:dyDescent="0.2">
      <c r="A5580" s="5">
        <v>5519</v>
      </c>
      <c r="B5580" s="138">
        <f>'Revenues 9-14'!F65</f>
        <v>6604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6604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499414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7866</v>
      </c>
      <c r="D5615" s="2" t="str">
        <f t="shared" si="86"/>
        <v>Error?</v>
      </c>
    </row>
    <row r="5616" spans="1:4" x14ac:dyDescent="0.2">
      <c r="A5616" s="10">
        <v>5555</v>
      </c>
      <c r="D5616" s="2" t="str">
        <f t="shared" si="86"/>
        <v>OK</v>
      </c>
    </row>
    <row r="5617" spans="1:5" x14ac:dyDescent="0.2">
      <c r="A5617" s="5">
        <v>5556</v>
      </c>
      <c r="B5617" s="138">
        <f>'Revenues 9-14'!F153</f>
        <v>159546</v>
      </c>
      <c r="D5617" s="2" t="str">
        <f t="shared" si="86"/>
        <v>Error?</v>
      </c>
    </row>
    <row r="5618" spans="1:5" x14ac:dyDescent="0.2">
      <c r="A5618" s="5">
        <v>5557</v>
      </c>
      <c r="B5618" s="138">
        <f>'Revenues 9-14'!F155</f>
        <v>167412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167412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167412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666826</v>
      </c>
      <c r="C5720" s="2" t="s">
        <v>573</v>
      </c>
      <c r="D5720" s="2" t="str">
        <f t="shared" si="88"/>
        <v>Error?</v>
      </c>
    </row>
    <row r="5721" spans="1:4" x14ac:dyDescent="0.2">
      <c r="A5721" s="5">
        <v>5660</v>
      </c>
      <c r="B5721" s="138">
        <f>'Revenues 9-14'!G5</f>
        <v>227238</v>
      </c>
      <c r="D5721" s="2" t="str">
        <f t="shared" si="88"/>
        <v>Error?</v>
      </c>
    </row>
    <row r="5722" spans="1:4" x14ac:dyDescent="0.2">
      <c r="A5722" s="5">
        <v>5661</v>
      </c>
      <c r="B5722" s="138">
        <f>'Revenues 9-14'!G7</f>
        <v>0</v>
      </c>
      <c r="D5722" s="2" t="str">
        <f t="shared" si="88"/>
        <v>Error?</v>
      </c>
    </row>
    <row r="5723" spans="1:4" x14ac:dyDescent="0.2">
      <c r="A5723" s="5">
        <v>5662</v>
      </c>
      <c r="B5723" s="138">
        <f>'Revenues 9-14'!G8</f>
        <v>227238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454476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23000</v>
      </c>
      <c r="C5730" s="2" t="s">
        <v>573</v>
      </c>
      <c r="D5730" s="2" t="str">
        <f t="shared" si="88"/>
        <v>Error?</v>
      </c>
    </row>
    <row r="5731" spans="1:4" x14ac:dyDescent="0.2">
      <c r="A5731" s="5">
        <v>5670</v>
      </c>
      <c r="B5731" s="138">
        <f>'Revenues 9-14'!G65</f>
        <v>6421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6421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483897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483897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206814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832.2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107880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107880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107880</v>
      </c>
      <c r="D6216" s="2" t="str">
        <f t="shared" si="96"/>
        <v>Error?</v>
      </c>
      <c r="E6216" s="2" t="s">
        <v>190</v>
      </c>
    </row>
    <row r="6217" spans="1:5" x14ac:dyDescent="0.2">
      <c r="A6217">
        <v>6156</v>
      </c>
      <c r="B6217" s="138">
        <f>'Assets-Liab 5-6'!J4</f>
        <v>107880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8864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8864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8864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37089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37089</v>
      </c>
      <c r="D6229" s="2" t="str">
        <f t="shared" si="96"/>
        <v>Error?</v>
      </c>
      <c r="E6229" s="2" t="s">
        <v>190</v>
      </c>
    </row>
    <row r="6230" spans="1:5" x14ac:dyDescent="0.2">
      <c r="A6230">
        <v>6169</v>
      </c>
      <c r="B6230" s="138">
        <f>'Acct Summary 7-8'!J20</f>
        <v>-28225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-28225</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136105</v>
      </c>
      <c r="D6265" s="2" t="str">
        <f t="shared" si="96"/>
        <v>Error?</v>
      </c>
      <c r="E6265" s="2" t="s">
        <v>190</v>
      </c>
    </row>
    <row r="6266" spans="1:5" x14ac:dyDescent="0.2">
      <c r="A6266">
        <v>6205</v>
      </c>
      <c r="B6266" s="138">
        <f>'Acct Summary 7-8'!J81</f>
        <v>107880</v>
      </c>
      <c r="D6266" s="2" t="str">
        <f t="shared" si="96"/>
        <v>Error?</v>
      </c>
      <c r="E6266" s="2" t="s">
        <v>190</v>
      </c>
    </row>
    <row r="6267" spans="1:5" x14ac:dyDescent="0.2">
      <c r="A6267">
        <v>6206</v>
      </c>
      <c r="B6267" s="138">
        <f>'Acct Summary 7-8'!C82</f>
        <v>10498129</v>
      </c>
      <c r="D6267" s="2" t="str">
        <f t="shared" si="96"/>
        <v>Error?</v>
      </c>
      <c r="E6267" s="2" t="s">
        <v>190</v>
      </c>
    </row>
    <row r="6268" spans="1:5" x14ac:dyDescent="0.2">
      <c r="A6268">
        <v>6207</v>
      </c>
      <c r="B6268" s="138">
        <f>'Acct Summary 7-8'!D82</f>
        <v>885322</v>
      </c>
      <c r="D6268" s="2" t="str">
        <f t="shared" si="96"/>
        <v>Error?</v>
      </c>
      <c r="E6268" s="2" t="s">
        <v>190</v>
      </c>
    </row>
    <row r="6269" spans="1:5" x14ac:dyDescent="0.2">
      <c r="A6269">
        <v>6208</v>
      </c>
      <c r="B6269" s="138">
        <f>'Acct Summary 7-8'!E82</f>
        <v>962532</v>
      </c>
      <c r="D6269" s="2" t="str">
        <f t="shared" si="96"/>
        <v>Error?</v>
      </c>
      <c r="E6269" s="2" t="s">
        <v>190</v>
      </c>
    </row>
    <row r="6270" spans="1:5" x14ac:dyDescent="0.2">
      <c r="A6270">
        <v>6209</v>
      </c>
      <c r="B6270" s="138">
        <f>'Acct Summary 7-8'!F82</f>
        <v>501485</v>
      </c>
      <c r="D6270" s="2" t="str">
        <f t="shared" si="96"/>
        <v>Error?</v>
      </c>
      <c r="E6270" s="2" t="s">
        <v>190</v>
      </c>
    </row>
    <row r="6271" spans="1:5" x14ac:dyDescent="0.2">
      <c r="A6271">
        <v>6210</v>
      </c>
      <c r="B6271" s="138">
        <f>'Acct Summary 7-8'!G82</f>
        <v>487607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107880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v>
      </c>
      <c r="D6276" s="2" t="str">
        <f t="shared" si="97"/>
        <v>Error?</v>
      </c>
      <c r="E6276" s="2" t="s">
        <v>190</v>
      </c>
    </row>
    <row r="6277" spans="1:5" x14ac:dyDescent="0.2">
      <c r="A6277">
        <v>6216</v>
      </c>
      <c r="B6277" s="138">
        <f>'Acct Summary 7-8'!D83</f>
        <v>1</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1</v>
      </c>
      <c r="D6279" s="2" t="str">
        <f t="shared" si="97"/>
        <v>Error?</v>
      </c>
      <c r="E6279" s="2" t="s">
        <v>190</v>
      </c>
    </row>
    <row r="6280" spans="1:5" x14ac:dyDescent="0.2">
      <c r="A6280">
        <v>6219</v>
      </c>
      <c r="B6280" s="138">
        <f>'Acct Summary 7-8'!G83</f>
        <v>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1</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7462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7462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1402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1402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8864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37089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8864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37089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37089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37089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37089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37089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37089</v>
      </c>
      <c r="D7224" s="2" t="str">
        <f t="shared" si="111"/>
        <v>Error?</v>
      </c>
    </row>
    <row r="7225" spans="1:4" x14ac:dyDescent="0.2">
      <c r="A7225">
        <v>7164</v>
      </c>
      <c r="B7225" s="138">
        <f>'Expenditures 15-22'!K343</f>
        <v>-28225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29'!D140</f>
        <v>166118</v>
      </c>
      <c r="D7797" s="2" t="str">
        <f t="shared" si="127"/>
        <v>Error?</v>
      </c>
      <c r="E7797" s="4" t="s">
        <v>1903</v>
      </c>
    </row>
    <row r="7798" spans="1:5" x14ac:dyDescent="0.2">
      <c r="A7798">
        <v>7737</v>
      </c>
      <c r="B7798" s="138">
        <f>'Contracts Paid in CY 29'!F140</f>
        <v>65868</v>
      </c>
      <c r="D7798" s="2" t="str">
        <f t="shared" si="127"/>
        <v>Error?</v>
      </c>
      <c r="E7798" s="4" t="s">
        <v>1903</v>
      </c>
    </row>
    <row r="7799" spans="1:5" x14ac:dyDescent="0.2">
      <c r="A7799">
        <v>7738</v>
      </c>
      <c r="B7799" s="138">
        <f>'Contracts Paid in CY 29'!G140</f>
        <v>100250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I42" sqref="I42:O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4" t="s">
        <v>1191</v>
      </c>
      <c r="B2" s="2394"/>
      <c r="C2" s="2394"/>
      <c r="D2" s="2394"/>
      <c r="E2" s="2394"/>
      <c r="F2" s="2394"/>
      <c r="G2" s="2394"/>
      <c r="H2" s="2394"/>
      <c r="I2" s="2394"/>
      <c r="J2" s="2394"/>
      <c r="K2" s="2394"/>
      <c r="L2" s="2394"/>
    </row>
    <row r="3" spans="1:29" ht="13.5" customHeight="1" x14ac:dyDescent="0.2">
      <c r="A3" s="2425" t="s">
        <v>1190</v>
      </c>
      <c r="B3" s="2425"/>
      <c r="C3" s="2425"/>
      <c r="D3" s="2425"/>
      <c r="E3" s="2425"/>
      <c r="F3" s="2425"/>
      <c r="G3" s="2425"/>
      <c r="H3" s="2425"/>
      <c r="I3" s="2425"/>
      <c r="J3" s="2425"/>
      <c r="K3" s="2425"/>
      <c r="L3" s="2425"/>
    </row>
    <row r="4" spans="1:29" ht="13.5" customHeight="1" x14ac:dyDescent="0.2">
      <c r="A4" s="2394" t="s">
        <v>1987</v>
      </c>
      <c r="B4" s="2415"/>
      <c r="C4" s="2415"/>
      <c r="D4" s="2415"/>
      <c r="E4" s="2415"/>
      <c r="F4" s="2415"/>
      <c r="G4" s="2415"/>
      <c r="H4" s="2415"/>
      <c r="I4" s="2415"/>
      <c r="J4" s="2415"/>
      <c r="K4" s="2415"/>
      <c r="L4" s="241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6" t="str">
        <f>COVER!A17</f>
        <v>Gower SD 62</v>
      </c>
      <c r="B7" s="2417"/>
      <c r="C7" s="2417"/>
      <c r="D7" s="2418"/>
      <c r="E7" s="2419">
        <f>COVER!A13</f>
        <v>19022062002</v>
      </c>
      <c r="F7" s="2420"/>
      <c r="G7" s="2426" t="str">
        <f>COVER!T23</f>
        <v>066-003284</v>
      </c>
      <c r="H7" s="2427"/>
      <c r="I7" s="2427"/>
      <c r="J7" s="2427"/>
      <c r="K7" s="2427"/>
      <c r="L7" s="242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9"/>
      <c r="B9" s="2430"/>
      <c r="C9" s="2430"/>
      <c r="D9" s="2430"/>
      <c r="E9" s="2430"/>
      <c r="F9" s="2431"/>
      <c r="G9" s="2400" t="str">
        <f>COVER!T13</f>
        <v>Sikich LLP</v>
      </c>
      <c r="H9" s="2432"/>
      <c r="I9" s="2432"/>
      <c r="J9" s="2432"/>
      <c r="K9" s="2432"/>
      <c r="L9" s="2433"/>
    </row>
    <row r="10" spans="1:29" ht="13.5" customHeight="1" x14ac:dyDescent="0.2">
      <c r="A10" s="2406" t="str">
        <f>COVER!A38</f>
        <v>Victor Simon III, Ed. D.</v>
      </c>
      <c r="B10" s="2407"/>
      <c r="C10" s="2407"/>
      <c r="D10" s="2407"/>
      <c r="E10" s="2407"/>
      <c r="F10" s="2408"/>
      <c r="G10" s="2400" t="str">
        <f>COVER!T17</f>
        <v>1415 Diehl Road, Suite 400</v>
      </c>
      <c r="H10" s="2401"/>
      <c r="I10" s="2401"/>
      <c r="J10" s="2401"/>
      <c r="K10" s="2401"/>
      <c r="L10" s="2402"/>
    </row>
    <row r="11" spans="1:29" ht="13.5" customHeight="1" x14ac:dyDescent="0.2">
      <c r="A11" s="1184" t="s">
        <v>1519</v>
      </c>
      <c r="B11" s="1185"/>
      <c r="C11" s="1186"/>
      <c r="D11" s="1191"/>
      <c r="E11" s="1186"/>
      <c r="F11" s="1190"/>
      <c r="G11" s="2400" t="str">
        <f>COVER!T19</f>
        <v>Naperville</v>
      </c>
      <c r="H11" s="2401"/>
      <c r="I11" s="2401"/>
      <c r="J11" s="2401"/>
      <c r="K11" s="2401"/>
      <c r="L11" s="2402"/>
    </row>
    <row r="12" spans="1:29" ht="13.5" customHeight="1" x14ac:dyDescent="0.2">
      <c r="A12" s="2409" t="s">
        <v>1518</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1520</v>
      </c>
      <c r="H13" s="2396"/>
      <c r="I13" s="2412" t="str">
        <f>COVER!T25</f>
        <v>anthony.cervini@sikich.com</v>
      </c>
      <c r="J13" s="2413"/>
      <c r="K13" s="2413"/>
      <c r="L13" s="2414"/>
    </row>
    <row r="14" spans="1:29" ht="13.5" customHeight="1" x14ac:dyDescent="0.2">
      <c r="A14" s="2400" t="str">
        <f>COVER!A19</f>
        <v>7700 Clarendon Hills Road</v>
      </c>
      <c r="B14" s="2401"/>
      <c r="C14" s="2401"/>
      <c r="D14" s="2401"/>
      <c r="E14" s="2401"/>
      <c r="F14" s="2402"/>
      <c r="G14" s="1195" t="s">
        <v>1185</v>
      </c>
      <c r="H14" s="1193"/>
      <c r="I14" s="1193"/>
      <c r="J14" s="1193"/>
      <c r="K14" s="1193"/>
      <c r="L14" s="1194"/>
    </row>
    <row r="15" spans="1:29" ht="13.5" customHeight="1" x14ac:dyDescent="0.2">
      <c r="A15" s="2400" t="str">
        <f>COVER!A21</f>
        <v>Willowbrook</v>
      </c>
      <c r="B15" s="2401"/>
      <c r="C15" s="2401"/>
      <c r="D15" s="2401"/>
      <c r="E15" s="2401"/>
      <c r="F15" s="2402"/>
      <c r="G15" s="2397" t="str">
        <f>COVER!T15</f>
        <v>Anthony Cervini</v>
      </c>
      <c r="H15" s="2398"/>
      <c r="I15" s="2398"/>
      <c r="J15" s="2398"/>
      <c r="K15" s="2398"/>
      <c r="L15" s="2399"/>
    </row>
    <row r="16" spans="1:29" ht="12.2" customHeight="1" x14ac:dyDescent="0.2">
      <c r="A16" s="2422">
        <f>COVER!A25</f>
        <v>60527</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95" t="s">
        <v>1184</v>
      </c>
      <c r="H17" s="1193"/>
      <c r="I17" s="1193"/>
      <c r="J17" s="1193"/>
      <c r="K17" s="1197" t="s">
        <v>1183</v>
      </c>
      <c r="L17" s="1190"/>
      <c r="M17" s="1183"/>
    </row>
    <row r="18" spans="1:13" ht="12.2" customHeight="1" x14ac:dyDescent="0.2">
      <c r="A18" s="2406"/>
      <c r="B18" s="2407"/>
      <c r="C18" s="2407"/>
      <c r="D18" s="2407"/>
      <c r="E18" s="2407"/>
      <c r="F18" s="2408"/>
      <c r="G18" s="2416" t="str">
        <f>COVER!T21</f>
        <v>630-566-8400</v>
      </c>
      <c r="H18" s="2417"/>
      <c r="I18" s="2417"/>
      <c r="J18" s="2417"/>
      <c r="K18" s="2416" t="str">
        <f>COVER!X21</f>
        <v>630-566-8458</v>
      </c>
      <c r="L18" s="242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I42" sqref="I42:O4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8" t="str">
        <f>'Single Audit Cover'!A7</f>
        <v>Gower SD 62</v>
      </c>
      <c r="B1" s="2415"/>
      <c r="C1" s="2415"/>
      <c r="D1" s="2415"/>
    </row>
    <row r="2" spans="1:11" s="1212" customFormat="1" ht="12.75" x14ac:dyDescent="0.2">
      <c r="A2" s="2439">
        <f>'Single Audit Cover'!E7</f>
        <v>19022062002</v>
      </c>
      <c r="B2" s="2440"/>
      <c r="C2" s="2440"/>
      <c r="D2" s="2440"/>
    </row>
    <row r="3" spans="1:11" s="1212" customFormat="1" ht="12.75" x14ac:dyDescent="0.2">
      <c r="A3" s="2438" t="s">
        <v>1513</v>
      </c>
      <c r="B3" s="2415"/>
      <c r="C3" s="2415"/>
      <c r="D3" s="241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42" sqref="I42:O4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2" t="str">
        <f>'Single Audit Cover'!A7</f>
        <v>Gower SD 62</v>
      </c>
      <c r="B1" s="2442"/>
      <c r="C1" s="2442"/>
      <c r="D1" s="2442"/>
      <c r="E1" s="2442"/>
    </row>
    <row r="2" spans="1:5" x14ac:dyDescent="0.2">
      <c r="A2" s="2443">
        <f>'Single Audit Cover'!E7</f>
        <v>19022062002</v>
      </c>
      <c r="B2" s="2443"/>
      <c r="C2" s="2443"/>
      <c r="D2" s="2443"/>
      <c r="E2" s="2443"/>
    </row>
    <row r="3" spans="1:5" ht="4.5" customHeight="1" x14ac:dyDescent="0.2"/>
    <row r="4" spans="1:5" x14ac:dyDescent="0.2">
      <c r="A4" s="2442" t="s">
        <v>1245</v>
      </c>
      <c r="B4" s="2442"/>
      <c r="C4" s="2442"/>
      <c r="D4" s="2442"/>
      <c r="E4" s="2442"/>
    </row>
    <row r="5" spans="1:5" x14ac:dyDescent="0.2">
      <c r="A5" s="2445" t="str">
        <f>'Single Audit Cover'!A4</f>
        <v>Year Ending June 30, 2019</v>
      </c>
      <c r="B5" s="2445"/>
      <c r="C5" s="2445"/>
      <c r="D5" s="2445"/>
      <c r="E5" s="2445"/>
    </row>
    <row r="6" spans="1:5" x14ac:dyDescent="0.2">
      <c r="A6" s="2442" t="s">
        <v>1244</v>
      </c>
      <c r="B6" s="2442"/>
      <c r="C6" s="2442"/>
      <c r="D6" s="2442"/>
      <c r="E6" s="2442"/>
    </row>
    <row r="8" spans="1:5" x14ac:dyDescent="0.2">
      <c r="A8" s="1257" t="s">
        <v>1243</v>
      </c>
    </row>
    <row r="10" spans="1:5" x14ac:dyDescent="0.2">
      <c r="A10" s="1258" t="s">
        <v>1242</v>
      </c>
      <c r="B10" s="1259" t="s">
        <v>1241</v>
      </c>
      <c r="C10" s="1259"/>
      <c r="D10" s="1260">
        <f>SUM('Acct Summary 7-8'!C7:K7)</f>
        <v>131391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131391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4"/>
      <c r="B24" s="2444"/>
      <c r="D24" s="1265"/>
    </row>
    <row r="25" spans="1:4" x14ac:dyDescent="0.2">
      <c r="A25" s="2441"/>
      <c r="B25" s="2441"/>
      <c r="D25" s="1265"/>
    </row>
    <row r="26" spans="1:4" x14ac:dyDescent="0.2">
      <c r="A26" s="2441"/>
      <c r="B26" s="2441"/>
      <c r="D26" s="1265"/>
    </row>
    <row r="27" spans="1:4" x14ac:dyDescent="0.2">
      <c r="A27" s="2441"/>
      <c r="B27" s="2441"/>
      <c r="D27" s="1265"/>
    </row>
    <row r="28" spans="1:4" x14ac:dyDescent="0.2">
      <c r="A28" s="2441"/>
      <c r="B28" s="2441"/>
      <c r="D28" s="1265"/>
    </row>
    <row r="29" spans="1:4" x14ac:dyDescent="0.2">
      <c r="A29" s="2441"/>
      <c r="B29" s="2441"/>
      <c r="D29" s="1265"/>
    </row>
    <row r="30" spans="1:4" x14ac:dyDescent="0.2">
      <c r="A30" s="2441"/>
      <c r="B30" s="2441"/>
      <c r="D30" s="1265"/>
    </row>
    <row r="32" spans="1:4" x14ac:dyDescent="0.2">
      <c r="A32" s="1257" t="s">
        <v>1233</v>
      </c>
      <c r="D32" s="1260">
        <f>SUM(D19:D30)</f>
        <v>131391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41"/>
      <c r="B40" s="2441"/>
      <c r="D40" s="1265"/>
    </row>
    <row r="41" spans="1:4" x14ac:dyDescent="0.2">
      <c r="A41" s="2441"/>
      <c r="B41" s="2441"/>
      <c r="D41" s="1268"/>
    </row>
    <row r="42" spans="1:4" x14ac:dyDescent="0.2">
      <c r="A42" s="2441"/>
      <c r="B42" s="2441"/>
      <c r="D42" s="1268"/>
    </row>
    <row r="43" spans="1:4" x14ac:dyDescent="0.2">
      <c r="A43" s="2441"/>
      <c r="B43" s="2441"/>
      <c r="D43" s="1268"/>
    </row>
    <row r="44" spans="1:4" x14ac:dyDescent="0.2">
      <c r="A44" s="2441"/>
      <c r="B44" s="2441"/>
      <c r="D44" s="1268"/>
    </row>
    <row r="45" spans="1:4" x14ac:dyDescent="0.2">
      <c r="A45" s="2441"/>
      <c r="B45" s="2441"/>
      <c r="D45" s="1268"/>
    </row>
    <row r="47" spans="1:4" x14ac:dyDescent="0.2">
      <c r="B47" s="1269" t="s">
        <v>1227</v>
      </c>
      <c r="C47" s="1269"/>
      <c r="D47" s="1270">
        <f>SUM(D35:D45)</f>
        <v>0</v>
      </c>
    </row>
    <row r="49" spans="2:4" x14ac:dyDescent="0.2">
      <c r="B49" s="1269" t="s">
        <v>1226</v>
      </c>
      <c r="C49" s="1269"/>
      <c r="D49" s="1270">
        <f>D32-D47</f>
        <v>131391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42" sqref="I42:O4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5" t="str">
        <f>'Single Audit Cover'!A7</f>
        <v>Gower SD 62</v>
      </c>
      <c r="C1" s="2446"/>
      <c r="D1" s="2446"/>
      <c r="E1" s="2446"/>
      <c r="F1" s="2446"/>
      <c r="G1" s="2446"/>
      <c r="H1" s="2446"/>
      <c r="I1" s="2446"/>
      <c r="J1" s="2446"/>
      <c r="K1" s="2446"/>
      <c r="L1" s="2446"/>
      <c r="M1" s="2446"/>
    </row>
    <row r="2" spans="2:14" ht="15" x14ac:dyDescent="0.2">
      <c r="B2" s="2447">
        <f>'Single Audit Cover'!E7</f>
        <v>19022062002</v>
      </c>
      <c r="C2" s="2447"/>
      <c r="D2" s="2447"/>
      <c r="E2" s="2447"/>
      <c r="F2" s="2447"/>
      <c r="G2" s="2447"/>
      <c r="H2" s="2447"/>
      <c r="I2" s="2447"/>
      <c r="J2" s="2447"/>
      <c r="K2" s="2447"/>
      <c r="L2" s="2447"/>
      <c r="M2" s="2447"/>
      <c r="N2" s="1299"/>
    </row>
    <row r="3" spans="2:14" ht="15" x14ac:dyDescent="0.2">
      <c r="B3" s="2448" t="s">
        <v>1219</v>
      </c>
      <c r="C3" s="2448"/>
      <c r="D3" s="2448"/>
      <c r="E3" s="2448"/>
      <c r="F3" s="2448"/>
      <c r="G3" s="2448"/>
      <c r="H3" s="2448"/>
      <c r="I3" s="2448"/>
      <c r="J3" s="2448"/>
      <c r="K3" s="2448"/>
      <c r="L3" s="2448"/>
      <c r="M3" s="2448"/>
      <c r="N3" s="1299"/>
    </row>
    <row r="4" spans="2:14" ht="15" x14ac:dyDescent="0.2">
      <c r="B4" s="2449" t="str">
        <f>'Single Audit Cover'!A4</f>
        <v>Year Ending June 30, 2019</v>
      </c>
      <c r="C4" s="2449"/>
      <c r="D4" s="2449"/>
      <c r="E4" s="2449"/>
      <c r="F4" s="2449"/>
      <c r="G4" s="2449"/>
      <c r="H4" s="2449"/>
      <c r="I4" s="2449"/>
      <c r="J4" s="2449"/>
      <c r="K4" s="2449"/>
      <c r="L4" s="2449"/>
      <c r="M4" s="244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I42" sqref="I42:O4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Gower SD 62</v>
      </c>
      <c r="B1" s="2459"/>
      <c r="C1" s="2459"/>
      <c r="D1" s="2459"/>
      <c r="E1" s="2459"/>
      <c r="F1" s="2459"/>
    </row>
    <row r="2" spans="1:7" ht="13.5" customHeight="1" x14ac:dyDescent="0.2">
      <c r="A2" s="2447">
        <f>'Single Audit Cover'!E7</f>
        <v>19022062002</v>
      </c>
      <c r="B2" s="2447"/>
      <c r="C2" s="2447"/>
      <c r="D2" s="2447"/>
      <c r="E2" s="2447"/>
      <c r="F2" s="2447"/>
      <c r="G2" s="1272"/>
    </row>
    <row r="3" spans="1:7" ht="15.75" customHeight="1" x14ac:dyDescent="0.2">
      <c r="A3" s="2460" t="s">
        <v>1271</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7"/>
      <c r="D5" s="317"/>
    </row>
    <row r="6" spans="1:7" ht="13.5" customHeight="1" x14ac:dyDescent="0.2">
      <c r="A6" s="1273" t="s">
        <v>1728</v>
      </c>
      <c r="C6" s="317"/>
      <c r="D6" s="317"/>
    </row>
    <row r="7" spans="1:7" ht="60.95" customHeight="1" x14ac:dyDescent="0.2">
      <c r="A7" s="2458" t="s">
        <v>1729</v>
      </c>
      <c r="B7" s="2458"/>
      <c r="C7" s="2458"/>
      <c r="D7" s="2458"/>
      <c r="E7" s="2458"/>
      <c r="F7" s="245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8" t="s">
        <v>1731</v>
      </c>
      <c r="B13" s="2458"/>
      <c r="C13" s="2458"/>
      <c r="D13" s="2458"/>
      <c r="E13" s="2458"/>
      <c r="F13" s="2458"/>
    </row>
    <row r="14" spans="1:7" ht="9.75" customHeight="1" x14ac:dyDescent="0.2">
      <c r="C14" s="1257"/>
      <c r="D14" s="1257"/>
    </row>
    <row r="15" spans="1:7" ht="13.5" customHeight="1" x14ac:dyDescent="0.2">
      <c r="C15" s="1846" t="s">
        <v>1270</v>
      </c>
      <c r="D15" s="2456" t="s">
        <v>1269</v>
      </c>
      <c r="E15" s="2456"/>
      <c r="F15" s="2456"/>
    </row>
    <row r="16" spans="1:7" ht="13.5" customHeight="1" x14ac:dyDescent="0.2">
      <c r="A16" s="1279"/>
      <c r="B16" s="1273" t="s">
        <v>1268</v>
      </c>
      <c r="C16" s="1846" t="s">
        <v>1267</v>
      </c>
      <c r="D16" s="2457" t="s">
        <v>1588</v>
      </c>
      <c r="E16" s="2457"/>
      <c r="F16" s="2457"/>
    </row>
    <row r="17" spans="1:6" ht="20.45" customHeight="1" x14ac:dyDescent="0.2">
      <c r="A17" s="1280"/>
      <c r="B17" s="1281"/>
      <c r="C17" s="1282"/>
      <c r="D17" s="2451"/>
      <c r="E17" s="2451"/>
      <c r="F17" s="2451"/>
    </row>
    <row r="18" spans="1:6" ht="20.65" customHeight="1" x14ac:dyDescent="0.2">
      <c r="A18" s="1280"/>
      <c r="B18" s="1281"/>
      <c r="C18" s="1282"/>
      <c r="D18" s="2451"/>
      <c r="E18" s="2451"/>
      <c r="F18" s="2451"/>
    </row>
    <row r="19" spans="1:6" ht="20.65" customHeight="1" x14ac:dyDescent="0.2">
      <c r="A19" s="1280"/>
      <c r="B19" s="1281"/>
      <c r="C19" s="1282"/>
      <c r="D19" s="2451"/>
      <c r="E19" s="2451"/>
      <c r="F19" s="2451"/>
    </row>
    <row r="20" spans="1:6" ht="20.65" customHeight="1" x14ac:dyDescent="0.2">
      <c r="A20" s="1280"/>
      <c r="B20" s="1281"/>
      <c r="C20" s="1282"/>
      <c r="D20" s="2451"/>
      <c r="E20" s="2451"/>
      <c r="F20" s="2451"/>
    </row>
    <row r="21" spans="1:6" ht="20.65" customHeight="1" x14ac:dyDescent="0.2">
      <c r="A21" s="1280"/>
      <c r="B21" s="1281"/>
      <c r="C21" s="1282"/>
      <c r="D21" s="2451"/>
      <c r="E21" s="2451"/>
      <c r="F21" s="2451"/>
    </row>
    <row r="22" spans="1:6" ht="20.65" customHeight="1" x14ac:dyDescent="0.2">
      <c r="A22" s="1280"/>
      <c r="B22" s="1281"/>
      <c r="C22" s="1282"/>
      <c r="D22" s="2451"/>
      <c r="E22" s="2451"/>
      <c r="F22" s="2451"/>
    </row>
    <row r="23" spans="1:6" ht="20.65" customHeight="1" x14ac:dyDescent="0.2">
      <c r="A23" s="1280"/>
      <c r="B23" s="1281"/>
      <c r="C23" s="1282"/>
      <c r="D23" s="2451"/>
      <c r="E23" s="2451"/>
      <c r="F23" s="2451"/>
    </row>
    <row r="24" spans="1:6" ht="20.65" customHeight="1" x14ac:dyDescent="0.2">
      <c r="A24" s="1280"/>
      <c r="B24" s="1281"/>
      <c r="C24" s="1282"/>
      <c r="D24" s="2451"/>
      <c r="E24" s="2451"/>
      <c r="F24" s="2451"/>
    </row>
    <row r="25" spans="1:6" ht="20.65" customHeight="1" x14ac:dyDescent="0.2">
      <c r="A25" s="1280"/>
      <c r="B25" s="1281"/>
      <c r="C25" s="1282"/>
      <c r="D25" s="2451"/>
      <c r="E25" s="2451"/>
      <c r="F25" s="2451"/>
    </row>
    <row r="26" spans="1:6" ht="20.65" customHeight="1" x14ac:dyDescent="0.2">
      <c r="A26" s="1280"/>
      <c r="B26" s="1281"/>
      <c r="C26" s="1282"/>
      <c r="D26" s="2451"/>
      <c r="E26" s="2451"/>
      <c r="F26" s="2451"/>
    </row>
    <row r="27" spans="1:6" ht="20.65" customHeight="1" x14ac:dyDescent="0.2">
      <c r="A27" s="1280"/>
      <c r="B27" s="1281"/>
      <c r="C27" s="1282"/>
      <c r="D27" s="2451"/>
      <c r="E27" s="2451"/>
      <c r="F27" s="2451"/>
    </row>
    <row r="28" spans="1:6" ht="20.65" customHeight="1" x14ac:dyDescent="0.2">
      <c r="A28" s="1280"/>
      <c r="B28" s="1281"/>
      <c r="C28" s="1282"/>
      <c r="D28" s="2451"/>
      <c r="E28" s="2451"/>
      <c r="F28" s="2451"/>
    </row>
    <row r="29" spans="1:6" ht="20.65" customHeight="1" x14ac:dyDescent="0.2">
      <c r="A29" s="1280"/>
      <c r="B29" s="1281"/>
      <c r="C29" s="1282"/>
      <c r="D29" s="2451"/>
      <c r="E29" s="2451"/>
      <c r="F29" s="245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2" t="s">
        <v>1732</v>
      </c>
      <c r="B32" s="2452"/>
      <c r="C32" s="2452"/>
      <c r="D32" s="2452"/>
      <c r="E32" s="2452"/>
      <c r="F32" s="245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3">
        <f>+C33+C34</f>
        <v>0</v>
      </c>
      <c r="F34" s="245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1590</v>
      </c>
      <c r="C49" s="2455"/>
      <c r="D49" s="2455"/>
      <c r="E49" s="1396"/>
    </row>
    <row r="50" spans="1:5" s="1297" customFormat="1" ht="3.75" customHeight="1" x14ac:dyDescent="0.2">
      <c r="A50" s="1296"/>
      <c r="B50" s="1845"/>
      <c r="C50" s="1845"/>
      <c r="D50" s="1845"/>
      <c r="E50" s="1396"/>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I42" sqref="I42:O4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4" zoomScale="110" zoomScaleNormal="110" workbookViewId="0">
      <selection activeCell="I42" sqref="I42:O4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Gower SD 62</v>
      </c>
      <c r="C1" s="2474"/>
      <c r="D1" s="2474"/>
      <c r="E1" s="2474"/>
      <c r="F1" s="2474"/>
      <c r="G1" s="2474"/>
      <c r="H1" s="2474"/>
      <c r="I1" s="2474"/>
      <c r="J1" s="1406"/>
    </row>
    <row r="2" spans="2:10" s="317" customFormat="1" ht="12.75" customHeight="1" x14ac:dyDescent="0.2">
      <c r="B2" s="2475">
        <f>'Single Audit Cover'!E7</f>
        <v>19022062002</v>
      </c>
      <c r="C2" s="2476"/>
      <c r="D2" s="2476"/>
      <c r="E2" s="2476"/>
      <c r="F2" s="2476"/>
      <c r="G2" s="2476"/>
      <c r="H2" s="2476"/>
      <c r="I2" s="2476"/>
      <c r="J2" s="1406"/>
    </row>
    <row r="3" spans="2:10" s="317" customFormat="1" ht="12.75" customHeight="1" x14ac:dyDescent="0.2">
      <c r="B3" s="2477" t="s">
        <v>1285</v>
      </c>
      <c r="C3" s="2478"/>
      <c r="D3" s="2478"/>
      <c r="E3" s="2478"/>
      <c r="F3" s="2478"/>
      <c r="G3" s="2478"/>
      <c r="H3" s="2478"/>
      <c r="I3" s="2478"/>
      <c r="J3" s="1407"/>
    </row>
    <row r="4" spans="2:10" s="317" customFormat="1" ht="12.75" customHeight="1" x14ac:dyDescent="0.2">
      <c r="B4" s="2477" t="str">
        <f>'Single Audit Cover'!A4</f>
        <v>Year Ending June 30, 2019</v>
      </c>
      <c r="C4" s="2478"/>
      <c r="D4" s="2478"/>
      <c r="E4" s="2478"/>
      <c r="F4" s="2478"/>
      <c r="G4" s="2478"/>
      <c r="H4" s="2478"/>
      <c r="I4" s="247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7" t="s">
        <v>1284</v>
      </c>
      <c r="C7" s="2478"/>
      <c r="D7" s="2478"/>
      <c r="E7" s="2478"/>
      <c r="F7" s="2478"/>
      <c r="G7" s="2478"/>
      <c r="H7" s="2478"/>
      <c r="I7" s="247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9"/>
      <c r="D11" s="247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80"/>
      <c r="E29" s="2480"/>
      <c r="F29" s="2480"/>
      <c r="G29" s="2480"/>
      <c r="H29" s="2480"/>
      <c r="I29" s="248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81" t="s">
        <v>1751</v>
      </c>
      <c r="D37" s="2482"/>
      <c r="E37" s="2482"/>
      <c r="F37" s="2483"/>
      <c r="G37" s="2481" t="s">
        <v>1592</v>
      </c>
      <c r="H37" s="2482"/>
      <c r="I37" s="2483"/>
    </row>
    <row r="38" spans="2:9" ht="16.5" customHeight="1" x14ac:dyDescent="0.2">
      <c r="B38" s="1428"/>
      <c r="C38" s="2469"/>
      <c r="D38" s="2470"/>
      <c r="E38" s="2470"/>
      <c r="F38" s="2471"/>
      <c r="G38" s="2484"/>
      <c r="H38" s="2485"/>
      <c r="I38" s="2486"/>
    </row>
    <row r="39" spans="2:9" ht="16.5" customHeight="1" x14ac:dyDescent="0.2">
      <c r="B39" s="1428"/>
      <c r="C39" s="2469"/>
      <c r="D39" s="2470"/>
      <c r="E39" s="2470"/>
      <c r="F39" s="2471"/>
      <c r="G39" s="2472"/>
      <c r="H39" s="2472"/>
      <c r="I39" s="2472"/>
    </row>
    <row r="40" spans="2:9" ht="16.5" customHeight="1" x14ac:dyDescent="0.2">
      <c r="B40" s="1428"/>
      <c r="C40" s="2469"/>
      <c r="D40" s="2470"/>
      <c r="E40" s="2470"/>
      <c r="F40" s="2471"/>
      <c r="G40" s="2472"/>
      <c r="H40" s="2472"/>
      <c r="I40" s="2472"/>
    </row>
    <row r="41" spans="2:9" ht="16.5" customHeight="1" x14ac:dyDescent="0.2">
      <c r="B41" s="1428"/>
      <c r="C41" s="2469"/>
      <c r="D41" s="2470"/>
      <c r="E41" s="2470"/>
      <c r="F41" s="2471"/>
      <c r="G41" s="2472"/>
      <c r="H41" s="2472"/>
      <c r="I41" s="2472"/>
    </row>
    <row r="42" spans="2:9" ht="16.5" customHeight="1" x14ac:dyDescent="0.2">
      <c r="B42" s="1428"/>
      <c r="C42" s="2469"/>
      <c r="D42" s="2470"/>
      <c r="E42" s="2470"/>
      <c r="F42" s="2471"/>
      <c r="G42" s="2472"/>
      <c r="H42" s="2472"/>
      <c r="I42" s="2472"/>
    </row>
    <row r="43" spans="2:9" ht="16.5" customHeight="1" x14ac:dyDescent="0.2">
      <c r="B43" s="1428"/>
      <c r="C43" s="2462" t="s">
        <v>1593</v>
      </c>
      <c r="D43" s="2463"/>
      <c r="E43" s="2463"/>
      <c r="F43" s="2464"/>
      <c r="G43" s="2465">
        <f>SUM(G38:I42)</f>
        <v>0</v>
      </c>
      <c r="H43" s="2465"/>
      <c r="I43" s="2465"/>
    </row>
    <row r="44" spans="2:9" ht="12.75" customHeight="1" x14ac:dyDescent="0.2"/>
    <row r="45" spans="2:9" ht="12.75" customHeight="1" x14ac:dyDescent="0.2">
      <c r="B45" s="1419" t="s">
        <v>2062</v>
      </c>
      <c r="D45" s="2466">
        <v>0</v>
      </c>
      <c r="E45" s="246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8"/>
      <c r="F49" s="2468"/>
      <c r="G49" s="246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I42" sqref="I42:O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Gower SD 62</v>
      </c>
      <c r="C1" s="2473"/>
      <c r="D1" s="2473"/>
      <c r="E1" s="2473"/>
      <c r="F1" s="2473"/>
      <c r="G1" s="2473"/>
      <c r="H1" s="2473"/>
      <c r="I1" s="2473"/>
      <c r="J1" s="2473"/>
      <c r="K1" s="2473"/>
      <c r="L1" s="1371"/>
      <c r="M1" s="1371"/>
    </row>
    <row r="2" spans="1:13" ht="12" customHeight="1" x14ac:dyDescent="0.2">
      <c r="B2" s="2475">
        <f>'Single Audit Cover'!E7</f>
        <v>19022062002</v>
      </c>
      <c r="C2" s="2475"/>
      <c r="D2" s="2475"/>
      <c r="E2" s="2475"/>
      <c r="F2" s="2475"/>
      <c r="G2" s="2475"/>
      <c r="H2" s="2475"/>
      <c r="I2" s="2475"/>
      <c r="J2" s="2475"/>
      <c r="K2" s="2475"/>
      <c r="L2" s="1372"/>
      <c r="M2" s="1373"/>
    </row>
    <row r="3" spans="1:13" ht="10.35" customHeight="1" x14ac:dyDescent="0.2">
      <c r="B3" s="2489" t="s">
        <v>1285</v>
      </c>
      <c r="C3" s="2489"/>
      <c r="D3" s="2489"/>
      <c r="E3" s="2489"/>
      <c r="F3" s="2489"/>
      <c r="G3" s="2489"/>
      <c r="H3" s="2489"/>
      <c r="I3" s="2489"/>
      <c r="J3" s="2489"/>
      <c r="K3" s="2489"/>
      <c r="L3" s="1374"/>
      <c r="M3" s="1374"/>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0" t="s">
        <v>1296</v>
      </c>
      <c r="C7" s="2490"/>
      <c r="D7" s="2491"/>
      <c r="E7" s="2491"/>
      <c r="F7" s="2491"/>
      <c r="G7" s="2491"/>
      <c r="H7" s="2491"/>
      <c r="I7" s="2491"/>
      <c r="J7" s="2491"/>
      <c r="K7" s="24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8"/>
      <c r="C14" s="2488"/>
      <c r="D14" s="2488"/>
      <c r="E14" s="2488"/>
      <c r="F14" s="2488"/>
      <c r="G14" s="2488"/>
      <c r="H14" s="2488"/>
      <c r="I14" s="2488"/>
      <c r="J14" s="2488"/>
      <c r="K14" s="248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8"/>
      <c r="C17" s="2488"/>
      <c r="D17" s="2488"/>
      <c r="E17" s="2488"/>
      <c r="F17" s="2488"/>
      <c r="G17" s="2488"/>
      <c r="H17" s="2488"/>
      <c r="I17" s="2488"/>
      <c r="J17" s="2488"/>
      <c r="K17" s="248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92"/>
      <c r="C20" s="2492"/>
      <c r="D20" s="2488"/>
      <c r="E20" s="2488"/>
      <c r="F20" s="2488"/>
      <c r="G20" s="2488"/>
      <c r="H20" s="2488"/>
      <c r="I20" s="2488"/>
      <c r="J20" s="2488"/>
      <c r="K20" s="248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8"/>
      <c r="C23" s="2488"/>
      <c r="D23" s="2488"/>
      <c r="E23" s="2488"/>
      <c r="F23" s="2488"/>
      <c r="G23" s="2488"/>
      <c r="H23" s="2488"/>
      <c r="I23" s="2488"/>
      <c r="J23" s="2488"/>
      <c r="K23" s="248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8"/>
      <c r="C26" s="2488"/>
      <c r="D26" s="2488"/>
      <c r="E26" s="2488"/>
      <c r="F26" s="2488"/>
      <c r="G26" s="2488"/>
      <c r="H26" s="2488"/>
      <c r="I26" s="2488"/>
      <c r="J26" s="2488"/>
      <c r="K26" s="248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7"/>
      <c r="C29" s="2487"/>
      <c r="D29" s="2488"/>
      <c r="E29" s="2488"/>
      <c r="F29" s="2488"/>
      <c r="G29" s="2488"/>
      <c r="H29" s="2488"/>
      <c r="I29" s="2488"/>
      <c r="J29" s="2488"/>
      <c r="K29" s="248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7"/>
      <c r="C32" s="2487"/>
      <c r="D32" s="2488"/>
      <c r="E32" s="2488"/>
      <c r="F32" s="2488"/>
      <c r="G32" s="2488"/>
      <c r="H32" s="2488"/>
      <c r="I32" s="2488"/>
      <c r="J32" s="2488"/>
      <c r="K32" s="248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I42" sqref="I42:O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Gower SD 62</v>
      </c>
      <c r="C1" s="2496"/>
      <c r="D1" s="2496"/>
      <c r="E1" s="2496"/>
      <c r="F1" s="2496"/>
      <c r="G1" s="2496"/>
      <c r="H1" s="2496"/>
      <c r="I1" s="2496"/>
      <c r="J1" s="2496"/>
      <c r="K1" s="2496"/>
      <c r="L1" s="1449"/>
    </row>
    <row r="2" spans="1:12" ht="12.75" customHeight="1" x14ac:dyDescent="0.2">
      <c r="B2" s="2497">
        <f>'Single Audit Cover'!E7</f>
        <v>19022062002</v>
      </c>
      <c r="C2" s="2497"/>
      <c r="D2" s="2497"/>
      <c r="E2" s="2497"/>
      <c r="F2" s="2497"/>
      <c r="G2" s="2497"/>
      <c r="H2" s="2497"/>
      <c r="I2" s="2497"/>
      <c r="J2" s="2497"/>
      <c r="K2" s="2497"/>
      <c r="L2" s="1450"/>
    </row>
    <row r="3" spans="1:12" ht="12.75" customHeight="1" x14ac:dyDescent="0.2">
      <c r="B3" s="2489" t="s">
        <v>1285</v>
      </c>
      <c r="C3" s="2489"/>
      <c r="D3" s="2489"/>
      <c r="E3" s="2489"/>
      <c r="F3" s="2489"/>
      <c r="G3" s="2489"/>
      <c r="H3" s="2489"/>
      <c r="I3" s="2489"/>
      <c r="J3" s="2489"/>
      <c r="K3" s="2489"/>
      <c r="L3" s="1374"/>
    </row>
    <row r="4" spans="1:12" ht="12.75" customHeight="1" x14ac:dyDescent="0.2">
      <c r="B4" s="2489" t="str">
        <f>'Single Audit Cover'!A4</f>
        <v>Year Ending June 30, 2019</v>
      </c>
      <c r="C4" s="2489"/>
      <c r="D4" s="2489"/>
      <c r="E4" s="2489"/>
      <c r="F4" s="2489"/>
      <c r="G4" s="2489"/>
      <c r="H4" s="2489"/>
      <c r="I4" s="2489"/>
      <c r="J4" s="2489"/>
      <c r="K4" s="2489"/>
      <c r="L4" s="1374"/>
    </row>
    <row r="5" spans="1:12" ht="5.25" customHeight="1" x14ac:dyDescent="0.2">
      <c r="B5" s="1257" t="s">
        <v>1169</v>
      </c>
      <c r="C5" s="1257"/>
      <c r="L5" s="322"/>
    </row>
    <row r="6" spans="1:12" ht="30.75" customHeight="1" x14ac:dyDescent="0.2">
      <c r="A6" s="322"/>
      <c r="B6" s="2498" t="s">
        <v>1308</v>
      </c>
      <c r="C6" s="2498"/>
      <c r="D6" s="2498"/>
      <c r="E6" s="2498"/>
      <c r="F6" s="2498"/>
      <c r="G6" s="2498"/>
      <c r="H6" s="2498"/>
      <c r="I6" s="2498"/>
      <c r="J6" s="2498"/>
      <c r="K6" s="249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80"/>
      <c r="G12" s="2480"/>
      <c r="H12" s="2480"/>
      <c r="I12" s="2480"/>
      <c r="J12" s="2480"/>
      <c r="K12" s="248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3"/>
      <c r="E14" s="2493"/>
      <c r="F14" s="2493"/>
      <c r="H14" s="1459" t="s">
        <v>1303</v>
      </c>
      <c r="I14" s="2494"/>
      <c r="J14" s="2494"/>
      <c r="K14" s="249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4"/>
      <c r="E16" s="2494"/>
      <c r="F16" s="2494"/>
      <c r="G16" s="2494"/>
      <c r="H16" s="2494"/>
      <c r="I16" s="2494"/>
      <c r="J16" s="2494"/>
      <c r="K16" s="2494"/>
      <c r="L16" s="322"/>
    </row>
    <row r="17" spans="2:12" ht="13.5" customHeight="1" x14ac:dyDescent="0.2">
      <c r="B17" s="1384" t="s">
        <v>1301</v>
      </c>
      <c r="C17" s="1384"/>
      <c r="D17" s="2495"/>
      <c r="E17" s="2495"/>
      <c r="F17" s="2495"/>
      <c r="G17" s="2495"/>
      <c r="H17" s="2495"/>
      <c r="I17" s="2495"/>
      <c r="J17" s="2495"/>
      <c r="K17" s="249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8"/>
      <c r="C20" s="2488"/>
      <c r="D20" s="2488"/>
      <c r="E20" s="2488"/>
      <c r="F20" s="2488"/>
      <c r="G20" s="2488"/>
      <c r="H20" s="2488"/>
      <c r="I20" s="2488"/>
      <c r="J20" s="2488"/>
      <c r="K20" s="24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42" sqref="I42:O4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3" t="str">
        <f>'Single Audit Cover'!A7</f>
        <v>Gower SD 62</v>
      </c>
      <c r="C1" s="2473"/>
      <c r="D1" s="2473"/>
      <c r="E1" s="1469"/>
    </row>
    <row r="2" spans="2:5" s="1279" customFormat="1" ht="12.75" customHeight="1" x14ac:dyDescent="0.2">
      <c r="B2" s="2475">
        <f>'Single Audit Cover'!E7</f>
        <v>19022062002</v>
      </c>
      <c r="C2" s="2475"/>
      <c r="D2" s="2475"/>
      <c r="E2" s="1470"/>
    </row>
    <row r="3" spans="2:5" ht="12.75" customHeight="1" x14ac:dyDescent="0.2">
      <c r="B3" s="2489" t="s">
        <v>1766</v>
      </c>
      <c r="C3" s="2489"/>
      <c r="D3" s="2489"/>
      <c r="E3" s="1271"/>
    </row>
    <row r="4" spans="2:5" s="1279" customFormat="1" ht="12.75" customHeight="1" x14ac:dyDescent="0.2">
      <c r="B4" s="2499" t="str">
        <f>'Single Audit Cover'!A4</f>
        <v>Year Ending June 30, 2019</v>
      </c>
      <c r="C4" s="2499"/>
      <c r="D4" s="249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42" sqref="I42:O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763267498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1.336E-2</v>
      </c>
      <c r="E10" s="356" t="s">
        <v>1005</v>
      </c>
      <c r="F10" s="355">
        <v>1.833E-3</v>
      </c>
      <c r="G10" s="356" t="s">
        <v>1005</v>
      </c>
      <c r="H10" s="355">
        <v>1.176E-3</v>
      </c>
      <c r="I10" s="356" t="s">
        <v>1006</v>
      </c>
      <c r="J10" s="1732">
        <f>ROUND(D10+F10+H10,5)</f>
        <v>1.6369999999999999E-2</v>
      </c>
      <c r="K10" s="222"/>
      <c r="L10" s="355"/>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13331926</v>
      </c>
      <c r="E16" s="356"/>
      <c r="F16" s="1733">
        <f>SUM('Acct Summary 7-8'!C17,'Acct Summary 7-8'!D17,'Acct Summary 7-8'!F17)</f>
        <v>13160516</v>
      </c>
      <c r="G16" s="356"/>
      <c r="H16" s="1733">
        <f>SUM(D16-F16)</f>
        <v>171410</v>
      </c>
      <c r="I16" s="222"/>
      <c r="J16" s="1733">
        <f>SUM('Acct Summary 7-8'!C81,'Acct Summary 7-8'!D81,'Acct Summary 7-8'!F81,'Acct Summary 7-8'!I81)</f>
        <v>11884936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52665457.362000003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4623510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I42" sqref="I42:O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Gower SD 62</v>
      </c>
      <c r="E7" s="391"/>
      <c r="G7" s="252"/>
      <c r="H7" s="387"/>
      <c r="I7" s="387"/>
      <c r="J7" s="387"/>
      <c r="K7" s="387"/>
      <c r="L7" s="329"/>
      <c r="M7" s="329"/>
      <c r="N7" s="329"/>
      <c r="O7" s="329"/>
      <c r="P7" s="329"/>
    </row>
    <row r="8" spans="1:18" ht="12.75" x14ac:dyDescent="0.2">
      <c r="A8" s="329"/>
      <c r="B8" s="329"/>
      <c r="C8" s="389" t="s">
        <v>1125</v>
      </c>
      <c r="D8" s="392">
        <f>COVER!A13</f>
        <v>19022062002</v>
      </c>
      <c r="E8" s="393"/>
      <c r="G8" s="329"/>
      <c r="H8" s="329"/>
      <c r="I8" s="329"/>
      <c r="J8" s="329"/>
      <c r="K8" s="329"/>
      <c r="L8" s="329"/>
      <c r="M8" s="329"/>
      <c r="N8" s="329"/>
      <c r="O8" s="329"/>
      <c r="P8" s="329"/>
    </row>
    <row r="9" spans="1:18" ht="12.75" x14ac:dyDescent="0.2">
      <c r="A9" s="329"/>
      <c r="B9" s="329"/>
      <c r="C9" s="389" t="s">
        <v>713</v>
      </c>
      <c r="D9" s="394" t="str">
        <f>COVER!A15</f>
        <v>DuPage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11884936</v>
      </c>
      <c r="I12" s="404"/>
      <c r="J12" s="404"/>
      <c r="K12" s="405">
        <f>TRUNC((H12/H13*100000),5)/100000</f>
        <v>0.89146429399999993</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13331926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13160516</v>
      </c>
      <c r="I17" s="404"/>
      <c r="J17" s="416"/>
      <c r="K17" s="405">
        <f>TRUNC((H17/H18*100000),5)/100000</f>
        <v>0.98714289290000001</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13331926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11884936</v>
      </c>
      <c r="I24" s="422"/>
      <c r="J24" s="422"/>
      <c r="K24" s="423">
        <f>TRUNC(((H24/H25*100000)/100000),2)</f>
        <v>325.10000000000002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36556.988890000001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10620485.600919999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4623510</v>
      </c>
      <c r="I32" s="420"/>
      <c r="J32" s="420"/>
      <c r="K32" s="423">
        <f>TRUNC(100-((((H32/H33*100))*100)/100),2)</f>
        <v>91.22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52665457.362000003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5" activePane="bottomLeft" state="frozen"/>
      <selection activeCell="I42" sqref="I42:O42"/>
      <selection pane="bottomLeft" activeCell="I42" sqref="I42:O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10498129</v>
      </c>
      <c r="D4" s="466">
        <v>885322</v>
      </c>
      <c r="E4" s="466">
        <v>962532</v>
      </c>
      <c r="F4" s="466">
        <v>501485</v>
      </c>
      <c r="G4" s="466">
        <v>487607</v>
      </c>
      <c r="H4" s="466"/>
      <c r="I4" s="466"/>
      <c r="J4" s="467">
        <v>107880</v>
      </c>
      <c r="K4" s="466"/>
      <c r="L4" s="466">
        <v>50612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10498129</v>
      </c>
      <c r="D13" s="1737">
        <f t="shared" ref="D13:L13" si="0">SUM(D4:D12)</f>
        <v>885322</v>
      </c>
      <c r="E13" s="1737">
        <f t="shared" si="0"/>
        <v>962532</v>
      </c>
      <c r="F13" s="1737">
        <f t="shared" si="0"/>
        <v>501485</v>
      </c>
      <c r="G13" s="1737">
        <f t="shared" si="0"/>
        <v>487607</v>
      </c>
      <c r="H13" s="1737">
        <f t="shared" si="0"/>
        <v>0</v>
      </c>
      <c r="I13" s="1737">
        <f t="shared" si="0"/>
        <v>0</v>
      </c>
      <c r="J13" s="1737">
        <f t="shared" si="0"/>
        <v>107880</v>
      </c>
      <c r="K13" s="1737">
        <f t="shared" si="0"/>
        <v>0</v>
      </c>
      <c r="L13" s="1737">
        <f t="shared" si="0"/>
        <v>50612</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951820</v>
      </c>
      <c r="N16" s="484"/>
    </row>
    <row r="17" spans="1:14" s="485" customFormat="1" ht="12.75" customHeight="1" x14ac:dyDescent="0.2">
      <c r="A17" s="482" t="s">
        <v>1403</v>
      </c>
      <c r="B17" s="483">
        <v>230</v>
      </c>
      <c r="C17" s="477"/>
      <c r="D17" s="477"/>
      <c r="E17" s="477"/>
      <c r="F17" s="477"/>
      <c r="G17" s="477"/>
      <c r="H17" s="477"/>
      <c r="I17" s="477"/>
      <c r="J17" s="477"/>
      <c r="K17" s="477"/>
      <c r="L17" s="477"/>
      <c r="M17" s="467">
        <v>20495747</v>
      </c>
      <c r="N17" s="484"/>
    </row>
    <row r="18" spans="1:14" s="485" customFormat="1" ht="12.75" customHeight="1" x14ac:dyDescent="0.2">
      <c r="A18" s="482" t="s">
        <v>1404</v>
      </c>
      <c r="B18" s="483">
        <v>240</v>
      </c>
      <c r="C18" s="477"/>
      <c r="D18" s="477"/>
      <c r="E18" s="477"/>
      <c r="F18" s="477"/>
      <c r="G18" s="477"/>
      <c r="H18" s="477"/>
      <c r="I18" s="477"/>
      <c r="J18" s="477"/>
      <c r="K18" s="477"/>
      <c r="L18" s="477"/>
      <c r="M18" s="467">
        <v>1670308</v>
      </c>
      <c r="N18" s="484"/>
    </row>
    <row r="19" spans="1:14" s="485" customFormat="1" ht="12.75" customHeight="1" x14ac:dyDescent="0.2">
      <c r="A19" s="482" t="s">
        <v>1405</v>
      </c>
      <c r="B19" s="483">
        <v>250</v>
      </c>
      <c r="C19" s="477"/>
      <c r="D19" s="477"/>
      <c r="E19" s="477"/>
      <c r="F19" s="477"/>
      <c r="G19" s="477"/>
      <c r="H19" s="477"/>
      <c r="I19" s="477"/>
      <c r="J19" s="477"/>
      <c r="K19" s="477"/>
      <c r="L19" s="477"/>
      <c r="M19" s="467">
        <v>5468846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962532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3660978</v>
      </c>
    </row>
    <row r="23" spans="1:14" ht="13.5" customHeight="1" thickBot="1" x14ac:dyDescent="0.25">
      <c r="A23" s="1736" t="s">
        <v>643</v>
      </c>
      <c r="B23" s="1741"/>
      <c r="C23" s="468"/>
      <c r="D23" s="468"/>
      <c r="E23" s="468"/>
      <c r="F23" s="468"/>
      <c r="G23" s="468"/>
      <c r="H23" s="468"/>
      <c r="I23" s="468"/>
      <c r="J23" s="468"/>
      <c r="K23" s="468"/>
      <c r="L23" s="468"/>
      <c r="M23" s="1688">
        <f>SUM(M15:M22)</f>
        <v>28586721</v>
      </c>
      <c r="N23" s="1688">
        <f>SUM(N21:N22)</f>
        <v>4623510</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50612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50612</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4623510</v>
      </c>
    </row>
    <row r="37" spans="1:14" ht="13.5" thickBot="1" x14ac:dyDescent="0.25">
      <c r="A37" s="1736" t="s">
        <v>653</v>
      </c>
      <c r="B37" s="1741"/>
      <c r="C37" s="477"/>
      <c r="D37" s="477"/>
      <c r="E37" s="477"/>
      <c r="F37" s="477"/>
      <c r="G37" s="477"/>
      <c r="H37" s="477"/>
      <c r="I37" s="477"/>
      <c r="J37" s="477"/>
      <c r="K37" s="477"/>
      <c r="L37" s="480"/>
      <c r="M37" s="468"/>
      <c r="N37" s="1688">
        <f>SUM(N36:N36)</f>
        <v>4623510</v>
      </c>
    </row>
    <row r="38" spans="1:14" s="329" customFormat="1" ht="13.5" customHeight="1" thickTop="1" x14ac:dyDescent="0.2">
      <c r="A38" s="496" t="s">
        <v>420</v>
      </c>
      <c r="B38" s="483">
        <v>714</v>
      </c>
      <c r="C38" s="466"/>
      <c r="D38" s="466">
        <v>885322</v>
      </c>
      <c r="E38" s="466">
        <v>962532</v>
      </c>
      <c r="F38" s="466">
        <v>501485</v>
      </c>
      <c r="G38" s="466">
        <v>487607</v>
      </c>
      <c r="H38" s="466"/>
      <c r="I38" s="466"/>
      <c r="J38" s="467">
        <v>107880</v>
      </c>
      <c r="K38" s="466"/>
      <c r="L38" s="481"/>
      <c r="M38" s="497"/>
      <c r="N38" s="497"/>
    </row>
    <row r="39" spans="1:14" s="329" customFormat="1" ht="13.5" customHeight="1" x14ac:dyDescent="0.2">
      <c r="A39" s="496" t="s">
        <v>342</v>
      </c>
      <c r="B39" s="483">
        <v>730</v>
      </c>
      <c r="C39" s="466">
        <v>10498129</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28586721</v>
      </c>
      <c r="N40" s="497"/>
    </row>
    <row r="41" spans="1:14" ht="13.5" customHeight="1" thickBot="1" x14ac:dyDescent="0.25">
      <c r="A41" s="1736" t="s">
        <v>655</v>
      </c>
      <c r="B41" s="1706"/>
      <c r="C41" s="1688">
        <f>(SUM(C34,C37,C38,C39))</f>
        <v>10498129</v>
      </c>
      <c r="D41" s="1688">
        <f t="shared" ref="D41:L41" si="2">SUM(D34,D37,D38:D39)</f>
        <v>885322</v>
      </c>
      <c r="E41" s="1688">
        <f t="shared" si="2"/>
        <v>962532</v>
      </c>
      <c r="F41" s="1688">
        <f t="shared" si="2"/>
        <v>501485</v>
      </c>
      <c r="G41" s="1688">
        <f t="shared" si="2"/>
        <v>487607</v>
      </c>
      <c r="H41" s="1688">
        <f t="shared" si="2"/>
        <v>0</v>
      </c>
      <c r="I41" s="1688">
        <f t="shared" si="2"/>
        <v>0</v>
      </c>
      <c r="J41" s="1688">
        <f t="shared" si="2"/>
        <v>107880</v>
      </c>
      <c r="K41" s="1688">
        <f t="shared" si="2"/>
        <v>0</v>
      </c>
      <c r="L41" s="1688">
        <f t="shared" si="2"/>
        <v>50612</v>
      </c>
      <c r="M41" s="1688">
        <f>SUM(M40)</f>
        <v>28586721</v>
      </c>
      <c r="N41" s="1688">
        <f>SUM(N37)</f>
        <v>4623510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activeCell="I42" sqref="I42:O42"/>
      <selection pane="bottomLeft" activeCell="I42" sqref="I42:O4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10586509</v>
      </c>
      <c r="D4" s="1742">
        <f>'Revenues 9-14'!D109</f>
        <v>1278103</v>
      </c>
      <c r="E4" s="1742">
        <f>'Revenues 9-14'!E109</f>
        <v>1137221</v>
      </c>
      <c r="F4" s="1742">
        <f>'Revenues 9-14'!F109</f>
        <v>499414</v>
      </c>
      <c r="G4" s="1742">
        <f>'Revenues 9-14'!G109</f>
        <v>483897</v>
      </c>
      <c r="H4" s="1742">
        <f>'Revenues 9-14'!H109</f>
        <v>0</v>
      </c>
      <c r="I4" s="1742">
        <f>'Revenues 9-14'!I109</f>
        <v>0</v>
      </c>
      <c r="J4" s="1742">
        <f>'Revenues 9-14'!J109</f>
        <v>8864</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669097</v>
      </c>
      <c r="D6" s="1743">
        <f>'Revenues 9-14'!D170</f>
        <v>0</v>
      </c>
      <c r="E6" s="1743">
        <f>'Revenues 9-14'!E170</f>
        <v>0</v>
      </c>
      <c r="F6" s="1743">
        <f>'Revenues 9-14'!F170</f>
        <v>167412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131391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11386997</v>
      </c>
      <c r="D8" s="1688">
        <f t="shared" ref="D8:K8" si="0">SUM(D4:D7)</f>
        <v>1278103</v>
      </c>
      <c r="E8" s="1688">
        <f t="shared" si="0"/>
        <v>1137221</v>
      </c>
      <c r="F8" s="1688">
        <f t="shared" si="0"/>
        <v>666826</v>
      </c>
      <c r="G8" s="1688">
        <f t="shared" si="0"/>
        <v>483897</v>
      </c>
      <c r="H8" s="1688">
        <f t="shared" si="0"/>
        <v>0</v>
      </c>
      <c r="I8" s="1688">
        <f t="shared" si="0"/>
        <v>0</v>
      </c>
      <c r="J8" s="1688">
        <f t="shared" si="0"/>
        <v>8864</v>
      </c>
      <c r="K8" s="1688">
        <f t="shared" si="0"/>
        <v>0</v>
      </c>
      <c r="L8" s="347"/>
    </row>
    <row r="9" spans="1:13" ht="15.75" thickTop="1" x14ac:dyDescent="0.2">
      <c r="A9" s="514" t="s">
        <v>1653</v>
      </c>
      <c r="B9" s="515">
        <v>3998</v>
      </c>
      <c r="C9" s="481">
        <v>4049993</v>
      </c>
      <c r="D9" s="516"/>
      <c r="E9" s="481"/>
      <c r="F9" s="481"/>
      <c r="G9" s="517"/>
      <c r="H9" s="481"/>
      <c r="I9" s="509" t="s">
        <v>1169</v>
      </c>
      <c r="J9" s="478"/>
      <c r="K9" s="481"/>
      <c r="L9" s="347"/>
    </row>
    <row r="10" spans="1:13" s="519" customFormat="1" ht="13.5" thickBot="1" x14ac:dyDescent="0.25">
      <c r="A10" s="1736" t="s">
        <v>1173</v>
      </c>
      <c r="B10" s="1709"/>
      <c r="C10" s="1688">
        <f>SUM(C8:C9)</f>
        <v>15436990</v>
      </c>
      <c r="D10" s="1688">
        <f t="shared" ref="D10:K10" si="1">SUM(D8:D9)</f>
        <v>1278103</v>
      </c>
      <c r="E10" s="1688">
        <f t="shared" si="1"/>
        <v>1137221</v>
      </c>
      <c r="F10" s="1688">
        <f t="shared" si="1"/>
        <v>666826</v>
      </c>
      <c r="G10" s="1688">
        <f t="shared" si="1"/>
        <v>483897</v>
      </c>
      <c r="H10" s="1688">
        <f t="shared" si="1"/>
        <v>0</v>
      </c>
      <c r="I10" s="1688">
        <f t="shared" si="1"/>
        <v>0</v>
      </c>
      <c r="J10" s="1688">
        <f t="shared" si="1"/>
        <v>8864</v>
      </c>
      <c r="K10" s="1688">
        <f t="shared" si="1"/>
        <v>0</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7587802</v>
      </c>
      <c r="D12" s="520" t="s">
        <v>1169</v>
      </c>
      <c r="E12" s="468" t="s">
        <v>1169</v>
      </c>
      <c r="F12" s="468" t="s">
        <v>1169</v>
      </c>
      <c r="G12" s="1742">
        <f>'Expenditures 15-22'!K229</f>
        <v>178651</v>
      </c>
      <c r="H12" s="521"/>
      <c r="I12" s="468" t="s">
        <v>1169</v>
      </c>
      <c r="J12" s="468" t="s">
        <v>1169</v>
      </c>
      <c r="K12" s="521" t="s">
        <v>1169</v>
      </c>
      <c r="L12" s="347"/>
    </row>
    <row r="13" spans="1:13" ht="15.75" customHeight="1" x14ac:dyDescent="0.2">
      <c r="A13" s="1576" t="s">
        <v>457</v>
      </c>
      <c r="B13" s="1578">
        <v>2000</v>
      </c>
      <c r="C13" s="1743">
        <f>'Expenditures 15-22'!K74</f>
        <v>3476477</v>
      </c>
      <c r="D13" s="1743">
        <f>'Expenditures 15-22'!K129</f>
        <v>1080497</v>
      </c>
      <c r="E13" s="469" t="s">
        <v>1169</v>
      </c>
      <c r="F13" s="1743">
        <f>'Expenditures 15-22'!K184</f>
        <v>680986</v>
      </c>
      <c r="G13" s="1743">
        <f>'Expenditures 15-22'!K279</f>
        <v>225346</v>
      </c>
      <c r="H13" s="1743">
        <f>'Expenditures 15-22'!K303</f>
        <v>0</v>
      </c>
      <c r="I13" s="468" t="s">
        <v>1169</v>
      </c>
      <c r="J13" s="1743">
        <f>'Expenditures 15-22'!K330</f>
        <v>37089</v>
      </c>
      <c r="K13" s="1747">
        <f>'Expenditures 15-22'!K352</f>
        <v>0</v>
      </c>
      <c r="L13" s="347"/>
    </row>
    <row r="14" spans="1:13" ht="15.75" customHeight="1" x14ac:dyDescent="0.2">
      <c r="A14" s="1576" t="s">
        <v>449</v>
      </c>
      <c r="B14" s="1578">
        <v>3000</v>
      </c>
      <c r="C14" s="1743">
        <f>'Expenditures 15-22'!K75</f>
        <v>665</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334089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1138700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11399033</v>
      </c>
      <c r="D17" s="1688">
        <f t="shared" si="2"/>
        <v>1080497</v>
      </c>
      <c r="E17" s="1688">
        <f t="shared" si="2"/>
        <v>1138700</v>
      </c>
      <c r="F17" s="1688">
        <f t="shared" si="2"/>
        <v>680986</v>
      </c>
      <c r="G17" s="1688">
        <f t="shared" si="2"/>
        <v>403997</v>
      </c>
      <c r="H17" s="1688">
        <f t="shared" si="2"/>
        <v>0</v>
      </c>
      <c r="I17" s="468"/>
      <c r="J17" s="1688">
        <f>SUM(J12:J16)</f>
        <v>37089</v>
      </c>
      <c r="K17" s="1688">
        <f>SUM(K12:K16)</f>
        <v>0</v>
      </c>
      <c r="L17" s="347"/>
    </row>
    <row r="18" spans="1:12" ht="15" customHeight="1" thickTop="1" x14ac:dyDescent="0.2">
      <c r="A18" s="1744" t="s">
        <v>1654</v>
      </c>
      <c r="B18" s="1745">
        <v>4180</v>
      </c>
      <c r="C18" s="1742">
        <f t="shared" ref="C18:H18" si="3">C9</f>
        <v>4049993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15449026</v>
      </c>
      <c r="D19" s="1688">
        <f t="shared" si="4"/>
        <v>1080497</v>
      </c>
      <c r="E19" s="1688">
        <f t="shared" si="4"/>
        <v>1138700</v>
      </c>
      <c r="F19" s="1688">
        <f t="shared" si="4"/>
        <v>680986</v>
      </c>
      <c r="G19" s="1688">
        <f t="shared" si="4"/>
        <v>403997</v>
      </c>
      <c r="H19" s="1688">
        <f t="shared" si="4"/>
        <v>0</v>
      </c>
      <c r="I19" s="468"/>
      <c r="J19" s="1688">
        <f>SUM(J17:J18)</f>
        <v>37089</v>
      </c>
      <c r="K19" s="1688">
        <f>SUM(K17:K18)</f>
        <v>0</v>
      </c>
      <c r="L19" s="347"/>
    </row>
    <row r="20" spans="1:12" ht="16.5" thickTop="1" thickBot="1" x14ac:dyDescent="0.25">
      <c r="A20" s="2133" t="s">
        <v>1655</v>
      </c>
      <c r="B20" s="2134"/>
      <c r="C20" s="1746">
        <f>C8-C17</f>
        <v>-12036</v>
      </c>
      <c r="D20" s="1746">
        <f t="shared" ref="D20:K20" si="5">D8-D17</f>
        <v>197606</v>
      </c>
      <c r="E20" s="1746">
        <f t="shared" si="5"/>
        <v>-1479</v>
      </c>
      <c r="F20" s="1746">
        <f t="shared" si="5"/>
        <v>-14160</v>
      </c>
      <c r="G20" s="1746">
        <f t="shared" si="5"/>
        <v>79900</v>
      </c>
      <c r="H20" s="1746">
        <f t="shared" si="5"/>
        <v>0</v>
      </c>
      <c r="I20" s="1746">
        <f t="shared" si="5"/>
        <v>0</v>
      </c>
      <c r="J20" s="1746">
        <f t="shared" si="5"/>
        <v>-28225</v>
      </c>
      <c r="K20" s="1746">
        <f t="shared" si="5"/>
        <v>0</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9" t="s">
        <v>597</v>
      </c>
      <c r="B78" s="2130"/>
      <c r="C78" s="1702">
        <f t="shared" ref="C78:K78" si="9">C20+C77</f>
        <v>-12036</v>
      </c>
      <c r="D78" s="1702">
        <f t="shared" si="9"/>
        <v>197606</v>
      </c>
      <c r="E78" s="1702">
        <f t="shared" si="9"/>
        <v>-1479</v>
      </c>
      <c r="F78" s="1702">
        <f t="shared" si="9"/>
        <v>-14160</v>
      </c>
      <c r="G78" s="1702">
        <f t="shared" si="9"/>
        <v>79900</v>
      </c>
      <c r="H78" s="1702">
        <f t="shared" si="9"/>
        <v>0</v>
      </c>
      <c r="I78" s="1702">
        <f t="shared" si="9"/>
        <v>0</v>
      </c>
      <c r="J78" s="1702">
        <f t="shared" si="9"/>
        <v>-28225</v>
      </c>
      <c r="K78" s="1702">
        <f t="shared" si="9"/>
        <v>0</v>
      </c>
      <c r="L78" s="533"/>
    </row>
    <row r="79" spans="1:12" ht="13.5" thickTop="1" x14ac:dyDescent="0.2">
      <c r="A79" s="1494" t="s">
        <v>1947</v>
      </c>
      <c r="B79" s="534"/>
      <c r="C79" s="478"/>
      <c r="D79" s="535"/>
      <c r="E79" s="535"/>
      <c r="F79" s="535"/>
      <c r="G79" s="535"/>
      <c r="H79" s="535"/>
      <c r="I79" s="535"/>
      <c r="J79" s="535"/>
      <c r="K79" s="535"/>
      <c r="L79" s="347"/>
    </row>
    <row r="80" spans="1:12" x14ac:dyDescent="0.2">
      <c r="A80" s="2135" t="s">
        <v>1795</v>
      </c>
      <c r="B80" s="2136"/>
      <c r="C80" s="467">
        <v>10510165</v>
      </c>
      <c r="D80" s="467">
        <v>687716</v>
      </c>
      <c r="E80" s="467">
        <v>964011</v>
      </c>
      <c r="F80" s="467">
        <v>515645</v>
      </c>
      <c r="G80" s="467">
        <v>407707</v>
      </c>
      <c r="H80" s="467"/>
      <c r="I80" s="467"/>
      <c r="J80" s="467">
        <v>136105</v>
      </c>
      <c r="K80" s="467"/>
      <c r="L80" s="347"/>
    </row>
    <row r="81" spans="1:12" ht="13.5" thickBot="1" x14ac:dyDescent="0.25">
      <c r="A81" s="2127" t="s">
        <v>1948</v>
      </c>
      <c r="B81" s="2128"/>
      <c r="C81" s="1688">
        <f>(SUM(C78:C80))</f>
        <v>10498129</v>
      </c>
      <c r="D81" s="1688">
        <f>SUM(D78:D80)</f>
        <v>885322</v>
      </c>
      <c r="E81" s="1688">
        <f t="shared" ref="E81:K81" si="10">SUM(E78:E80)</f>
        <v>962532</v>
      </c>
      <c r="F81" s="1688">
        <f t="shared" si="10"/>
        <v>501485</v>
      </c>
      <c r="G81" s="1688">
        <f t="shared" si="10"/>
        <v>487607</v>
      </c>
      <c r="H81" s="1688">
        <f t="shared" si="10"/>
        <v>0</v>
      </c>
      <c r="I81" s="1688">
        <f t="shared" si="10"/>
        <v>0</v>
      </c>
      <c r="J81" s="1688">
        <f t="shared" si="10"/>
        <v>107880</v>
      </c>
      <c r="K81" s="1688">
        <f t="shared" si="10"/>
        <v>0</v>
      </c>
      <c r="L81" s="347"/>
    </row>
    <row r="82" spans="1:12" ht="0.75" customHeight="1" thickTop="1" thickBot="1" x14ac:dyDescent="0.25">
      <c r="A82" s="536" t="s">
        <v>343</v>
      </c>
      <c r="B82" s="537"/>
      <c r="C82" s="538">
        <f>(C81-C79)</f>
        <v>10498129</v>
      </c>
      <c r="D82" s="538">
        <f t="shared" ref="D82:K82" si="11">(D81-D79)</f>
        <v>885322</v>
      </c>
      <c r="E82" s="538">
        <f t="shared" si="11"/>
        <v>962532</v>
      </c>
      <c r="F82" s="538">
        <f t="shared" si="11"/>
        <v>501485</v>
      </c>
      <c r="G82" s="538">
        <f t="shared" si="11"/>
        <v>487607</v>
      </c>
      <c r="H82" s="538">
        <f t="shared" si="11"/>
        <v>0</v>
      </c>
      <c r="I82" s="538">
        <f t="shared" si="11"/>
        <v>0</v>
      </c>
      <c r="J82" s="538">
        <f t="shared" si="11"/>
        <v>107880</v>
      </c>
      <c r="K82" s="538">
        <f t="shared" si="11"/>
        <v>0</v>
      </c>
    </row>
    <row r="83" spans="1:12" ht="14.25" hidden="1" thickTop="1" thickBot="1" x14ac:dyDescent="0.25">
      <c r="A83" s="539" t="s">
        <v>344</v>
      </c>
      <c r="B83" s="464"/>
      <c r="C83" s="540">
        <f>C82/C81</f>
        <v>1</v>
      </c>
      <c r="D83" s="540">
        <f t="shared" ref="D83:K83" si="12">D82/D81</f>
        <v>1</v>
      </c>
      <c r="E83" s="540">
        <f t="shared" si="12"/>
        <v>1</v>
      </c>
      <c r="F83" s="540">
        <f t="shared" si="12"/>
        <v>1</v>
      </c>
      <c r="G83" s="540">
        <f t="shared" si="12"/>
        <v>1</v>
      </c>
      <c r="H83" s="540" t="e">
        <f t="shared" si="12"/>
        <v>#DIV/0!</v>
      </c>
      <c r="I83" s="540" t="e">
        <f t="shared" si="12"/>
        <v>#DIV/0!</v>
      </c>
      <c r="J83" s="540">
        <f t="shared" si="12"/>
        <v>1</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 activePane="bottomLeft" state="frozen"/>
      <selection activeCell="I42" sqref="I42:O42"/>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9700409</v>
      </c>
      <c r="D5" s="481">
        <v>1230864</v>
      </c>
      <c r="E5" s="466">
        <v>1125546</v>
      </c>
      <c r="F5" s="548">
        <v>425295</v>
      </c>
      <c r="G5" s="466">
        <v>227238</v>
      </c>
      <c r="H5" s="466"/>
      <c r="I5" s="466"/>
      <c r="J5" s="467">
        <v>7462</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227238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9700409</v>
      </c>
      <c r="D12" s="1707">
        <f t="shared" si="0"/>
        <v>1230864</v>
      </c>
      <c r="E12" s="1707">
        <f t="shared" si="0"/>
        <v>1125546</v>
      </c>
      <c r="F12" s="1707">
        <f t="shared" si="0"/>
        <v>425295</v>
      </c>
      <c r="G12" s="1707">
        <f t="shared" si="0"/>
        <v>454476</v>
      </c>
      <c r="H12" s="1707">
        <f t="shared" si="0"/>
        <v>0</v>
      </c>
      <c r="I12" s="1707">
        <f t="shared" si="0"/>
        <v>0</v>
      </c>
      <c r="J12" s="1707">
        <f t="shared" si="0"/>
        <v>7462</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345751</v>
      </c>
      <c r="D16" s="466"/>
      <c r="E16" s="466"/>
      <c r="F16" s="466"/>
      <c r="G16" s="466">
        <v>23000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345751</v>
      </c>
      <c r="D18" s="1710">
        <f t="shared" ref="D18:K18" si="1">SUM(D14:D17)</f>
        <v>0</v>
      </c>
      <c r="E18" s="1710">
        <f t="shared" si="1"/>
        <v>0</v>
      </c>
      <c r="F18" s="1710">
        <f t="shared" si="1"/>
        <v>0</v>
      </c>
      <c r="G18" s="1710">
        <f t="shared" si="1"/>
        <v>23000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7680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16522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24202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67515</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67515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157728</v>
      </c>
      <c r="D65" s="466">
        <v>10048</v>
      </c>
      <c r="E65" s="466">
        <v>11675</v>
      </c>
      <c r="F65" s="467">
        <v>6604</v>
      </c>
      <c r="G65" s="466">
        <v>6421</v>
      </c>
      <c r="H65" s="466"/>
      <c r="I65" s="466"/>
      <c r="J65" s="467">
        <v>1402</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157728</v>
      </c>
      <c r="D67" s="1688">
        <f t="shared" ref="D67:K67" si="2">SUM(D65:D66)</f>
        <v>10048</v>
      </c>
      <c r="E67" s="1688">
        <f t="shared" si="2"/>
        <v>11675</v>
      </c>
      <c r="F67" s="1688">
        <f t="shared" si="2"/>
        <v>6604</v>
      </c>
      <c r="G67" s="1688">
        <f t="shared" si="2"/>
        <v>6421</v>
      </c>
      <c r="H67" s="1688">
        <f t="shared" si="2"/>
        <v>0</v>
      </c>
      <c r="I67" s="1688">
        <f t="shared" si="2"/>
        <v>0</v>
      </c>
      <c r="J67" s="1688">
        <f t="shared" si="2"/>
        <v>1402</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206814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206814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7053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7053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105160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105160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18025</v>
      </c>
      <c r="E95" s="521"/>
      <c r="F95" s="521"/>
      <c r="G95" s="521"/>
      <c r="H95" s="521"/>
      <c r="I95" s="521"/>
      <c r="J95" s="521"/>
      <c r="K95" s="521"/>
    </row>
    <row r="96" spans="1:11" ht="12.75" customHeight="1" x14ac:dyDescent="0.2">
      <c r="A96" s="463" t="s">
        <v>391</v>
      </c>
      <c r="B96" s="470">
        <v>1920</v>
      </c>
      <c r="C96" s="551">
        <v>16897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7135</v>
      </c>
      <c r="D99" s="466">
        <v>19166</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15360</v>
      </c>
      <c r="D107" s="466"/>
      <c r="E107" s="466"/>
      <c r="F107" s="466"/>
      <c r="G107" s="466"/>
      <c r="H107" s="466"/>
      <c r="I107" s="466"/>
      <c r="J107" s="467"/>
      <c r="K107" s="466"/>
    </row>
    <row r="108" spans="1:12" ht="12.75" customHeight="1" thickBot="1" x14ac:dyDescent="0.25">
      <c r="A108" s="1708" t="s">
        <v>487</v>
      </c>
      <c r="B108" s="1712"/>
      <c r="C108" s="1707">
        <f>SUM(C95:C107)</f>
        <v>39392</v>
      </c>
      <c r="D108" s="1707">
        <f t="shared" ref="D108:K108" si="3">SUM(D95:D107)</f>
        <v>37191</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10586509</v>
      </c>
      <c r="D109" s="1715">
        <f t="shared" si="4"/>
        <v>1278103</v>
      </c>
      <c r="E109" s="1715">
        <f t="shared" si="4"/>
        <v>1137221</v>
      </c>
      <c r="F109" s="1715">
        <f t="shared" si="4"/>
        <v>499414</v>
      </c>
      <c r="G109" s="1715">
        <f t="shared" si="4"/>
        <v>483897</v>
      </c>
      <c r="H109" s="1715">
        <f t="shared" si="4"/>
        <v>0</v>
      </c>
      <c r="I109" s="1715">
        <f t="shared" si="4"/>
        <v>0</v>
      </c>
      <c r="J109" s="1715">
        <f t="shared" si="4"/>
        <v>8864</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597459</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597459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70888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70888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v>0</v>
      </c>
      <c r="E152" s="561"/>
      <c r="F152" s="466">
        <v>7866</v>
      </c>
      <c r="G152" s="467"/>
      <c r="H152" s="468"/>
      <c r="I152" s="468"/>
      <c r="J152" s="468"/>
      <c r="K152" s="468"/>
    </row>
    <row r="153" spans="1:11" ht="12.75" customHeight="1" x14ac:dyDescent="0.2">
      <c r="A153" s="463" t="s">
        <v>1057</v>
      </c>
      <c r="B153" s="562">
        <v>3510</v>
      </c>
      <c r="C153" s="551"/>
      <c r="D153" s="466"/>
      <c r="E153" s="561"/>
      <c r="F153" s="466">
        <v>159546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167412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v>750</v>
      </c>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0</v>
      </c>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71638</v>
      </c>
      <c r="D169" s="1722">
        <f t="shared" si="6"/>
        <v>0</v>
      </c>
      <c r="E169" s="1722">
        <f t="shared" si="6"/>
        <v>0</v>
      </c>
      <c r="F169" s="1722">
        <f t="shared" si="6"/>
        <v>167412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669097</v>
      </c>
      <c r="D170" s="1715">
        <f t="shared" si="7"/>
        <v>0</v>
      </c>
      <c r="E170" s="1715">
        <f t="shared" si="7"/>
        <v>0</v>
      </c>
      <c r="F170" s="1715">
        <f t="shared" si="7"/>
        <v>167412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1803</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43827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43827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37464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37464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50100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131391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131391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11386997</v>
      </c>
      <c r="D268" s="1715">
        <f t="shared" si="12"/>
        <v>1278103</v>
      </c>
      <c r="E268" s="1715">
        <f t="shared" si="12"/>
        <v>1137221</v>
      </c>
      <c r="F268" s="1715">
        <f t="shared" si="12"/>
        <v>666826</v>
      </c>
      <c r="G268" s="1715">
        <f t="shared" si="12"/>
        <v>483897</v>
      </c>
      <c r="H268" s="1715">
        <f t="shared" si="12"/>
        <v>0</v>
      </c>
      <c r="I268" s="1715">
        <f t="shared" si="12"/>
        <v>0</v>
      </c>
      <c r="J268" s="1715">
        <f t="shared" si="12"/>
        <v>8864</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7" activePane="bottomLeft" state="frozen"/>
      <selection activeCell="I42" sqref="I42:O42"/>
      <selection pane="bottomLeft" activeCell="I42" sqref="I42:O4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4102749</v>
      </c>
      <c r="D5" s="466">
        <v>561805</v>
      </c>
      <c r="E5" s="466">
        <v>10726</v>
      </c>
      <c r="F5" s="466">
        <v>165644</v>
      </c>
      <c r="G5" s="466">
        <v>20657</v>
      </c>
      <c r="H5" s="466">
        <v>219</v>
      </c>
      <c r="I5" s="467"/>
      <c r="J5" s="467"/>
      <c r="K5" s="1671">
        <f>SUM(C5:J5)</f>
        <v>4861800</v>
      </c>
      <c r="L5" s="466">
        <v>4852011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1408290</v>
      </c>
      <c r="D8" s="466">
        <v>302194</v>
      </c>
      <c r="E8" s="466">
        <v>323547</v>
      </c>
      <c r="F8" s="466">
        <v>22279</v>
      </c>
      <c r="G8" s="466">
        <v>9031</v>
      </c>
      <c r="H8" s="466"/>
      <c r="I8" s="467"/>
      <c r="J8" s="467"/>
      <c r="K8" s="1671">
        <f t="shared" si="0"/>
        <v>2065341</v>
      </c>
      <c r="L8" s="466">
        <v>2003593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204479</v>
      </c>
      <c r="D10" s="466">
        <v>36174</v>
      </c>
      <c r="E10" s="466">
        <v>89</v>
      </c>
      <c r="F10" s="466">
        <v>162</v>
      </c>
      <c r="G10" s="466"/>
      <c r="H10" s="466"/>
      <c r="I10" s="467"/>
      <c r="J10" s="467"/>
      <c r="K10" s="1671">
        <f t="shared" si="0"/>
        <v>240904</v>
      </c>
      <c r="L10" s="466">
        <v>296046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89546</v>
      </c>
      <c r="D14" s="466">
        <v>2633</v>
      </c>
      <c r="E14" s="466"/>
      <c r="F14" s="466">
        <v>1248</v>
      </c>
      <c r="G14" s="466">
        <v>13980</v>
      </c>
      <c r="H14" s="466">
        <v>11318</v>
      </c>
      <c r="I14" s="467"/>
      <c r="J14" s="467"/>
      <c r="K14" s="1671">
        <f t="shared" si="0"/>
        <v>118725</v>
      </c>
      <c r="L14" s="466">
        <v>133475</v>
      </c>
    </row>
    <row r="15" spans="1:14" x14ac:dyDescent="0.2">
      <c r="A15" s="1504" t="s">
        <v>964</v>
      </c>
      <c r="B15" s="614">
        <v>1600</v>
      </c>
      <c r="C15" s="466">
        <v>32872</v>
      </c>
      <c r="D15" s="466">
        <v>897</v>
      </c>
      <c r="E15" s="466"/>
      <c r="F15" s="466">
        <v>2426</v>
      </c>
      <c r="G15" s="466"/>
      <c r="H15" s="466"/>
      <c r="I15" s="467"/>
      <c r="J15" s="467"/>
      <c r="K15" s="1671">
        <f t="shared" si="0"/>
        <v>36195</v>
      </c>
      <c r="L15" s="466">
        <v>11150</v>
      </c>
    </row>
    <row r="16" spans="1:14" x14ac:dyDescent="0.2">
      <c r="A16" s="1504" t="s">
        <v>987</v>
      </c>
      <c r="B16" s="614" t="s">
        <v>424</v>
      </c>
      <c r="C16" s="466">
        <v>94595</v>
      </c>
      <c r="D16" s="466">
        <v>17902</v>
      </c>
      <c r="E16" s="466"/>
      <c r="F16" s="466">
        <v>97</v>
      </c>
      <c r="G16" s="466"/>
      <c r="H16" s="466"/>
      <c r="I16" s="467"/>
      <c r="J16" s="467"/>
      <c r="K16" s="1671">
        <f t="shared" si="0"/>
        <v>112594</v>
      </c>
      <c r="L16" s="466">
        <v>114043</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128077</v>
      </c>
      <c r="D18" s="466">
        <v>23677</v>
      </c>
      <c r="E18" s="466">
        <v>96</v>
      </c>
      <c r="F18" s="466">
        <v>393</v>
      </c>
      <c r="G18" s="466"/>
      <c r="H18" s="466"/>
      <c r="I18" s="467"/>
      <c r="J18" s="467"/>
      <c r="K18" s="1671">
        <f t="shared" si="0"/>
        <v>152243</v>
      </c>
      <c r="L18" s="466">
        <v>162934</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6060608</v>
      </c>
      <c r="D33" s="1670">
        <f t="shared" ref="D33:L33" si="1">SUM(D5:D32)</f>
        <v>945282</v>
      </c>
      <c r="E33" s="1670">
        <f t="shared" si="1"/>
        <v>334458</v>
      </c>
      <c r="F33" s="1670">
        <f t="shared" si="1"/>
        <v>192249</v>
      </c>
      <c r="G33" s="1670">
        <f t="shared" si="1"/>
        <v>43668</v>
      </c>
      <c r="H33" s="1670">
        <f t="shared" si="1"/>
        <v>11537</v>
      </c>
      <c r="I33" s="1670">
        <f t="shared" si="1"/>
        <v>0</v>
      </c>
      <c r="J33" s="1670">
        <f t="shared" si="1"/>
        <v>0</v>
      </c>
      <c r="K33" s="1670">
        <f t="shared" si="1"/>
        <v>7587802</v>
      </c>
      <c r="L33" s="1670">
        <f t="shared" si="1"/>
        <v>7573252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223569</v>
      </c>
      <c r="D36" s="481">
        <v>21985</v>
      </c>
      <c r="E36" s="481"/>
      <c r="F36" s="481">
        <v>7938</v>
      </c>
      <c r="G36" s="481"/>
      <c r="H36" s="481"/>
      <c r="I36" s="467"/>
      <c r="J36" s="467"/>
      <c r="K36" s="1671">
        <f t="shared" ref="K36:K41" si="2">SUM(C36:J36)</f>
        <v>253492</v>
      </c>
      <c r="L36" s="466">
        <v>253595</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216319</v>
      </c>
      <c r="D38" s="466">
        <v>9114</v>
      </c>
      <c r="E38" s="466">
        <v>16129</v>
      </c>
      <c r="F38" s="466">
        <v>3120</v>
      </c>
      <c r="G38" s="466"/>
      <c r="H38" s="466"/>
      <c r="I38" s="467"/>
      <c r="J38" s="467"/>
      <c r="K38" s="1671">
        <f t="shared" si="2"/>
        <v>244682</v>
      </c>
      <c r="L38" s="466">
        <v>212879</v>
      </c>
    </row>
    <row r="39" spans="1:14" x14ac:dyDescent="0.2">
      <c r="A39" s="1504" t="s">
        <v>199</v>
      </c>
      <c r="B39" s="614">
        <v>2140</v>
      </c>
      <c r="C39" s="466">
        <v>76421</v>
      </c>
      <c r="D39" s="466">
        <v>1153</v>
      </c>
      <c r="E39" s="466"/>
      <c r="F39" s="466"/>
      <c r="G39" s="466"/>
      <c r="H39" s="466"/>
      <c r="I39" s="467"/>
      <c r="J39" s="467"/>
      <c r="K39" s="1671">
        <f t="shared" si="2"/>
        <v>77574</v>
      </c>
      <c r="L39" s="466">
        <v>78283</v>
      </c>
    </row>
    <row r="40" spans="1:14" x14ac:dyDescent="0.2">
      <c r="A40" s="1504" t="s">
        <v>200</v>
      </c>
      <c r="B40" s="614">
        <v>2150</v>
      </c>
      <c r="C40" s="466">
        <v>284472</v>
      </c>
      <c r="D40" s="466">
        <v>45373</v>
      </c>
      <c r="E40" s="466">
        <v>43</v>
      </c>
      <c r="F40" s="466">
        <v>457</v>
      </c>
      <c r="G40" s="466"/>
      <c r="H40" s="466"/>
      <c r="I40" s="467"/>
      <c r="J40" s="467"/>
      <c r="K40" s="1671">
        <f t="shared" si="2"/>
        <v>330345</v>
      </c>
      <c r="L40" s="466">
        <v>341889</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800781</v>
      </c>
      <c r="D42" s="1670">
        <f t="shared" ref="D42:L42" si="3">SUM(D36:D41)</f>
        <v>77625</v>
      </c>
      <c r="E42" s="1670">
        <f t="shared" si="3"/>
        <v>16172</v>
      </c>
      <c r="F42" s="1670">
        <f t="shared" si="3"/>
        <v>11515</v>
      </c>
      <c r="G42" s="1670">
        <f t="shared" si="3"/>
        <v>0</v>
      </c>
      <c r="H42" s="1670">
        <f t="shared" si="3"/>
        <v>0</v>
      </c>
      <c r="I42" s="1670">
        <f t="shared" si="3"/>
        <v>0</v>
      </c>
      <c r="J42" s="1670">
        <f t="shared" si="3"/>
        <v>0</v>
      </c>
      <c r="K42" s="1670">
        <f t="shared" si="3"/>
        <v>906093</v>
      </c>
      <c r="L42" s="1670">
        <f t="shared" si="3"/>
        <v>886646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19513</v>
      </c>
      <c r="D44" s="481">
        <v>12505</v>
      </c>
      <c r="E44" s="481">
        <v>34579</v>
      </c>
      <c r="F44" s="481">
        <v>4091</v>
      </c>
      <c r="G44" s="481"/>
      <c r="H44" s="481"/>
      <c r="I44" s="467"/>
      <c r="J44" s="467"/>
      <c r="K44" s="1672">
        <f>SUM(C44:J44)</f>
        <v>70688</v>
      </c>
      <c r="L44" s="481">
        <v>80680</v>
      </c>
    </row>
    <row r="45" spans="1:14" x14ac:dyDescent="0.2">
      <c r="A45" s="1504" t="s">
        <v>815</v>
      </c>
      <c r="B45" s="614">
        <v>2220</v>
      </c>
      <c r="C45" s="466">
        <v>248368</v>
      </c>
      <c r="D45" s="466">
        <v>25052</v>
      </c>
      <c r="E45" s="466">
        <v>182609</v>
      </c>
      <c r="F45" s="466">
        <v>79665</v>
      </c>
      <c r="G45" s="466">
        <v>211811</v>
      </c>
      <c r="H45" s="466"/>
      <c r="I45" s="467"/>
      <c r="J45" s="467"/>
      <c r="K45" s="1672">
        <f>SUM(C45:J45)</f>
        <v>747505</v>
      </c>
      <c r="L45" s="466">
        <v>792960</v>
      </c>
    </row>
    <row r="46" spans="1:14" x14ac:dyDescent="0.2">
      <c r="A46" s="1504" t="s">
        <v>816</v>
      </c>
      <c r="B46" s="614">
        <v>2230</v>
      </c>
      <c r="C46" s="466">
        <v>28</v>
      </c>
      <c r="D46" s="466">
        <v>0</v>
      </c>
      <c r="E46" s="466"/>
      <c r="F46" s="466">
        <v>15947</v>
      </c>
      <c r="G46" s="466"/>
      <c r="H46" s="466"/>
      <c r="I46" s="467"/>
      <c r="J46" s="467"/>
      <c r="K46" s="1672">
        <f>SUM(C46:J46)</f>
        <v>15975</v>
      </c>
      <c r="L46" s="466">
        <v>22508</v>
      </c>
    </row>
    <row r="47" spans="1:14" ht="12.75" customHeight="1" thickBot="1" x14ac:dyDescent="0.25">
      <c r="A47" s="1668" t="s">
        <v>561</v>
      </c>
      <c r="B47" s="1669" t="s">
        <v>32</v>
      </c>
      <c r="C47" s="1670">
        <f>SUM(C44:C46)</f>
        <v>267909</v>
      </c>
      <c r="D47" s="1670">
        <f t="shared" ref="D47:K47" si="4">SUM(D44:D46)</f>
        <v>37557</v>
      </c>
      <c r="E47" s="1670">
        <f t="shared" si="4"/>
        <v>217188</v>
      </c>
      <c r="F47" s="1670">
        <f t="shared" si="4"/>
        <v>99703</v>
      </c>
      <c r="G47" s="1670">
        <f t="shared" si="4"/>
        <v>211811</v>
      </c>
      <c r="H47" s="1670">
        <f t="shared" si="4"/>
        <v>0</v>
      </c>
      <c r="I47" s="1670">
        <f t="shared" si="4"/>
        <v>0</v>
      </c>
      <c r="J47" s="1670">
        <f t="shared" si="4"/>
        <v>0</v>
      </c>
      <c r="K47" s="1670">
        <f t="shared" si="4"/>
        <v>834168</v>
      </c>
      <c r="L47" s="1670">
        <f>SUM(L44:L46)</f>
        <v>896148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3000</v>
      </c>
      <c r="D49" s="481"/>
      <c r="E49" s="481">
        <v>81670</v>
      </c>
      <c r="F49" s="481">
        <v>4364</v>
      </c>
      <c r="G49" s="481"/>
      <c r="H49" s="481">
        <v>6955</v>
      </c>
      <c r="I49" s="467"/>
      <c r="J49" s="467"/>
      <c r="K49" s="1672">
        <f>SUM(C49:J49)</f>
        <v>95989</v>
      </c>
      <c r="L49" s="481">
        <v>100466</v>
      </c>
    </row>
    <row r="50" spans="1:14" x14ac:dyDescent="0.2">
      <c r="A50" s="1504" t="s">
        <v>818</v>
      </c>
      <c r="B50" s="614">
        <v>2320</v>
      </c>
      <c r="C50" s="466">
        <v>430519</v>
      </c>
      <c r="D50" s="466">
        <v>83290</v>
      </c>
      <c r="E50" s="466">
        <v>5107</v>
      </c>
      <c r="F50" s="466">
        <v>3614</v>
      </c>
      <c r="G50" s="466">
        <v>4439</v>
      </c>
      <c r="H50" s="466">
        <v>2837</v>
      </c>
      <c r="I50" s="467"/>
      <c r="J50" s="467"/>
      <c r="K50" s="1672">
        <f>SUM(C50:J50)</f>
        <v>529806</v>
      </c>
      <c r="L50" s="466">
        <v>534881</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433519</v>
      </c>
      <c r="D53" s="1670">
        <f t="shared" ref="D53:L53" si="5">SUM(D49:D52)</f>
        <v>83290</v>
      </c>
      <c r="E53" s="1670">
        <f t="shared" si="5"/>
        <v>86777</v>
      </c>
      <c r="F53" s="1670">
        <f t="shared" si="5"/>
        <v>7978</v>
      </c>
      <c r="G53" s="1670">
        <f t="shared" si="5"/>
        <v>4439</v>
      </c>
      <c r="H53" s="1670">
        <f t="shared" si="5"/>
        <v>9792</v>
      </c>
      <c r="I53" s="1670">
        <f t="shared" si="5"/>
        <v>0</v>
      </c>
      <c r="J53" s="1670">
        <f t="shared" si="5"/>
        <v>0</v>
      </c>
      <c r="K53" s="1670">
        <f t="shared" si="5"/>
        <v>625795</v>
      </c>
      <c r="L53" s="1670">
        <f t="shared" si="5"/>
        <v>635347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499226</v>
      </c>
      <c r="D55" s="481">
        <v>148639</v>
      </c>
      <c r="E55" s="481">
        <v>509</v>
      </c>
      <c r="F55" s="481">
        <v>785</v>
      </c>
      <c r="G55" s="481">
        <v>404</v>
      </c>
      <c r="H55" s="481">
        <v>1211</v>
      </c>
      <c r="I55" s="467"/>
      <c r="J55" s="467"/>
      <c r="K55" s="1672">
        <f>SUM(C55:J55)</f>
        <v>650774</v>
      </c>
      <c r="L55" s="481">
        <v>654690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499226</v>
      </c>
      <c r="D57" s="1674">
        <f t="shared" ref="D57:K57" si="6">SUM(D55:D56)</f>
        <v>148639</v>
      </c>
      <c r="E57" s="1674">
        <f t="shared" si="6"/>
        <v>509</v>
      </c>
      <c r="F57" s="1674">
        <f t="shared" si="6"/>
        <v>785</v>
      </c>
      <c r="G57" s="1674">
        <f t="shared" si="6"/>
        <v>404</v>
      </c>
      <c r="H57" s="1674">
        <f t="shared" si="6"/>
        <v>1211</v>
      </c>
      <c r="I57" s="1674">
        <f t="shared" si="6"/>
        <v>0</v>
      </c>
      <c r="J57" s="1674">
        <f t="shared" si="6"/>
        <v>0</v>
      </c>
      <c r="K57" s="1674">
        <f t="shared" si="6"/>
        <v>650774</v>
      </c>
      <c r="L57" s="1670">
        <f>SUM(L55:L56)</f>
        <v>654690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159267</v>
      </c>
      <c r="D60" s="466">
        <v>18007</v>
      </c>
      <c r="E60" s="466">
        <v>14589</v>
      </c>
      <c r="F60" s="466">
        <v>1784</v>
      </c>
      <c r="G60" s="466">
        <v>2223</v>
      </c>
      <c r="H60" s="466">
        <v>7493</v>
      </c>
      <c r="I60" s="467"/>
      <c r="J60" s="467"/>
      <c r="K60" s="1672">
        <f t="shared" si="7"/>
        <v>203363</v>
      </c>
      <c r="L60" s="466">
        <v>211690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79644</v>
      </c>
      <c r="D63" s="466">
        <v>9764</v>
      </c>
      <c r="E63" s="466">
        <v>18476</v>
      </c>
      <c r="F63" s="466">
        <v>121312</v>
      </c>
      <c r="G63" s="466">
        <v>4520</v>
      </c>
      <c r="H63" s="466"/>
      <c r="I63" s="467"/>
      <c r="J63" s="467"/>
      <c r="K63" s="1672">
        <f t="shared" si="7"/>
        <v>233716</v>
      </c>
      <c r="L63" s="466">
        <v>258590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238911</v>
      </c>
      <c r="D65" s="1670">
        <f t="shared" ref="D65:L65" si="8">SUM(D59:D64)</f>
        <v>27771</v>
      </c>
      <c r="E65" s="1670">
        <f t="shared" si="8"/>
        <v>33065</v>
      </c>
      <c r="F65" s="1670">
        <f t="shared" si="8"/>
        <v>123096</v>
      </c>
      <c r="G65" s="1670">
        <f t="shared" si="8"/>
        <v>6743</v>
      </c>
      <c r="H65" s="1670">
        <f t="shared" si="8"/>
        <v>7493</v>
      </c>
      <c r="I65" s="1670">
        <f t="shared" si="8"/>
        <v>0</v>
      </c>
      <c r="J65" s="1670">
        <f t="shared" si="8"/>
        <v>0</v>
      </c>
      <c r="K65" s="1670">
        <f t="shared" si="8"/>
        <v>437079</v>
      </c>
      <c r="L65" s="1670">
        <f t="shared" si="8"/>
        <v>470280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v>3303</v>
      </c>
      <c r="D68" s="466">
        <v>13</v>
      </c>
      <c r="E68" s="466"/>
      <c r="F68" s="466"/>
      <c r="G68" s="466"/>
      <c r="H68" s="466">
        <v>1490</v>
      </c>
      <c r="I68" s="467"/>
      <c r="J68" s="467"/>
      <c r="K68" s="1672">
        <f>SUM(C68:J68)</f>
        <v>4806</v>
      </c>
      <c r="L68" s="466">
        <v>3515</v>
      </c>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v>3000</v>
      </c>
      <c r="D70" s="466"/>
      <c r="E70" s="466">
        <v>9328</v>
      </c>
      <c r="F70" s="466">
        <v>359</v>
      </c>
      <c r="G70" s="466"/>
      <c r="H70" s="466">
        <v>33</v>
      </c>
      <c r="I70" s="467"/>
      <c r="J70" s="467"/>
      <c r="K70" s="1672">
        <f>SUM(C70:J70)</f>
        <v>12720</v>
      </c>
      <c r="L70" s="466">
        <v>16991</v>
      </c>
      <c r="M70" s="609"/>
      <c r="N70" s="609"/>
    </row>
    <row r="71" spans="1:14" s="343" customFormat="1" x14ac:dyDescent="0.2">
      <c r="A71" s="1504" t="s">
        <v>404</v>
      </c>
      <c r="B71" s="614">
        <v>2660</v>
      </c>
      <c r="C71" s="466"/>
      <c r="D71" s="466"/>
      <c r="E71" s="466">
        <v>5042</v>
      </c>
      <c r="F71" s="466"/>
      <c r="G71" s="466"/>
      <c r="H71" s="466"/>
      <c r="I71" s="467"/>
      <c r="J71" s="467"/>
      <c r="K71" s="1672">
        <f>SUM(C71:J71)</f>
        <v>5042</v>
      </c>
      <c r="L71" s="466">
        <v>6600</v>
      </c>
      <c r="M71" s="609"/>
      <c r="N71" s="609"/>
    </row>
    <row r="72" spans="1:14" s="343" customFormat="1" ht="12.75" customHeight="1" thickBot="1" x14ac:dyDescent="0.25">
      <c r="A72" s="1668" t="s">
        <v>37</v>
      </c>
      <c r="B72" s="1675" t="s">
        <v>36</v>
      </c>
      <c r="C72" s="1670">
        <f>SUM(C67:C71)</f>
        <v>6303</v>
      </c>
      <c r="D72" s="1670">
        <f t="shared" ref="D72:K72" si="9">SUM(D67:D71)</f>
        <v>13</v>
      </c>
      <c r="E72" s="1670">
        <f t="shared" si="9"/>
        <v>14370</v>
      </c>
      <c r="F72" s="1670">
        <f t="shared" si="9"/>
        <v>359</v>
      </c>
      <c r="G72" s="1670">
        <f t="shared" si="9"/>
        <v>0</v>
      </c>
      <c r="H72" s="1670">
        <f t="shared" si="9"/>
        <v>1523</v>
      </c>
      <c r="I72" s="1670">
        <f t="shared" si="9"/>
        <v>0</v>
      </c>
      <c r="J72" s="1670">
        <f t="shared" si="9"/>
        <v>0</v>
      </c>
      <c r="K72" s="1670">
        <f t="shared" si="9"/>
        <v>22568</v>
      </c>
      <c r="L72" s="1670">
        <f>SUM(L67:L71)</f>
        <v>27106</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2246649</v>
      </c>
      <c r="D74" s="1677">
        <f t="shared" ref="D74:K74" si="10">SUM(D42,D47,D53,D57,D65,D72,D73)</f>
        <v>374895</v>
      </c>
      <c r="E74" s="1677">
        <f t="shared" si="10"/>
        <v>368081</v>
      </c>
      <c r="F74" s="1677">
        <f t="shared" si="10"/>
        <v>243436</v>
      </c>
      <c r="G74" s="1677">
        <f t="shared" si="10"/>
        <v>223397</v>
      </c>
      <c r="H74" s="1677">
        <f t="shared" si="10"/>
        <v>20019</v>
      </c>
      <c r="I74" s="1677">
        <f t="shared" si="10"/>
        <v>0</v>
      </c>
      <c r="J74" s="1677">
        <f t="shared" si="10"/>
        <v>0</v>
      </c>
      <c r="K74" s="1677">
        <f t="shared" si="10"/>
        <v>3476477</v>
      </c>
      <c r="L74" s="1677">
        <f>SUM(L42,L47,L53,L57,L65,L72,L73)</f>
        <v>3570217</v>
      </c>
    </row>
    <row r="75" spans="1:14" s="259" customFormat="1" ht="15.75" customHeight="1" thickTop="1" thickBot="1" x14ac:dyDescent="0.25">
      <c r="A75" s="1610" t="s">
        <v>47</v>
      </c>
      <c r="B75" s="1611" t="s">
        <v>575</v>
      </c>
      <c r="C75" s="573"/>
      <c r="D75" s="573"/>
      <c r="E75" s="573">
        <v>350</v>
      </c>
      <c r="F75" s="573">
        <v>315</v>
      </c>
      <c r="G75" s="573"/>
      <c r="H75" s="573"/>
      <c r="I75" s="531"/>
      <c r="J75" s="531"/>
      <c r="K75" s="1670">
        <f>SUM(C75:J75)</f>
        <v>665</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334089</v>
      </c>
      <c r="F79" s="616"/>
      <c r="G79" s="616"/>
      <c r="H79" s="466"/>
      <c r="I79" s="477"/>
      <c r="J79" s="477"/>
      <c r="K79" s="1671">
        <f t="shared" si="11"/>
        <v>334089</v>
      </c>
      <c r="L79" s="466">
        <v>290000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334089</v>
      </c>
      <c r="F84" s="616"/>
      <c r="G84" s="616"/>
      <c r="H84" s="1670">
        <f>SUM(H78:H83)</f>
        <v>0</v>
      </c>
      <c r="I84" s="477"/>
      <c r="J84" s="477"/>
      <c r="K84" s="1670">
        <f>SUM(K78:K83)</f>
        <v>334089</v>
      </c>
      <c r="L84" s="1670">
        <f>SUM(L78:L83)</f>
        <v>290000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334089</v>
      </c>
      <c r="F102" s="616"/>
      <c r="G102" s="616"/>
      <c r="H102" s="1677">
        <f>SUM(H84,H92,H100,H101)</f>
        <v>0</v>
      </c>
      <c r="I102" s="477"/>
      <c r="J102" s="477"/>
      <c r="K102" s="1677">
        <f>SUM(K84,K92,K100,K101)</f>
        <v>334089</v>
      </c>
      <c r="L102" s="1677">
        <f>SUM(L84,L92,L100,L101)</f>
        <v>290000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50000</v>
      </c>
      <c r="M113" s="613"/>
      <c r="N113" s="613"/>
    </row>
    <row r="114" spans="1:14" ht="12.75" customHeight="1" thickTop="1" thickBot="1" x14ac:dyDescent="0.25">
      <c r="A114" s="1668" t="s">
        <v>48</v>
      </c>
      <c r="B114" s="1682"/>
      <c r="C114" s="1670">
        <f>SUM(C33,C74,C75,C102,C112,C113)</f>
        <v>8307257</v>
      </c>
      <c r="D114" s="1670">
        <f t="shared" ref="D114:K114" si="13">SUM(D33,D74,D75,D102,D112,D113)</f>
        <v>1320177</v>
      </c>
      <c r="E114" s="1670">
        <f t="shared" si="13"/>
        <v>1036978</v>
      </c>
      <c r="F114" s="1670">
        <f t="shared" si="13"/>
        <v>436000</v>
      </c>
      <c r="G114" s="1670">
        <f t="shared" si="13"/>
        <v>267065</v>
      </c>
      <c r="H114" s="1670">
        <f>SUM(H33,H74,H75,H102,H112,H113)</f>
        <v>31556</v>
      </c>
      <c r="I114" s="1670">
        <f t="shared" si="13"/>
        <v>0</v>
      </c>
      <c r="J114" s="1670">
        <f t="shared" si="13"/>
        <v>0</v>
      </c>
      <c r="K114" s="1670">
        <f t="shared" si="13"/>
        <v>11399033</v>
      </c>
      <c r="L114" s="1670">
        <f>SUM(L33,L74,L75,L102,L112,L113)</f>
        <v>11483469</v>
      </c>
    </row>
    <row r="115" spans="1:14" ht="13.5" thickTop="1" x14ac:dyDescent="0.2">
      <c r="A115" s="2188" t="s">
        <v>996</v>
      </c>
      <c r="B115" s="2189"/>
      <c r="C115" s="618"/>
      <c r="D115" s="618"/>
      <c r="E115" s="618"/>
      <c r="F115" s="618"/>
      <c r="G115" s="618"/>
      <c r="H115" s="618"/>
      <c r="I115" s="618"/>
      <c r="J115" s="618"/>
      <c r="K115" s="1684">
        <f>'Revenues 9-14'!C268-'Expenditures 15-22'!K114</f>
        <v>-12036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27454</v>
      </c>
      <c r="F123" s="466"/>
      <c r="G123" s="466"/>
      <c r="H123" s="466"/>
      <c r="I123" s="467"/>
      <c r="J123" s="467"/>
      <c r="K123" s="1670">
        <f>SUM(C123:J123)</f>
        <v>27454</v>
      </c>
      <c r="L123" s="466">
        <v>18500</v>
      </c>
    </row>
    <row r="124" spans="1:14" ht="14.25" thickTop="1" thickBot="1" x14ac:dyDescent="0.25">
      <c r="A124" s="1504" t="s">
        <v>197</v>
      </c>
      <c r="B124" s="614">
        <v>2540</v>
      </c>
      <c r="C124" s="466">
        <v>282142</v>
      </c>
      <c r="D124" s="466">
        <v>73473</v>
      </c>
      <c r="E124" s="466">
        <v>195627</v>
      </c>
      <c r="F124" s="466">
        <v>223919</v>
      </c>
      <c r="G124" s="466">
        <v>277882</v>
      </c>
      <c r="H124" s="466"/>
      <c r="I124" s="467"/>
      <c r="J124" s="467"/>
      <c r="K124" s="1670">
        <f>SUM(C124:J124)</f>
        <v>1053043</v>
      </c>
      <c r="L124" s="466">
        <v>1084900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282142</v>
      </c>
      <c r="D127" s="1670">
        <f t="shared" ref="D127:L127" si="14">SUM(D122:D126)</f>
        <v>73473</v>
      </c>
      <c r="E127" s="1670">
        <f t="shared" si="14"/>
        <v>223081</v>
      </c>
      <c r="F127" s="1670">
        <f t="shared" si="14"/>
        <v>223919</v>
      </c>
      <c r="G127" s="1670">
        <f t="shared" si="14"/>
        <v>277882</v>
      </c>
      <c r="H127" s="1670">
        <f t="shared" si="14"/>
        <v>0</v>
      </c>
      <c r="I127" s="1670">
        <f t="shared" si="14"/>
        <v>0</v>
      </c>
      <c r="J127" s="1670">
        <f t="shared" si="14"/>
        <v>0</v>
      </c>
      <c r="K127" s="1670">
        <f t="shared" si="14"/>
        <v>1080497</v>
      </c>
      <c r="L127" s="1670">
        <f t="shared" si="14"/>
        <v>1103400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282142</v>
      </c>
      <c r="D129" s="1677">
        <f t="shared" ref="D129:L129" si="15">SUM(D120,D127,D128)</f>
        <v>73473</v>
      </c>
      <c r="E129" s="1677">
        <f t="shared" si="15"/>
        <v>223081</v>
      </c>
      <c r="F129" s="1677">
        <f t="shared" si="15"/>
        <v>223919</v>
      </c>
      <c r="G129" s="1677">
        <f t="shared" si="15"/>
        <v>277882</v>
      </c>
      <c r="H129" s="1677">
        <f t="shared" si="15"/>
        <v>0</v>
      </c>
      <c r="I129" s="1677">
        <f t="shared" si="15"/>
        <v>0</v>
      </c>
      <c r="J129" s="1677">
        <f t="shared" si="15"/>
        <v>0</v>
      </c>
      <c r="K129" s="1677">
        <f t="shared" si="15"/>
        <v>1080497</v>
      </c>
      <c r="L129" s="1677">
        <f t="shared" si="15"/>
        <v>1103400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50000</v>
      </c>
    </row>
    <row r="151" spans="1:14" ht="12.75" customHeight="1" thickTop="1" thickBot="1" x14ac:dyDescent="0.25">
      <c r="A151" s="2178" t="s">
        <v>620</v>
      </c>
      <c r="B151" s="2160"/>
      <c r="C151" s="1670">
        <f>SUM(C129,C130,C139,C149,C150)</f>
        <v>282142</v>
      </c>
      <c r="D151" s="1670">
        <f t="shared" ref="D151:K151" si="16">SUM(D129,D130,D139,D149,D150)</f>
        <v>73473</v>
      </c>
      <c r="E151" s="1670">
        <f t="shared" si="16"/>
        <v>223081</v>
      </c>
      <c r="F151" s="1670">
        <f t="shared" si="16"/>
        <v>223919</v>
      </c>
      <c r="G151" s="1670">
        <f t="shared" si="16"/>
        <v>277882</v>
      </c>
      <c r="H151" s="1670">
        <f t="shared" si="16"/>
        <v>0</v>
      </c>
      <c r="I151" s="1670">
        <f t="shared" si="16"/>
        <v>0</v>
      </c>
      <c r="J151" s="1670">
        <f t="shared" si="16"/>
        <v>0</v>
      </c>
      <c r="K151" s="1670">
        <f t="shared" si="16"/>
        <v>1080497</v>
      </c>
      <c r="L151" s="1670">
        <f>SUM(L129,L130,L139,L149,L150)</f>
        <v>1153400</v>
      </c>
    </row>
    <row r="152" spans="1:14" ht="12.75" customHeight="1" thickTop="1" x14ac:dyDescent="0.2">
      <c r="A152" s="2181" t="s">
        <v>1178</v>
      </c>
      <c r="B152" s="2182"/>
      <c r="C152" s="618"/>
      <c r="D152" s="618"/>
      <c r="E152" s="618"/>
      <c r="F152" s="618"/>
      <c r="G152" s="618"/>
      <c r="H152" s="618"/>
      <c r="I152" s="618"/>
      <c r="J152" s="616"/>
      <c r="K152" s="1684">
        <f>'Revenues 9-14'!D268-'Expenditures 15-22'!K151</f>
        <v>197606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143700</v>
      </c>
      <c r="I169" s="616"/>
      <c r="J169" s="616"/>
      <c r="K169" s="1671">
        <f>SUM(C169:H169)</f>
        <v>143700</v>
      </c>
      <c r="L169" s="656">
        <v>143700</v>
      </c>
    </row>
    <row r="170" spans="1:14" ht="33.75" customHeight="1" x14ac:dyDescent="0.2">
      <c r="A170" s="669" t="s">
        <v>1670</v>
      </c>
      <c r="B170" s="671" t="s">
        <v>31</v>
      </c>
      <c r="C170" s="616"/>
      <c r="D170" s="616"/>
      <c r="E170" s="616"/>
      <c r="F170" s="616"/>
      <c r="G170" s="616"/>
      <c r="H170" s="569">
        <v>995000</v>
      </c>
      <c r="I170" s="616"/>
      <c r="J170" s="616"/>
      <c r="K170" s="1671">
        <f>SUM(C170:J170)</f>
        <v>995000</v>
      </c>
      <c r="L170" s="569">
        <v>995000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1138700</v>
      </c>
      <c r="I172" s="638"/>
      <c r="J172" s="616"/>
      <c r="K172" s="1677">
        <f>SUM(K168,K169,K170,K171)</f>
        <v>1138700</v>
      </c>
      <c r="L172" s="1677">
        <f>SUM(L168,L169,L170,L171)</f>
        <v>1138700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1138700</v>
      </c>
      <c r="I174" s="638"/>
      <c r="J174" s="616"/>
      <c r="K174" s="1677">
        <f>SUM(K160,K172,K173)</f>
        <v>1138700</v>
      </c>
      <c r="L174" s="1677">
        <f>SUM(L160,L172,L173)</f>
        <v>1138700</v>
      </c>
    </row>
    <row r="175" spans="1:14" ht="13.5" thickTop="1" x14ac:dyDescent="0.2">
      <c r="A175" s="2188" t="s">
        <v>996</v>
      </c>
      <c r="B175" s="2189"/>
      <c r="C175" s="616"/>
      <c r="D175" s="616"/>
      <c r="E175" s="616"/>
      <c r="F175" s="616"/>
      <c r="G175" s="616"/>
      <c r="H175" s="618"/>
      <c r="I175" s="616"/>
      <c r="J175" s="616"/>
      <c r="K175" s="1684">
        <f>'Revenues 9-14'!E268-'Expenditures 15-22'!K174</f>
        <v>-1479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188091</v>
      </c>
      <c r="D182" s="466">
        <v>12991</v>
      </c>
      <c r="E182" s="466">
        <v>446715</v>
      </c>
      <c r="F182" s="466">
        <v>33189</v>
      </c>
      <c r="G182" s="466"/>
      <c r="H182" s="466"/>
      <c r="I182" s="467"/>
      <c r="J182" s="467"/>
      <c r="K182" s="1671">
        <f>SUM(C182:J182)</f>
        <v>680986</v>
      </c>
      <c r="L182" s="466">
        <v>661936</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188091</v>
      </c>
      <c r="D184" s="1677">
        <f t="shared" ref="D184:J184" si="17">SUM(D180,D182,D183)</f>
        <v>12991</v>
      </c>
      <c r="E184" s="1677">
        <f t="shared" si="17"/>
        <v>446715</v>
      </c>
      <c r="F184" s="1677">
        <f t="shared" si="17"/>
        <v>33189</v>
      </c>
      <c r="G184" s="1677">
        <f t="shared" si="17"/>
        <v>0</v>
      </c>
      <c r="H184" s="1677">
        <f t="shared" si="17"/>
        <v>0</v>
      </c>
      <c r="I184" s="1677">
        <f t="shared" si="17"/>
        <v>0</v>
      </c>
      <c r="J184" s="1677">
        <f t="shared" si="17"/>
        <v>0</v>
      </c>
      <c r="K184" s="1677">
        <f>SUM(K180,K182,K183)</f>
        <v>680986</v>
      </c>
      <c r="L184" s="1677">
        <f>SUM(L180, L182:L183)</f>
        <v>661936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188091</v>
      </c>
      <c r="D210" s="1670">
        <f>SUM(D184,D185)</f>
        <v>12991</v>
      </c>
      <c r="E210" s="1670">
        <f>SUM(E184,E185,E196)</f>
        <v>446715</v>
      </c>
      <c r="F210" s="1670">
        <f>SUM(F184,F185)</f>
        <v>33189</v>
      </c>
      <c r="G210" s="1670">
        <f>SUM(G184,G185)</f>
        <v>0</v>
      </c>
      <c r="H210" s="1670">
        <f>SUM(H184,H185,H196,H208,H209)</f>
        <v>0</v>
      </c>
      <c r="I210" s="1670">
        <f>SUM(I184,I185)</f>
        <v>0</v>
      </c>
      <c r="J210" s="1670">
        <f>SUM(J184,J185)</f>
        <v>0</v>
      </c>
      <c r="K210" s="1671">
        <f>SUM(K184,K185,K196,K208,K209)</f>
        <v>680986</v>
      </c>
      <c r="L210" s="1670">
        <f>SUM(L184,L185,L196,L208,L209)</f>
        <v>661936</v>
      </c>
    </row>
    <row r="211" spans="1:14" ht="13.5" thickTop="1" x14ac:dyDescent="0.2">
      <c r="A211" s="2188" t="s">
        <v>996</v>
      </c>
      <c r="B211" s="2189"/>
      <c r="C211" s="618"/>
      <c r="D211" s="618"/>
      <c r="E211" s="618"/>
      <c r="F211" s="618"/>
      <c r="G211" s="618"/>
      <c r="H211" s="618"/>
      <c r="I211" s="616"/>
      <c r="J211" s="616"/>
      <c r="K211" s="1684">
        <f>'Revenues 9-14'!F268-'Expenditures 15-22'!K210</f>
        <v>-14160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57378</v>
      </c>
      <c r="E215" s="616"/>
      <c r="F215" s="616"/>
      <c r="G215" s="616"/>
      <c r="H215" s="616"/>
      <c r="I215" s="616"/>
      <c r="J215" s="616"/>
      <c r="K215" s="1671">
        <f>D215</f>
        <v>57378</v>
      </c>
      <c r="L215" s="466">
        <v>63966</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105944</v>
      </c>
      <c r="E217" s="616"/>
      <c r="F217" s="616"/>
      <c r="G217" s="616"/>
      <c r="H217" s="616"/>
      <c r="I217" s="616"/>
      <c r="J217" s="616"/>
      <c r="K217" s="1671">
        <f t="shared" si="19"/>
        <v>105944</v>
      </c>
      <c r="L217" s="466">
        <v>111700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7864</v>
      </c>
      <c r="E219" s="616"/>
      <c r="F219" s="616"/>
      <c r="G219" s="616"/>
      <c r="H219" s="616"/>
      <c r="I219" s="616"/>
      <c r="J219" s="616"/>
      <c r="K219" s="1671">
        <f t="shared" si="19"/>
        <v>7864</v>
      </c>
      <c r="L219" s="466">
        <v>9700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3024</v>
      </c>
      <c r="E223" s="616"/>
      <c r="F223" s="616"/>
      <c r="G223" s="616"/>
      <c r="H223" s="616"/>
      <c r="I223" s="616"/>
      <c r="J223" s="616"/>
      <c r="K223" s="1671">
        <f t="shared" si="19"/>
        <v>3024</v>
      </c>
      <c r="L223" s="466">
        <v>3400</v>
      </c>
    </row>
    <row r="224" spans="1:14" x14ac:dyDescent="0.2">
      <c r="A224" s="1504" t="s">
        <v>964</v>
      </c>
      <c r="B224" s="614">
        <v>1600</v>
      </c>
      <c r="C224" s="616"/>
      <c r="D224" s="466">
        <v>1478</v>
      </c>
      <c r="E224" s="616"/>
      <c r="F224" s="616"/>
      <c r="G224" s="616"/>
      <c r="H224" s="616"/>
      <c r="I224" s="616"/>
      <c r="J224" s="616"/>
      <c r="K224" s="1671">
        <f t="shared" si="19"/>
        <v>1478</v>
      </c>
      <c r="L224" s="466">
        <v>1450</v>
      </c>
    </row>
    <row r="225" spans="1:12" x14ac:dyDescent="0.2">
      <c r="A225" s="1504" t="s">
        <v>987</v>
      </c>
      <c r="B225" s="614">
        <v>1650</v>
      </c>
      <c r="C225" s="616"/>
      <c r="D225" s="466">
        <v>1251</v>
      </c>
      <c r="E225" s="616"/>
      <c r="F225" s="616"/>
      <c r="G225" s="616"/>
      <c r="H225" s="616"/>
      <c r="I225" s="616"/>
      <c r="J225" s="616"/>
      <c r="K225" s="1671">
        <f t="shared" si="19"/>
        <v>1251</v>
      </c>
      <c r="L225" s="466">
        <v>1300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1712</v>
      </c>
      <c r="E227" s="616"/>
      <c r="F227" s="616"/>
      <c r="G227" s="616"/>
      <c r="H227" s="616"/>
      <c r="I227" s="616"/>
      <c r="J227" s="616"/>
      <c r="K227" s="1671">
        <f t="shared" si="19"/>
        <v>1712</v>
      </c>
      <c r="L227" s="466">
        <v>2005</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178651</v>
      </c>
      <c r="E229" s="616"/>
      <c r="F229" s="616"/>
      <c r="G229" s="616"/>
      <c r="H229" s="616"/>
      <c r="I229" s="616"/>
      <c r="J229" s="616"/>
      <c r="K229" s="1670">
        <f>SUM(K215:K228)</f>
        <v>178651</v>
      </c>
      <c r="L229" s="1670">
        <f>SUM(L215:L228)</f>
        <v>193521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3218</v>
      </c>
      <c r="E232" s="616"/>
      <c r="F232" s="616"/>
      <c r="G232" s="616"/>
      <c r="H232" s="616"/>
      <c r="I232" s="616"/>
      <c r="J232" s="616"/>
      <c r="K232" s="1671">
        <f t="shared" ref="K232:K237" si="20">D232</f>
        <v>3218</v>
      </c>
      <c r="L232" s="466">
        <v>3270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37023</v>
      </c>
      <c r="E234" s="616"/>
      <c r="F234" s="616"/>
      <c r="G234" s="616"/>
      <c r="H234" s="616"/>
      <c r="I234" s="616"/>
      <c r="J234" s="616"/>
      <c r="K234" s="1671">
        <f t="shared" si="20"/>
        <v>37023</v>
      </c>
      <c r="L234" s="466">
        <v>35010</v>
      </c>
    </row>
    <row r="235" spans="1:12" x14ac:dyDescent="0.2">
      <c r="A235" s="1504" t="s">
        <v>199</v>
      </c>
      <c r="B235" s="614">
        <v>2140</v>
      </c>
      <c r="C235" s="616"/>
      <c r="D235" s="466">
        <v>1064</v>
      </c>
      <c r="E235" s="616"/>
      <c r="F235" s="616"/>
      <c r="G235" s="616"/>
      <c r="H235" s="616"/>
      <c r="I235" s="616"/>
      <c r="J235" s="616"/>
      <c r="K235" s="1671">
        <f t="shared" si="20"/>
        <v>1064</v>
      </c>
      <c r="L235" s="466">
        <v>1200</v>
      </c>
    </row>
    <row r="236" spans="1:12" x14ac:dyDescent="0.2">
      <c r="A236" s="1504" t="s">
        <v>200</v>
      </c>
      <c r="B236" s="614">
        <v>2150</v>
      </c>
      <c r="C236" s="616"/>
      <c r="D236" s="466">
        <v>3743</v>
      </c>
      <c r="E236" s="616"/>
      <c r="F236" s="616"/>
      <c r="G236" s="616"/>
      <c r="H236" s="616"/>
      <c r="I236" s="616"/>
      <c r="J236" s="616"/>
      <c r="K236" s="1671">
        <f t="shared" si="20"/>
        <v>3743</v>
      </c>
      <c r="L236" s="466">
        <v>3800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45048</v>
      </c>
      <c r="E238" s="616"/>
      <c r="F238" s="616"/>
      <c r="G238" s="616"/>
      <c r="H238" s="616"/>
      <c r="I238" s="616"/>
      <c r="J238" s="616"/>
      <c r="K238" s="1670">
        <f>SUM(K232:K237)</f>
        <v>45048</v>
      </c>
      <c r="L238" s="1670">
        <f>SUM(L232:L237)</f>
        <v>43280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297</v>
      </c>
      <c r="E240" s="616"/>
      <c r="F240" s="616"/>
      <c r="G240" s="616"/>
      <c r="H240" s="616"/>
      <c r="I240" s="616"/>
      <c r="J240" s="616"/>
      <c r="K240" s="1672">
        <f>D240</f>
        <v>297</v>
      </c>
      <c r="L240" s="481">
        <v>740</v>
      </c>
    </row>
    <row r="241" spans="1:12" x14ac:dyDescent="0.2">
      <c r="A241" s="1504" t="s">
        <v>815</v>
      </c>
      <c r="B241" s="614">
        <v>2220</v>
      </c>
      <c r="C241" s="616"/>
      <c r="D241" s="466">
        <v>7109</v>
      </c>
      <c r="E241" s="616"/>
      <c r="F241" s="616"/>
      <c r="G241" s="616"/>
      <c r="H241" s="616"/>
      <c r="I241" s="616"/>
      <c r="J241" s="616"/>
      <c r="K241" s="1672">
        <f>D241</f>
        <v>7109</v>
      </c>
      <c r="L241" s="466">
        <v>7500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7406</v>
      </c>
      <c r="E243" s="616"/>
      <c r="F243" s="616"/>
      <c r="G243" s="616"/>
      <c r="H243" s="616"/>
      <c r="I243" s="616"/>
      <c r="J243" s="616"/>
      <c r="K243" s="1670">
        <f>SUM(K240:K242)</f>
        <v>7406</v>
      </c>
      <c r="L243" s="1670">
        <f>SUM(L240:L242)</f>
        <v>8240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535</v>
      </c>
      <c r="E245" s="616"/>
      <c r="F245" s="616"/>
      <c r="G245" s="616"/>
      <c r="H245" s="616"/>
      <c r="I245" s="616"/>
      <c r="J245" s="616"/>
      <c r="K245" s="1672">
        <f>D245</f>
        <v>535</v>
      </c>
      <c r="L245" s="481">
        <v>590</v>
      </c>
    </row>
    <row r="246" spans="1:12" x14ac:dyDescent="0.2">
      <c r="A246" s="1504" t="s">
        <v>818</v>
      </c>
      <c r="B246" s="614">
        <v>2320</v>
      </c>
      <c r="C246" s="616"/>
      <c r="D246" s="466">
        <v>18830</v>
      </c>
      <c r="E246" s="616"/>
      <c r="F246" s="616"/>
      <c r="G246" s="616"/>
      <c r="H246" s="616"/>
      <c r="I246" s="616"/>
      <c r="J246" s="616"/>
      <c r="K246" s="1672">
        <f t="shared" ref="K246:K256" si="21">D246</f>
        <v>18830</v>
      </c>
      <c r="L246" s="466">
        <v>19450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19365</v>
      </c>
      <c r="E257" s="616"/>
      <c r="F257" s="616"/>
      <c r="G257" s="616"/>
      <c r="H257" s="616"/>
      <c r="I257" s="616"/>
      <c r="J257" s="616"/>
      <c r="K257" s="1670">
        <f>SUM(K245:K256)</f>
        <v>19365</v>
      </c>
      <c r="L257" s="1670">
        <f>SUM(L245:L256)</f>
        <v>20040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30674</v>
      </c>
      <c r="E259" s="616"/>
      <c r="F259" s="616"/>
      <c r="G259" s="616"/>
      <c r="H259" s="616"/>
      <c r="I259" s="616"/>
      <c r="J259" s="616"/>
      <c r="K259" s="1672">
        <f>D259</f>
        <v>30674</v>
      </c>
      <c r="L259" s="481">
        <v>30700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30674</v>
      </c>
      <c r="E261" s="616"/>
      <c r="F261" s="616"/>
      <c r="G261" s="616"/>
      <c r="H261" s="616"/>
      <c r="I261" s="616"/>
      <c r="J261" s="616"/>
      <c r="K261" s="1670">
        <f>SUM(K259:K260)</f>
        <v>30674</v>
      </c>
      <c r="L261" s="1670">
        <f>SUM(L259:L260)</f>
        <v>30700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28413</v>
      </c>
      <c r="E264" s="616"/>
      <c r="F264" s="616"/>
      <c r="G264" s="616"/>
      <c r="H264" s="616"/>
      <c r="I264" s="616"/>
      <c r="J264" s="616"/>
      <c r="K264" s="1672">
        <f t="shared" ref="K264:K269" si="22">D264</f>
        <v>28413</v>
      </c>
      <c r="L264" s="466">
        <v>31900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48356</v>
      </c>
      <c r="E266" s="616"/>
      <c r="F266" s="616"/>
      <c r="G266" s="616"/>
      <c r="H266" s="616"/>
      <c r="I266" s="616"/>
      <c r="J266" s="616"/>
      <c r="K266" s="1672">
        <f t="shared" si="22"/>
        <v>48356</v>
      </c>
      <c r="L266" s="466">
        <v>82600</v>
      </c>
    </row>
    <row r="267" spans="1:14" x14ac:dyDescent="0.2">
      <c r="A267" s="1504" t="s">
        <v>953</v>
      </c>
      <c r="B267" s="614">
        <v>2550</v>
      </c>
      <c r="C267" s="616"/>
      <c r="D267" s="466">
        <v>33628</v>
      </c>
      <c r="E267" s="616"/>
      <c r="F267" s="616"/>
      <c r="G267" s="616"/>
      <c r="H267" s="616"/>
      <c r="I267" s="616"/>
      <c r="J267" s="616"/>
      <c r="K267" s="1672">
        <f t="shared" si="22"/>
        <v>33628</v>
      </c>
      <c r="L267" s="466">
        <v>41350</v>
      </c>
    </row>
    <row r="268" spans="1:14" x14ac:dyDescent="0.2">
      <c r="A268" s="1504" t="s">
        <v>100</v>
      </c>
      <c r="B268" s="614">
        <v>2560</v>
      </c>
      <c r="C268" s="616"/>
      <c r="D268" s="466">
        <v>11845</v>
      </c>
      <c r="E268" s="616"/>
      <c r="F268" s="616"/>
      <c r="G268" s="616"/>
      <c r="H268" s="616"/>
      <c r="I268" s="616"/>
      <c r="J268" s="616"/>
      <c r="K268" s="1672">
        <f t="shared" si="22"/>
        <v>11845</v>
      </c>
      <c r="L268" s="466">
        <v>12350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122242</v>
      </c>
      <c r="E270" s="616"/>
      <c r="F270" s="616"/>
      <c r="G270" s="616"/>
      <c r="H270" s="616"/>
      <c r="I270" s="616"/>
      <c r="J270" s="616"/>
      <c r="K270" s="1670">
        <f>SUM(K263:K269)</f>
        <v>122242</v>
      </c>
      <c r="L270" s="1670">
        <f>SUM(L263:L269)</f>
        <v>168200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v>76</v>
      </c>
      <c r="E273" s="616"/>
      <c r="F273" s="616"/>
      <c r="G273" s="616"/>
      <c r="H273" s="616"/>
      <c r="I273" s="616"/>
      <c r="J273" s="616"/>
      <c r="K273" s="1672">
        <f>D273</f>
        <v>76</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v>535</v>
      </c>
      <c r="E275" s="616"/>
      <c r="F275" s="616"/>
      <c r="G275" s="616"/>
      <c r="H275" s="616"/>
      <c r="I275" s="616"/>
      <c r="J275" s="616"/>
      <c r="K275" s="1672">
        <f>D275</f>
        <v>535</v>
      </c>
      <c r="L275" s="466">
        <v>577</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611</v>
      </c>
      <c r="E277" s="616"/>
      <c r="F277" s="616"/>
      <c r="G277" s="616"/>
      <c r="H277" s="616"/>
      <c r="I277" s="616"/>
      <c r="J277" s="616"/>
      <c r="K277" s="1670">
        <f>SUM(K272:K276)</f>
        <v>611</v>
      </c>
      <c r="L277" s="1670">
        <f>SUM(L272:L276)</f>
        <v>577</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225346</v>
      </c>
      <c r="E279" s="616"/>
      <c r="F279" s="616"/>
      <c r="G279" s="616"/>
      <c r="H279" s="616"/>
      <c r="I279" s="616"/>
      <c r="J279" s="616"/>
      <c r="K279" s="1677">
        <f>SUM(K238,K243,K257,K261,K270,K277,K278)</f>
        <v>225346</v>
      </c>
      <c r="L279" s="1677">
        <f>SUM(L238,L243,L257,L261,L270,L277,L278)</f>
        <v>271037</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403997</v>
      </c>
      <c r="E295" s="616"/>
      <c r="F295" s="616"/>
      <c r="G295" s="616"/>
      <c r="H295" s="1670">
        <f>H293</f>
        <v>0</v>
      </c>
      <c r="I295" s="616"/>
      <c r="J295" s="616"/>
      <c r="K295" s="1670">
        <f>SUM(K229,K279,K280,K285,K293,K294)</f>
        <v>403997</v>
      </c>
      <c r="L295" s="1670">
        <f>SUM(L229,L279,L280,L285,L293,L294)</f>
        <v>464558</v>
      </c>
    </row>
    <row r="296" spans="1:14" ht="13.5" thickTop="1" x14ac:dyDescent="0.2">
      <c r="A296" s="2188" t="s">
        <v>996</v>
      </c>
      <c r="B296" s="2189"/>
      <c r="C296" s="616"/>
      <c r="D296" s="618"/>
      <c r="E296" s="616"/>
      <c r="F296" s="616"/>
      <c r="G296" s="616"/>
      <c r="H296" s="687"/>
      <c r="I296" s="616"/>
      <c r="J296" s="616"/>
      <c r="K296" s="1684">
        <f>'Revenues 9-14'!G268-'Expenditures 15-22'!K295</f>
        <v>79900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37089</v>
      </c>
      <c r="F320" s="467"/>
      <c r="G320" s="467"/>
      <c r="H320" s="467"/>
      <c r="I320" s="467"/>
      <c r="J320" s="467"/>
      <c r="K320" s="1671">
        <f t="shared" ref="K320:K327" si="24">SUM(C320:J320)</f>
        <v>37089</v>
      </c>
      <c r="L320" s="467">
        <v>45000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37089</v>
      </c>
      <c r="F330" s="1670">
        <f t="shared" si="25"/>
        <v>0</v>
      </c>
      <c r="G330" s="1670">
        <f t="shared" si="25"/>
        <v>0</v>
      </c>
      <c r="H330" s="1670">
        <f t="shared" si="25"/>
        <v>0</v>
      </c>
      <c r="I330" s="1670">
        <f t="shared" si="25"/>
        <v>0</v>
      </c>
      <c r="J330" s="1670">
        <f t="shared" si="25"/>
        <v>0</v>
      </c>
      <c r="K330" s="1670">
        <f>SUM(K319:K329)</f>
        <v>37089</v>
      </c>
      <c r="L330" s="1670">
        <f>SUM(L319:L329)</f>
        <v>45000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37089</v>
      </c>
      <c r="F342" s="1670">
        <f>SUM(F330)</f>
        <v>0</v>
      </c>
      <c r="G342" s="1670">
        <f>SUM(G330)</f>
        <v>0</v>
      </c>
      <c r="H342" s="1670">
        <f>SUM(H330,H334,H340)</f>
        <v>0</v>
      </c>
      <c r="I342" s="1670">
        <f>SUM(I330)</f>
        <v>0</v>
      </c>
      <c r="J342" s="1670">
        <f>SUM(J330)</f>
        <v>0</v>
      </c>
      <c r="K342" s="1670">
        <f>SUM(K330,K334,K340)</f>
        <v>37089</v>
      </c>
      <c r="L342" s="1677">
        <f>SUM(L330,L334,L340,L341)</f>
        <v>45000</v>
      </c>
    </row>
    <row r="343" spans="1:14" ht="12.75" customHeight="1" thickTop="1" x14ac:dyDescent="0.2">
      <c r="A343" s="2174" t="s">
        <v>996</v>
      </c>
      <c r="B343" s="2175"/>
      <c r="C343" s="616"/>
      <c r="D343" s="616"/>
      <c r="E343" s="616"/>
      <c r="F343" s="616"/>
      <c r="G343" s="616"/>
      <c r="H343" s="616"/>
      <c r="I343" s="616"/>
      <c r="J343" s="616"/>
      <c r="K343" s="1684">
        <f>'Revenues 9-14'!J268-'Expenditures 15-22'!K342</f>
        <v>-28225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8" t="s">
        <v>996</v>
      </c>
      <c r="B368" s="2189"/>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d21dc803-237d-4c68-8692-8d731fd29118"/>
    <ds:schemaRef ds:uri="http://www.w3.org/XML/1998/namespace"/>
    <ds:schemaRef ds:uri="http://purl.org/dc/elements/1.1/"/>
    <ds:schemaRef ds:uri="6ce3111e-7420-4802-b50a-75d4e9a0b980"/>
    <ds:schemaRef ds:uri="http://schemas.openxmlformats.org/package/2006/metadata/core-properties"/>
    <ds:schemaRef ds:uri="http://schemas.microsoft.com/office/infopath/2007/PartnerControls"/>
    <ds:schemaRef ds:uri="http://purl.org/dc/terms/"/>
    <ds:schemaRef ds:uri="4d435f69-8686-490b-bd6d-b153bf22ab50"/>
    <ds:schemaRef ds:uri="http://schemas.microsoft.com/sharepoint/v3"/>
    <ds:schemaRef ds:uri="http://purl.org/dc/dcmitype/"/>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2020-01-08T19:42:03Z</cp:lastPrinted>
  <dcterms:created xsi:type="dcterms:W3CDTF">2003-10-29T19:06:34Z</dcterms:created>
  <dcterms:modified xsi:type="dcterms:W3CDTF">2020-01-15T20:58:59Z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