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C55F282-B1A4-4995-AAFA-877EDAB71FBB}"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2019"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SEFA-2019'!$A$1:$L$60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81029"/>
</workbook>
</file>

<file path=xl/calcChain.xml><?xml version="1.0" encoding="utf-8"?>
<calcChain xmlns="http://schemas.openxmlformats.org/spreadsheetml/2006/main">
  <c r="A2" i="183" l="1"/>
  <c r="A1" i="183"/>
  <c r="F33" i="181" l="1"/>
  <c r="F32" i="181"/>
  <c r="F31"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32" i="181"/>
  <c r="E32" i="181"/>
  <c r="G31" i="181"/>
  <c r="E31" i="181"/>
  <c r="G33" i="181"/>
  <c r="E33" i="181"/>
  <c r="E30" i="181"/>
  <c r="G30" i="181" s="1"/>
  <c r="E29" i="181"/>
  <c r="E28" i="181"/>
  <c r="G28" i="181" s="1"/>
  <c r="E27" i="181"/>
  <c r="E26" i="181"/>
  <c r="G26" i="181" s="1"/>
  <c r="E25" i="181"/>
  <c r="E24" i="181"/>
  <c r="G24" i="181" s="1"/>
  <c r="E23" i="181"/>
  <c r="G23" i="181" s="1"/>
  <c r="E22" i="181"/>
  <c r="G22" i="181" s="1"/>
  <c r="E21" i="181"/>
  <c r="G21" i="181" s="1"/>
  <c r="E20" i="181"/>
  <c r="G20" i="181" s="1"/>
  <c r="E19" i="181"/>
  <c r="E18" i="181"/>
  <c r="G29" i="181" l="1"/>
  <c r="G27" i="181"/>
  <c r="G25" i="181"/>
  <c r="G19" i="181"/>
  <c r="G18" i="181"/>
  <c r="D34" i="181"/>
  <c r="D80" i="36" l="1"/>
  <c r="B7797" i="106"/>
  <c r="E34" i="181"/>
  <c r="E17" i="181"/>
  <c r="E16" i="181"/>
  <c r="B7779" i="106" l="1"/>
  <c r="K158" i="29"/>
  <c r="B7780" i="106" s="1"/>
  <c r="L285" i="29"/>
  <c r="L137" i="29"/>
  <c r="B7809" i="106"/>
  <c r="D7809" i="106" s="1"/>
  <c r="F166" i="34"/>
  <c r="I169" i="5"/>
  <c r="I170" i="5" s="1"/>
  <c r="B5196" i="106"/>
  <c r="B7795" i="106"/>
  <c r="B7815" i="106"/>
  <c r="D7815" i="106" s="1"/>
  <c r="B7807" i="106"/>
  <c r="D7807" i="106" s="1"/>
  <c r="B7808" i="106"/>
  <c r="D7808" i="106" s="1"/>
  <c r="K356" i="29"/>
  <c r="L160" i="29"/>
  <c r="B7783" i="106"/>
  <c r="D285" i="29"/>
  <c r="K282" i="29"/>
  <c r="B7784" i="106" s="1"/>
  <c r="B7814" i="106"/>
  <c r="D7814" i="106" s="1"/>
  <c r="K133" i="29"/>
  <c r="B7776" i="106" s="1"/>
  <c r="B7774" i="106"/>
  <c r="E137" i="29"/>
  <c r="E139" i="29" s="1"/>
  <c r="K332" i="29"/>
  <c r="H334" i="29"/>
  <c r="B7789" i="106" s="1"/>
  <c r="B7785" i="106"/>
  <c r="B15" i="7"/>
  <c r="B7805" i="106"/>
  <c r="D7805" i="106" s="1"/>
  <c r="E169" i="5"/>
  <c r="K355" i="29"/>
  <c r="B7794" i="106" s="1"/>
  <c r="B7793" i="106"/>
  <c r="B7801" i="106"/>
  <c r="D7801" i="106" s="1"/>
  <c r="B7812" i="106"/>
  <c r="D7812" i="106" s="1"/>
  <c r="K157" i="29"/>
  <c r="K160" i="29" s="1"/>
  <c r="E15" i="4" s="1"/>
  <c r="B7777" i="106"/>
  <c r="H160" i="29"/>
  <c r="B7775" i="106"/>
  <c r="H137" i="29"/>
  <c r="L357" i="29"/>
  <c r="B7803" i="106"/>
  <c r="D7803" i="106" s="1"/>
  <c r="B7806" i="106"/>
  <c r="D7806" i="106" s="1"/>
  <c r="H169" i="5"/>
  <c r="K169" i="5"/>
  <c r="B7811" i="106"/>
  <c r="D7811" i="106" s="1"/>
  <c r="B7810" i="106"/>
  <c r="D7810" i="106" s="1"/>
  <c r="K159" i="29"/>
  <c r="B7782" i="106" s="1"/>
  <c r="B7781" i="106"/>
  <c r="L334" i="29"/>
  <c r="F167" i="34"/>
  <c r="B7813" i="106"/>
  <c r="D7813" i="106" s="1"/>
  <c r="F29" i="34"/>
  <c r="B7804" i="106"/>
  <c r="D7804" i="106" s="1"/>
  <c r="K354" i="29"/>
  <c r="B7792" i="106" s="1"/>
  <c r="B7791" i="106"/>
  <c r="H357" i="29"/>
  <c r="B7802" i="106"/>
  <c r="D7802" i="106" s="1"/>
  <c r="B7816" i="106"/>
  <c r="D7816" i="106" s="1"/>
  <c r="B7787" i="106"/>
  <c r="K333" i="29"/>
  <c r="B7788" i="106" s="1"/>
  <c r="J169" i="5"/>
  <c r="F60" i="34"/>
  <c r="F16" i="181"/>
  <c r="G16" i="181" s="1"/>
  <c r="G17" i="181"/>
  <c r="G34" i="181" s="1"/>
  <c r="B7786" i="106" l="1"/>
  <c r="K334" i="29"/>
  <c r="K357" i="29"/>
  <c r="K15" i="4" s="1"/>
  <c r="B7778" i="106"/>
  <c r="G40" i="108"/>
  <c r="B7799" i="106"/>
  <c r="F34" i="181"/>
  <c r="B7798" i="106" s="1"/>
  <c r="E40" i="108"/>
  <c r="F74" i="34" l="1"/>
  <c r="J15" i="4"/>
  <c r="B7796" i="106" s="1"/>
  <c r="B7790" i="106"/>
  <c r="D17" i="17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K12" i="12"/>
  <c r="K23" i="12"/>
  <c r="J12" i="12"/>
  <c r="B7718" i="106" s="1"/>
  <c r="D7718" i="106" s="1"/>
  <c r="J21" i="12"/>
  <c r="B7727" i="106" s="1"/>
  <c r="D7727" i="106" s="1"/>
  <c r="B7729" i="106"/>
  <c r="D7729" i="106" s="1"/>
  <c r="B7734" i="106"/>
  <c r="D7734" i="106" s="1"/>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58" i="127"/>
  <c r="B59"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D122" i="5"/>
  <c r="E122" i="5"/>
  <c r="F122" i="5"/>
  <c r="F132" i="5"/>
  <c r="F155" i="5"/>
  <c r="G122" i="5"/>
  <c r="H122" i="5"/>
  <c r="J122" i="5"/>
  <c r="K122" i="5"/>
  <c r="C132" i="5"/>
  <c r="D132" i="5"/>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B5899" i="106"/>
  <c r="D5899" i="106" s="1"/>
  <c r="B4363" i="106"/>
  <c r="D4363" i="106" s="1"/>
  <c r="B6396" i="106"/>
  <c r="D6396" i="106" s="1"/>
  <c r="B5000" i="106"/>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E35" i="108" l="1"/>
  <c r="D6103" i="106"/>
  <c r="D69" i="36"/>
  <c r="D68" i="36"/>
  <c r="F68" i="34"/>
  <c r="G34" i="108"/>
  <c r="F38" i="34"/>
  <c r="G33" i="108"/>
  <c r="L13" i="11"/>
  <c r="B2060" i="106" s="1"/>
  <c r="D2060" i="106" s="1"/>
  <c r="H28" i="118"/>
  <c r="D24" i="37"/>
  <c r="B4270" i="106" s="1"/>
  <c r="D4270" i="106" s="1"/>
  <c r="F19" i="7"/>
  <c r="B1807" i="106" s="1"/>
  <c r="D1807" i="106" s="1"/>
  <c r="B3647" i="106"/>
  <c r="D3647" i="106" s="1"/>
  <c r="B2724" i="106"/>
  <c r="D2724" i="106" s="1"/>
  <c r="J352" i="29"/>
  <c r="J367" i="29" s="1"/>
  <c r="B7245" i="106" s="1"/>
  <c r="D7245" i="106" s="1"/>
  <c r="J77" i="4"/>
  <c r="B6262" i="106" s="1"/>
  <c r="D6262" i="106" s="1"/>
  <c r="G30" i="108"/>
  <c r="F67" i="34"/>
  <c r="B1124" i="106"/>
  <c r="D1124" i="106" s="1"/>
  <c r="E30" i="108"/>
  <c r="J129" i="29"/>
  <c r="B7038" i="106" s="1"/>
  <c r="D7038" i="106" s="1"/>
  <c r="B6995" i="106"/>
  <c r="D6995" i="106" s="1"/>
  <c r="K76" i="4"/>
  <c r="B3586" i="106" s="1"/>
  <c r="D3586" i="106" s="1"/>
  <c r="H33" i="118"/>
  <c r="F36" i="34"/>
  <c r="F27" i="108"/>
  <c r="D36" i="108"/>
  <c r="F50" i="34"/>
  <c r="L367" i="29"/>
  <c r="F49" i="34"/>
  <c r="F14" i="4"/>
  <c r="B2597" i="106" s="1"/>
  <c r="D2597" i="106" s="1"/>
  <c r="G14" i="4"/>
  <c r="B2609" i="106" s="1"/>
  <c r="D2609" i="106" s="1"/>
  <c r="F72" i="34"/>
  <c r="F36" i="108"/>
  <c r="F34" i="34"/>
  <c r="F62" i="34"/>
  <c r="F70" i="34"/>
  <c r="B2805" i="106"/>
  <c r="D2805" i="106" s="1"/>
  <c r="G15" i="145"/>
  <c r="D17" i="7"/>
  <c r="B4104" i="106" s="1"/>
  <c r="D4104" i="106" s="1"/>
  <c r="D9" i="7"/>
  <c r="B1767" i="106" s="1"/>
  <c r="D1767" i="106" s="1"/>
  <c r="E28" i="108"/>
  <c r="G38" i="108"/>
  <c r="F37" i="34"/>
  <c r="H342" i="29"/>
  <c r="B7221" i="106" s="1"/>
  <c r="D7221" i="106" s="1"/>
  <c r="C352" i="29"/>
  <c r="B3621" i="106" s="1"/>
  <c r="D3621" i="106" s="1"/>
  <c r="L342" i="29"/>
  <c r="F69" i="34"/>
  <c r="J210" i="29"/>
  <c r="B7072" i="106" s="1"/>
  <c r="D7072" i="106" s="1"/>
  <c r="I210" i="29"/>
  <c r="B7071" i="106" s="1"/>
  <c r="D7071" i="106" s="1"/>
  <c r="E26" i="108"/>
  <c r="B1274" i="106"/>
  <c r="D1274" i="106" s="1"/>
  <c r="G26" i="108"/>
  <c r="F56" i="34"/>
  <c r="G39" i="108"/>
  <c r="H112" i="29"/>
  <c r="B7018" i="106" s="1"/>
  <c r="D7018" i="106" s="1"/>
  <c r="F46" i="34"/>
  <c r="B5147" i="106"/>
  <c r="D5147" i="106" s="1"/>
  <c r="C169" i="5"/>
  <c r="C170" i="5" s="1"/>
  <c r="B6006" i="106"/>
  <c r="D6006" i="106" s="1"/>
  <c r="K170" i="5"/>
  <c r="K6" i="4" s="1"/>
  <c r="B3570" i="106" s="1"/>
  <c r="D3570" i="106" s="1"/>
  <c r="B5367" i="106"/>
  <c r="D5367" i="106" s="1"/>
  <c r="B5893" i="106"/>
  <c r="D5893" i="106" s="1"/>
  <c r="H170" i="5"/>
  <c r="B5752" i="106"/>
  <c r="D5752" i="106" s="1"/>
  <c r="G169" i="5"/>
  <c r="G170" i="5" s="1"/>
  <c r="B5748" i="106"/>
  <c r="D5748" i="106" s="1"/>
  <c r="B6357" i="106"/>
  <c r="D6357" i="106" s="1"/>
  <c r="J170" i="5"/>
  <c r="B5534" i="106"/>
  <c r="D5534" i="106" s="1"/>
  <c r="E170" i="5"/>
  <c r="B5614" i="106"/>
  <c r="D5614" i="106" s="1"/>
  <c r="F169" i="5"/>
  <c r="B5644" i="106" s="1"/>
  <c r="D5644" i="106" s="1"/>
  <c r="B5132" i="106"/>
  <c r="D5132" i="106" s="1"/>
  <c r="B5369" i="106"/>
  <c r="D5369" i="106" s="1"/>
  <c r="D169" i="5"/>
  <c r="D170" i="5" s="1"/>
  <c r="B5599" i="106"/>
  <c r="D5599" i="106" s="1"/>
  <c r="F77" i="4"/>
  <c r="B3255" i="106" s="1"/>
  <c r="D3255" i="106" s="1"/>
  <c r="D11" i="37"/>
  <c r="G35" i="108"/>
  <c r="D37" i="108"/>
  <c r="F37" i="108"/>
  <c r="D31" i="36"/>
  <c r="B4211" i="106"/>
  <c r="D4211" i="106" s="1"/>
  <c r="L15" i="11"/>
  <c r="B3459" i="106" s="1"/>
  <c r="D3459" i="106" s="1"/>
  <c r="C129" i="29"/>
  <c r="B1225" i="106" s="1"/>
  <c r="D1225" i="106" s="1"/>
  <c r="J23" i="12"/>
  <c r="B7730" i="106" s="1"/>
  <c r="D7730" i="106" s="1"/>
  <c r="H29" i="118"/>
  <c r="N22" i="3"/>
  <c r="B283" i="106" s="1"/>
  <c r="D283" i="106" s="1"/>
  <c r="L5" i="11"/>
  <c r="B2056" i="106" s="1"/>
  <c r="D2056" i="106" s="1"/>
  <c r="F52" i="34"/>
  <c r="F42" i="34"/>
  <c r="E38" i="108"/>
  <c r="F28" i="108"/>
  <c r="C342" i="29"/>
  <c r="B7216" i="106" s="1"/>
  <c r="D7216" i="106" s="1"/>
  <c r="J41" i="3"/>
  <c r="B6216" i="106" s="1"/>
  <c r="D6216" i="106" s="1"/>
  <c r="H365" i="29"/>
  <c r="B7242" i="106" s="1"/>
  <c r="D7242" i="106" s="1"/>
  <c r="H76" i="4"/>
  <c r="B3298" i="106" s="1"/>
  <c r="D3298" i="106" s="1"/>
  <c r="K184" i="29"/>
  <c r="F13" i="4" s="1"/>
  <c r="B2596" i="106" s="1"/>
  <c r="D2596" i="106" s="1"/>
  <c r="G210" i="29"/>
  <c r="G29" i="108"/>
  <c r="B1308" i="106"/>
  <c r="D1308" i="106" s="1"/>
  <c r="E174" i="29"/>
  <c r="B1309" i="106" s="1"/>
  <c r="D1309" i="106" s="1"/>
  <c r="K41" i="3"/>
  <c r="B3568" i="106" s="1"/>
  <c r="D3568" i="106" s="1"/>
  <c r="L22" i="37"/>
  <c r="I129" i="29"/>
  <c r="B7037" i="106" s="1"/>
  <c r="D7037" i="106" s="1"/>
  <c r="J22" i="37"/>
  <c r="F71" i="34"/>
  <c r="F44" i="34"/>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B4216" i="106"/>
  <c r="D4216" i="106" s="1"/>
  <c r="B5096" i="106"/>
  <c r="D5096" i="106" s="1"/>
  <c r="D4" i="7"/>
  <c r="B1760" i="106" s="1"/>
  <c r="D1760" i="106" s="1"/>
  <c r="F106" i="34"/>
  <c r="G5" i="4"/>
  <c r="B3409" i="106" s="1"/>
  <c r="D3409" i="106" s="1"/>
  <c r="F124" i="34"/>
  <c r="C109" i="5"/>
  <c r="B5121" i="106" s="1"/>
  <c r="D5121" i="106" s="1"/>
  <c r="D109" i="5"/>
  <c r="I267" i="5"/>
  <c r="B4435" i="106" s="1"/>
  <c r="D4435" i="106" s="1"/>
  <c r="B4396" i="106"/>
  <c r="D4396" i="106" s="1"/>
  <c r="G109" i="5"/>
  <c r="B5066" i="106"/>
  <c r="D5066" i="106" s="1"/>
  <c r="F111" i="34"/>
  <c r="F123" i="34"/>
  <c r="D5" i="7"/>
  <c r="B1761" i="106" s="1"/>
  <c r="D1761" i="106" s="1"/>
  <c r="J267" i="5"/>
  <c r="B7054" i="106" s="1"/>
  <c r="D7054" i="106" s="1"/>
  <c r="D15" i="7"/>
  <c r="B1772" i="106" s="1"/>
  <c r="D1772" i="106" s="1"/>
  <c r="K267" i="5"/>
  <c r="B6022" i="106" s="1"/>
  <c r="D6022" i="106" s="1"/>
  <c r="F126" i="34"/>
  <c r="D11" i="7"/>
  <c r="B1768" i="106" s="1"/>
  <c r="D1768" i="106" s="1"/>
  <c r="H109" i="5"/>
  <c r="E109" i="5"/>
  <c r="E4" i="4" s="1"/>
  <c r="B2630" i="106" s="1"/>
  <c r="D2630" i="106" s="1"/>
  <c r="D7" i="7"/>
  <c r="B1763" i="106" s="1"/>
  <c r="D1763" i="106" s="1"/>
  <c r="F132"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F95" i="34"/>
  <c r="F125" i="34"/>
  <c r="D14" i="7"/>
  <c r="B1770" i="106" s="1"/>
  <c r="D1770" i="106" s="1"/>
  <c r="F5" i="4"/>
  <c r="B3408" i="106" s="1"/>
  <c r="D3408" i="106" s="1"/>
  <c r="C5" i="4"/>
  <c r="B3405" i="106" s="1"/>
  <c r="D3405" i="106" s="1"/>
  <c r="B6840" i="106"/>
  <c r="D6840" i="106" s="1"/>
  <c r="B6839" i="106"/>
  <c r="D6839" i="106" s="1"/>
  <c r="B6838" i="106"/>
  <c r="D6838"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B7270" i="106"/>
  <c r="D7252" i="106" l="1"/>
  <c r="D7251" i="106"/>
  <c r="I7" i="4"/>
  <c r="B4444" i="106" s="1"/>
  <c r="D4444" i="106" s="1"/>
  <c r="D7255" i="106"/>
  <c r="D7256" i="106"/>
  <c r="D7254" i="106"/>
  <c r="D7253" i="106"/>
  <c r="D7250" i="106"/>
  <c r="D51" i="36"/>
  <c r="J151" i="29"/>
  <c r="B7052" i="106" s="1"/>
  <c r="D7052" i="106" s="1"/>
  <c r="J24" i="12"/>
  <c r="B7732" i="106" s="1"/>
  <c r="D7732" i="106" s="1"/>
  <c r="K28" i="118"/>
  <c r="O27" i="118" s="1"/>
  <c r="O29" i="118" s="1"/>
  <c r="B7235" i="106"/>
  <c r="D7235" i="106" s="1"/>
  <c r="B5412" i="106"/>
  <c r="D5412" i="106" s="1"/>
  <c r="D52" i="36"/>
  <c r="L16" i="11"/>
  <c r="B2061" i="106" s="1"/>
  <c r="D2061" i="106" s="1"/>
  <c r="F41" i="108"/>
  <c r="G43" i="108" s="1"/>
  <c r="D41" i="108"/>
  <c r="E43" i="108" s="1"/>
  <c r="K77" i="4"/>
  <c r="B3587" i="106" s="1"/>
  <c r="D3587" i="106" s="1"/>
  <c r="H77" i="4"/>
  <c r="B3299" i="106" s="1"/>
  <c r="D3299" i="106" s="1"/>
  <c r="N23" i="3"/>
  <c r="B284" i="106" s="1"/>
  <c r="D284" i="106" s="1"/>
  <c r="C367" i="29"/>
  <c r="B3622" i="106" s="1"/>
  <c r="D3622" i="106" s="1"/>
  <c r="B1317" i="106"/>
  <c r="D1317" i="106" s="1"/>
  <c r="C114" i="29"/>
  <c r="B757" i="106" s="1"/>
  <c r="D757" i="106" s="1"/>
  <c r="F170" i="5"/>
  <c r="L114" i="29"/>
  <c r="F66" i="34"/>
  <c r="K365" i="29"/>
  <c r="B7243" i="106" s="1"/>
  <c r="D7243" i="106" s="1"/>
  <c r="J16" i="4"/>
  <c r="B6226" i="106" s="1"/>
  <c r="D6226" i="106" s="1"/>
  <c r="B1381" i="106"/>
  <c r="D1381" i="106" s="1"/>
  <c r="I151" i="29"/>
  <c r="F59" i="34" s="1"/>
  <c r="H151" i="29"/>
  <c r="B1273" i="106" s="1"/>
  <c r="D1273" i="106" s="1"/>
  <c r="C151" i="29"/>
  <c r="B1226" i="106" s="1"/>
  <c r="D1226" i="106" s="1"/>
  <c r="B5770" i="106"/>
  <c r="D5770" i="106" s="1"/>
  <c r="B5527" i="106"/>
  <c r="D5527" i="106" s="1"/>
  <c r="B5778" i="106"/>
  <c r="D5778" i="106" s="1"/>
  <c r="G6" i="4"/>
  <c r="B2604" i="106" s="1"/>
  <c r="D2604" i="106" s="1"/>
  <c r="B1365" i="106"/>
  <c r="D1365" i="106" s="1"/>
  <c r="F65" i="34"/>
  <c r="B1996" i="106"/>
  <c r="D1996" i="106" s="1"/>
  <c r="I26" i="12"/>
  <c r="B7741" i="106" s="1"/>
  <c r="D7741" i="106" s="1"/>
  <c r="D44" i="36"/>
  <c r="F174" i="34"/>
  <c r="K342" i="29"/>
  <c r="F13" i="34" s="1"/>
  <c r="B2031" i="106"/>
  <c r="D2031" i="106" s="1"/>
  <c r="B1328" i="106"/>
  <c r="D132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K367" i="29"/>
  <c r="B3678" i="106" s="1"/>
  <c r="D3678" i="106" s="1"/>
  <c r="K16" i="4"/>
  <c r="B3574" i="106" s="1"/>
  <c r="D3574" i="106" s="1"/>
  <c r="B7051" i="106"/>
  <c r="D7051" i="106" s="1"/>
  <c r="B7224" i="106"/>
  <c r="D7224" i="106" s="1"/>
  <c r="F24" i="37"/>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10" i="4"/>
  <c r="B6225" i="106" s="1"/>
  <c r="D6225" i="106" s="1"/>
  <c r="F8" i="4"/>
  <c r="F10" i="4" s="1"/>
  <c r="B4125" i="106" s="1"/>
  <c r="D4125" i="106" s="1"/>
  <c r="J20" i="4"/>
  <c r="B6230" i="106" s="1"/>
  <c r="D6230" i="106" s="1"/>
  <c r="B6227" i="106"/>
  <c r="D6227" i="106" s="1"/>
  <c r="J19" i="4"/>
  <c r="B6229" i="106" s="1"/>
  <c r="D6229" i="106" s="1"/>
  <c r="K17" i="4"/>
  <c r="B3575" i="106" s="1"/>
  <c r="D357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6263" i="106"/>
  <c r="D6263" i="106" s="1"/>
  <c r="B3576" i="106"/>
  <c r="D3576" i="106" s="1"/>
  <c r="F175" i="34"/>
  <c r="F79" i="34"/>
  <c r="F8" i="146"/>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D81" i="4"/>
  <c r="D82" i="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l="1"/>
  <c r="D1644" i="106" s="1"/>
  <c r="C11" i="146"/>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<sst xmlns="http://schemas.openxmlformats.org/spreadsheetml/2006/main" count="5191" uniqueCount="2142">
  <si>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</si>
  <si>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</si>
  <si>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</si>
  <si>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</si>
  <si>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</si>
  <si>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</si>
  <si>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</si>
  <si>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</si>
  <si>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</si>
  <si>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</si>
  <si>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</si>
  <si>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</si>
  <si>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</si>
  <si>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</si>
  <si>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</si>
  <si>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</si>
  <si>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</si>
  <si>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</si>
  <si>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</si>
  <si>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</si>
  <si>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</si>
  <si>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</si>
  <si>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</si>
  <si>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</si>
  <si>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</si>
  <si>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</si>
  <si>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</si>
  <si>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</si>
  <si>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</si>
  <si>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</si>
  <si>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</si>
  <si>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</si>
  <si>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</si>
  <si>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</si>
  <si>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</si>
  <si>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</si>
  <si>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</si>
  <si>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</si>
  <si>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</si>
  <si>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</si>
  <si>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</si>
  <si>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</si>
  <si>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</si>
  <si>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</si>
  <si>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</si>
  <si>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</si>
  <si>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</si>
  <si>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</si>
  <si>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</si>
  <si>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</si>
  <si>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</si>
  <si>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</si>
  <si>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</si>
  <si>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</si>
  <si>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</si>
  <si>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</si>
  <si>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</si>
  <si>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</si>
  <si>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</si>
  <si>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</si>
  <si>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</si>
  <si>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</si>
  <si>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</si>
  <si>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</si>
  <si>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</si>
  <si>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</si>
  <si>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</si>
  <si>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</si>
  <si>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</si>
  <si>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</si>
  <si>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</si>
  <si>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</si>
  <si>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</si>
  <si>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</si>
  <si>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</si>
  <si>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</si>
  <si>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</si>
  <si>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</si>
  <si>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</si>
  <si>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</si>
  <si>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</si>
  <si>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</si>
  <si>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</si>
  <si>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</si>
  <si>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</si>
  <si>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</si>
  <si>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</si>
  <si>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</si>
  <si>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</si>
  <si>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</si>
  <si>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</si>
  <si>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</si>
  <si>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</si>
  <si>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</si>
  <si>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</si>
  <si>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</si>
  <si>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</si>
  <si>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</si>
  <si>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</si>
  <si>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</si>
  <si>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</si>
  <si>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</si>
  <si>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</si>
  <si>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</si>
  <si>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</si>
  <si>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</si>
  <si>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</si>
  <si>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</si>
  <si>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</si>
  <si>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</si>
  <si>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</si>
  <si>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</si>
  <si>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</si>
  <si>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</si>
  <si>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</si>
  <si>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</si>
  <si>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</si>
  <si>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</si>
  <si>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</si>
  <si>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</si>
  <si>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</si>
  <si>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</si>
  <si>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</si>
  <si>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</si>
  <si>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</si>
  <si>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</si>
  <si>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</si>
  <si>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</si>
  <si>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</si>
  <si>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</si>
  <si>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</si>
  <si>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</si>
  <si>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</si>
  <si>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</si>
  <si>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</si>
  <si>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</si>
  <si>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</si>
  <si>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</si>
  <si>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</si>
  <si>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</si>
  <si>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</si>
  <si>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</si>
  <si>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</si>
  <si>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</si>
  <si>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</si>
  <si>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</si>
  <si>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</si>
  <si>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</si>
  <si>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</si>
  <si>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</si>
  <si>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</si>
  <si>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</si>
  <si>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</si>
  <si>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</si>
  <si>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</si>
  <si>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</si>
  <si>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</si>
  <si>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</si>
  <si>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</si>
  <si>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</si>
  <si>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</si>
  <si>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</si>
  <si>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</si>
  <si>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</si>
  <si>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</si>
  <si>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</si>
  <si>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</si>
  <si>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</si>
  <si>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</si>
  <si>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</si>
  <si>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</si>
  <si>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</si>
  <si>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</si>
  <si>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</si>
  <si>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</si>
  <si>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</si>
  <si>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</si>
  <si>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</si>
  <si>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</si>
  <si>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</si>
  <si>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</si>
  <si>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</si>
  <si>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</si>
  <si>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</si>
  <si>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</si>
  <si>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</si>
  <si>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</si>
  <si>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</si>
  <si>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</si>
  <si>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</si>
  <si>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</si>
  <si>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</si>
  <si>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</si>
  <si>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</si>
  <si>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</si>
  <si>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</si>
  <si>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</si>
  <si>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</si>
  <si>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</si>
  <si>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</si>
  <si>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</si>
  <si>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</si>
  <si>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</si>
  <si>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</si>
  <si>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</si>
  <si>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</si>
  <si>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</si>
  <si>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</si>
  <si>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</si>
  <si>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</si>
  <si>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</si>
  <si>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</si>
  <si>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</si>
  <si>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</si>
  <si>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</si>
  <si>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</si>
  <si>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</si>
  <si>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</si>
  <si>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</si>
  <si>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</si>
  <si>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</si>
  <si>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</si>
  <si>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</si>
  <si>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</si>
  <si>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</si>
  <si>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</si>
  <si>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</si>
  <si>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</si>
  <si>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</si>
  <si>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</si>
  <si>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</si>
  <si>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</si>
  <si>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</si>
  <si>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</si>
  <si>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</si>
  <si>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</si>
  <si>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</si>
  <si>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</si>
  <si>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</si>
  <si>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</si>
  <si>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</si>
  <si>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</si>
  <si>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</si>
  <si>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</si>
  <si>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</si>
  <si>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</si>
  <si>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</si>
  <si>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</si>
  <si>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</si>
  <si>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</si>
  <si>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</si>
  <si>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</si>
  <si>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</si>
  <si>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</si>
  <si>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</si>
  <si>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</si>
  <si>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</si>
  <si>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</si>
  <si>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</si>
  <si>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</si>
  <si>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</si>
  <si>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</si>
  <si>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</si>
  <si>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</si>
  <si>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</si>
  <si>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</si>
  <si>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</si>
  <si>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</si>
  <si>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</si>
  <si>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</si>
  <si>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</si>
  <si>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</si>
  <si>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</si>
  <si>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</si>
  <si>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</si>
  <si>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</si>
  <si>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</si>
  <si>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</si>
  <si>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</si>
  <si>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</si>
  <si>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</si>
  <si>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</si>
  <si>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</si>
  <si>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</si>
  <si>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</si>
  <si>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</si>
  <si>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</si>
  <si>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</si>
  <si>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</si>
  <si>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</si>
  <si>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</si>
  <si>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</si>
  <si>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</si>
  <si>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</si>
  <si>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</si>
  <si>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</si>
  <si>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</si>
  <si>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</si>
  <si>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</si>
  <si>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</si>
  <si>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</si>
  <si>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</si>
  <si>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</si>
  <si>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</si>
  <si>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</si>
  <si>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</si>
  <si>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</si>
  <si>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</si>
  <si>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</si>
  <si>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</si>
  <si>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</si>
  <si>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</si>
  <si>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</si>
  <si>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</si>
  <si>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</si>
  <si>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</si>
  <si>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</si>
  <si>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</si>
  <si>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</si>
  <si>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</si>
  <si>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</si>
  <si>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</si>
  <si>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</si>
  <si>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</si>
  <si>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</si>
  <si>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</si>
  <si>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</si>
  <si>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</si>
  <si>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</si>
  <si>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</si>
  <si>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</si>
  <si>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</si>
  <si>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</si>
  <si>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</si>
  <si>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</si>
  <si>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</si>
  <si>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</si>
  <si>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</si>
  <si>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</si>
  <si>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</si>
  <si>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</si>
  <si>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</si>
  <si>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</si>
  <si>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</si>
  <si>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</si>
  <si>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</si>
  <si>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</si>
  <si>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</si>
  <si>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</si>
  <si>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</si>
  <si>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</si>
  <si>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</si>
  <si>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</si>
  <si>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</si>
  <si>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</si>
  <si>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</si>
  <si>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</si>
  <si>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</si>
  <si>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</si>
  <si>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</si>
  <si>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</si>
  <si>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</si>
  <si>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</si>
  <si>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</si>
  <si>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</si>
  <si>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</si>
  <si>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</si>
  <si>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</si>
  <si>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</si>
  <si>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</si>
  <si>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</si>
  <si>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</si>
  <si>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</si>
  <si>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</si>
  <si>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</si>
  <si>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</si>
  <si>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</si>
  <si>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</si>
  <si>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</si>
  <si>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</si>
  <si>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</si>
  <si>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</si>
  <si>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</si>
  <si>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</si>
  <si>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</si>
  <si>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</si>
  <si>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</si>
  <si>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</si>
  <si>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</si>
  <si>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</si>
  <si>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</si>
  <si>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</si>
  <si>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</si>
  <si>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</si>
  <si>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</si>
  <si>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</si>
  <si>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</si>
  <si>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</si>
  <si>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</si>
  <si>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</si>
  <si>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</si>
  <si>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</si>
  <si>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</si>
  <si>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</si>
  <si>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</si>
  <si>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</si>
  <si>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</si>
  <si>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</si>
  <si>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</si>
  <si>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</si>
  <si>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</si>
  <si>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</si>
  <si>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</si>
  <si>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</si>
  <si>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</si>
  <si>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</si>
  <si>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</si>
  <si>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</si>
  <si>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</si>
  <si>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</si>
  <si>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</si>
  <si>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</si>
  <si>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</si>
  <si>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</si>
  <si>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</si>
  <si>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</si>
  <si>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</si>
  <si>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</si>
  <si>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</si>
  <si>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</si>
  <si>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</si>
  <si>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</si>
  <si>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</si>
  <si>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</si>
  <si>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</si>
  <si>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</si>
  <si>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</si>
  <si>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</si>
  <si>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</si>
  <si>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</si>
  <si>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</si>
  <si>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</si>
  <si>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</si>
  <si>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</si>
  <si>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</si>
  <si>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</si>
  <si>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</si>
  <si>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</si>
  <si>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</si>
  <si>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</si>
  <si>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</si>
  <si>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</si>
  <si>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</si>
  <si>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</si>
  <si>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</si>
  <si>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</si>
  <si>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</si>
  <si>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</si>
  <si>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</si>
  <si>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</si>
  <si>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</si>
  <si>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</si>
  <si>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</si>
  <si>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</si>
  <si>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</si>
  <si>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</si>
  <si>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</si>
  <si>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</si>
  <si>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</si>
  <si>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</si>
  <si>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</si>
  <si>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</si>
  <si>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</si>
  <si>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</si>
  <si>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</si>
  <si>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</si>
  <si>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</si>
  <si>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</si>
  <si>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</si>
  <si>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</si>
  <si>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</si>
  <si>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</si>
  <si>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</si>
  <si>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</si>
  <si>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</si>
  <si>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</si>
  <si>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</si>
  <si>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</si>
  <si>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</si>
  <si>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</si>
  <si>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</si>
  <si>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</si>
  <si>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</si>
  <si>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</si>
  <si>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</si>
  <si>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</si>
  <si>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</si>
  <si>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</si>
  <si>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</si>
  <si>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</si>
  <si>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</si>
  <si>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</si>
  <si>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</si>
  <si>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</si>
  <si>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</si>
  <si>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</si>
  <si>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</si>
  <si>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</si>
  <si>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</si>
  <si>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</si>
  <si>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</si>
  <si>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</si>
  <si>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</si>
  <si>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</si>
  <si>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</si>
  <si>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</si>
  <si>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</si>
  <si>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</si>
  <si>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</si>
  <si>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</si>
  <si>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</si>
  <si>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</si>
  <si>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</si>
  <si>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</si>
  <si>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</si>
  <si>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</si>
  <si>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</si>
  <si>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</si>
  <si>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</si>
  <si>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</si>
  <si>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</si>
  <si>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</si>
  <si>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</si>
  <si>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</si>
  <si>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</si>
  <si>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</si>
  <si>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</si>
  <si>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</si>
  <si>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</si>
  <si>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</si>
  <si>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</si>
  <si>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</si>
  <si>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</si>
  <si>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</si>
  <si>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</si>
  <si>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</si>
  <si>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</si>
  <si>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</si>
  <si>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</si>
  <si>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</si>
  <si>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</si>
  <si>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</si>
  <si>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</si>
  <si>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</si>
  <si>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</si>
  <si>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</si>
  <si>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</si>
  <si>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</si>
  <si>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</si>
  <si>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</si>
  <si>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</si>
  <si>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</si>
  <si>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</si>
  <si>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</si>
  <si>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</si>
  <si>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</si>
  <si>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</si>
  <si>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</si>
  <si>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</si>
  <si>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</si>
  <si>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</si>
  <si>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</si>
  <si>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</si>
  <si>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</si>
  <si>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</si>
  <si>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</si>
  <si>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</si>
  <si>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</si>
  <si>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</si>
  <si>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</si>
  <si>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</si>
  <si>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</si>
  <si>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</si>
  <si>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</si>
  <si>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</si>
  <si>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</si>
  <si>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</si>
  <si>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</si>
  <si>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</si>
  <si>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</si>
  <si>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</si>
  <si>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</si>
  <si>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</si>
  <si>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</si>
  <si>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</si>
  <si>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</si>
  <si>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</si>
  <si>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</si>
  <si>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</si>
  <si>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</si>
  <si>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</si>
  <si>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</si>
  <si>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</si>
  <si>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</si>
  <si>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</si>
  <si>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</si>
  <si>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</si>
  <si>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</si>
  <si>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</si>
  <si>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</si>
  <si>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</si>
  <si>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</si>
  <si>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</si>
  <si>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</si>
  <si>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</si>
  <si>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</si>
  <si>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</si>
  <si>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</si>
  <si>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</si>
  <si>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</si>
  <si>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</si>
  <si>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</si>
  <si>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</si>
  <si>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</si>
  <si>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</si>
  <si>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</si>
  <si>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</si>
  <si>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</si>
  <si>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</si>
  <si>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</si>
  <si>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</si>
  <si>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</si>
  <si>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</si>
  <si>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</si>
  <si>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</si>
  <si>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</si>
  <si>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</si>
  <si>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</si>
  <si>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</si>
  <si>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</si>
  <si>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</si>
  <si>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</si>
  <si>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</si>
  <si>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</si>
  <si>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</si>
  <si>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</si>
  <si>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</si>
  <si>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</si>
  <si>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</si>
  <si>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</si>
  <si>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</si>
  <si>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</si>
  <si>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</si>
  <si>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</si>
  <si>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</si>
  <si>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</si>
  <si>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</si>
  <si>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</si>
  <si>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</si>
  <si>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</si>
  <si>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</si>
  <si>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</si>
  <si>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</si>
  <si>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</si>
  <si>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</si>
  <si>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</si>
  <si>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</si>
  <si>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</si>
  <si>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</si>
  <si>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</si>
  <si>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</si>
  <si>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</si>
  <si>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</si>
  <si>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</si>
  <si>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</si>
  <si>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</si>
  <si>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</si>
  <si>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</si>
  <si>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</si>
  <si>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</si>
  <si>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</si>
  <si>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</si>
  <si>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</si>
  <si>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</si>
  <si>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</si>
  <si>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</si>
  <si>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</si>
  <si>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</si>
  <si>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</si>
  <si>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</si>
  <si>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</si>
  <si>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</si>
  <si>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</si>
  <si>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</si>
  <si>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</si>
  <si>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</si>
  <si>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</si>
  <si>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</si>
  <si>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</si>
  <si>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</si>
  <si>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</si>
  <si>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</si>
  <si>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</si>
  <si>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</si>
  <si>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</si>
  <si>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</si>
  <si>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</si>
  <si>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</si>
  <si>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</si>
  <si>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</si>
  <si>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</si>
  <si>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</si>
  <si>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</si>
  <si>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</si>
  <si>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</si>
  <si>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</si>
  <si>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</si>
  <si>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</si>
  <si>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</si>
  <si>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</si>
  <si>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</si>
  <si>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</si>
  <si>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</si>
  <si>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</si>
  <si>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</si>
  <si>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</si>
  <si>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</si>
  <si>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</si>
  <si>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</si>
  <si>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</si>
  <si>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</si>
  <si>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</si>
  <si>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</si>
  <si>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</si>
  <si>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</si>
  <si>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</si>
  <si>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</si>
  <si>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</si>
  <si>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</si>
  <si>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</si>
  <si>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</si>
  <si>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</si>
  <si>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</si>
  <si>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</si>
  <si>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</si>
  <si>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</si>
  <si>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</si>
  <si>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</si>
  <si>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</si>
  <si>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</si>
  <si>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</si>
  <si>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</si>
  <si>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</si>
  <si>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</si>
  <si>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</si>
  <si>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</si>
  <si>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</si>
  <si>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</si>
  <si>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</si>
  <si>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</si>
  <si>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</si>
  <si>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</si>
  <si>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</si>
  <si>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</si>
  <si>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</si>
  <si>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</si>
  <si>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</si>
  <si>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</si>
  <si>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</si>
  <si>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</si>
  <si>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</si>
  <si>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</si>
  <si>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</si>
  <si>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</si>
  <si>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</si>
  <si>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</si>
  <si>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</si>
  <si>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</si>
  <si>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</si>
  <si>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</si>
  <si>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</si>
  <si>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</si>
  <si>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</si>
  <si>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</si>
  <si>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</si>
  <si>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</si>
  <si>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</si>
  <si>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</si>
  <si>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</si>
  <si>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</si>
  <si>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</si>
  <si>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</si>
  <si>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</si>
  <si>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</si>
  <si>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</si>
  <si>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</si>
  <si>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</si>
  <si>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</si>
  <si>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</si>
  <si>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</si>
  <si>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</si>
  <si>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</si>
  <si>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</si>
  <si>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</si>
  <si>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</si>
  <si>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</si>
  <si>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</si>
  <si>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</si>
  <si>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</si>
  <si>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</si>
  <si>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</si>
  <si>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</si>
  <si>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</si>
  <si>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</si>
  <si>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</si>
  <si>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</si>
  <si>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</si>
  <si>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</si>
  <si>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</si>
  <si>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</si>
  <si>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</si>
  <si>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</si>
  <si>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</si>
  <si>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</si>
  <si>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</si>
  <si>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</si>
  <si>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</si>
  <si>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</si>
  <si>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</si>
  <si>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</si>
  <si>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</si>
  <si>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</si>
  <si>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</si>
  <si>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</si>
  <si>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</si>
  <si>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</si>
  <si>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</si>
  <si>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</si>
  <si>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</si>
  <si>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</si>
  <si>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</si>
  <si>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</si>
  <si>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</si>
  <si>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</si>
  <si>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</si>
  <si>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</si>
  <si>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</si>
  <si>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</si>
  <si>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</si>
  <si>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</si>
  <si>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</si>
  <si>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</si>
  <si>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</si>
  <si>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</si>
  <si>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</si>
  <si>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</si>
  <si>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</si>
  <si>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</si>
  <si>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</si>
  <si>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</si>
  <si>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</si>
  <si>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</si>
  <si>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</si>
  <si>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</si>
  <si>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</si>
  <si>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</si>
  <si>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</si>
  <si>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</si>
  <si>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</si>
  <si>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</si>
  <si>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</si>
  <si>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</si>
  <si>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</si>
  <si>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</si>
  <si>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</si>
  <si>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</si>
  <si>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</si>
  <si>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</si>
  <si>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</si>
  <si>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</si>
  <si>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</si>
  <si>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</si>
  <si>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</si>
  <si>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</si>
  <si>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</si>
  <si>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</si>
  <si>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</si>
  <si>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</si>
  <si>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</si>
  <si>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</si>
  <si>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</si>
  <si>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</si>
  <si>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</si>
  <si>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</si>
  <si>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</si>
  <si>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</si>
  <si>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</si>
  <si>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</si>
  <si>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</si>
  <si>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</si>
  <si>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</si>
  <si>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</si>
  <si>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</si>
  <si>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</si>
  <si>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</si>
  <si>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</si>
  <si>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</si>
  <si>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</si>
  <si>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</si>
  <si>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</si>
  <si>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</si>
  <si>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</si>
  <si>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</si>
  <si>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</si>
  <si>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</si>
  <si>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</si>
  <si>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</si>
  <si>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</si>
  <si>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</si>
  <si>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</si>
  <si>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</si>
  <si>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</si>
  <si>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</si>
  <si>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</si>
  <si>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</si>
  <si>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</si>
  <si>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</si>
  <si>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</si>
  <si>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</si>
  <si>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</si>
  <si>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</si>
  <si>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</si>
  <si>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</si>
  <si>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</si>
  <si>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</si>
  <si>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</si>
  <si>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</si>
  <si>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</si>
  <si>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</si>
  <si>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</si>
  <si>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</si>
  <si>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</si>
  <si>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</si>
  <si>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</si>
  <si>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</si>
  <si>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</si>
  <si>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</si>
  <si>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</si>
  <si>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</si>
  <si>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</si>
  <si>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</si>
  <si>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</si>
  <si>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</si>
  <si>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</si>
  <si>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</si>
  <si>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</si>
  <si>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</si>
  <si>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</si>
  <si>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</si>
  <si>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</si>
  <si>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</si>
  <si>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</si>
  <si>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</si>
  <si>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</si>
  <si>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</si>
  <si>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</si>
  <si>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</si>
  <si>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</si>
  <si>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</si>
  <si>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</si>
  <si>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</si>
  <si>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</si>
  <si>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</si>
  <si>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</si>
  <si>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</si>
  <si>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</si>
  <si>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</si>
  <si>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</si>
  <si>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</si>
  <si>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</si>
  <si>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</si>
  <si>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</si>
  <si>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</si>
  <si>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</si>
  <si>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</si>
  <si>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</si>
  <si>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</si>
  <si>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</si>
  <si>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</si>
  <si>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</si>
  <si>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</si>
  <si>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</si>
  <si>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</si>
  <si>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</si>
  <si>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</si>
  <si>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</si>
  <si>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</si>
  <si>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</si>
  <si>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</si>
  <si>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</si>
  <si>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</si>
  <si>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</si>
  <si>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</si>
  <si>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</si>
  <si>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</si>
  <si>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</si>
  <si>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</si>
  <si>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</si>
  <si>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</si>
  <si>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</si>
  <si>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</si>
  <si>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</si>
  <si>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</si>
  <si>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</si>
  <si>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</si>
  <si>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</si>
  <si>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</si>
  <si>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</si>
  <si>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</si>
  <si>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</si>
  <si>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</si>
  <si>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</si>
  <si>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</si>
  <si>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</si>
  <si>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</si>
  <si>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</si>
  <si>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</si>
  <si>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</si>
  <si>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</si>
  <si>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</si>
  <si>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</si>
  <si>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</si>
  <si>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</si>
  <si>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</si>
  <si>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</si>
  <si>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</si>
  <si>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</si>
  <si>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</si>
  <si>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</si>
  <si>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</si>
  <si>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</si>
  <si>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</si>
  <si>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</si>
  <si>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</si>
  <si>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</si>
  <si>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</si>
  <si>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</si>
  <si>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</si>
  <si>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</si>
  <si>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</si>
  <si>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</si>
  <si>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</si>
  <si>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</si>
  <si>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</si>
  <si>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</si>
  <si>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</si>
  <si>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</si>
  <si>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</si>
  <si>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</si>
  <si>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</si>
  <si>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</si>
  <si>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</si>
  <si>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</si>
  <si>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</si>
  <si>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</si>
  <si>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</si>
  <si>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</si>
  <si>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</si>
  <si>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</si>
  <si>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</si>
  <si>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</si>
  <si>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</si>
  <si>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</si>
  <si>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</si>
  <si>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</si>
  <si>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</si>
  <si>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</si>
  <si>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</si>
  <si>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</si>
  <si>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</si>
  <si>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</si>
  <si>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</si>
  <si>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</si>
  <si>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</si>
  <si>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</si>
  <si>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</si>
  <si>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</si>
  <si>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</si>
  <si>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</si>
  <si>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</si>
  <si>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</si>
  <si>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</si>
  <si>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</si>
  <si>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</si>
  <si>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</si>
  <si>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</si>
  <si>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</si>
  <si>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</si>
  <si>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</si>
  <si>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</si>
  <si>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</si>
  <si>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</si>
  <si>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</si>
  <si>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</si>
  <si>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</si>
  <si>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</si>
  <si>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</si>
  <si>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</si>
  <si>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</si>
  <si>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</si>
  <si>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</si>
  <si>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</si>
  <si>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</si>
  <si>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</si>
  <si>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</si>
  <si>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</si>
  <si>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</si>
  <si>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</si>
  <si>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</si>
  <si>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</si>
  <si>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</si>
  <si>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</si>
  <si>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</si>
  <si>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</si>
  <si>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</si>
  <si>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</si>
  <si>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</si>
  <si>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</si>
  <si>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</si>
  <si>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</si>
  <si>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</si>
  <si>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</si>
  <si>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</si>
  <si>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</si>
  <si>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</si>
  <si>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</si>
  <si>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</si>
  <si>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</si>
  <si>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</si>
  <si>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</si>
  <si>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</si>
  <si>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</si>
  <si>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</si>
  <si>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</si>
  <si>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</si>
  <si>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</si>
  <si>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</si>
  <si>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</si>
  <si>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</si>
  <si>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</si>
  <si>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</si>
  <si>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</si>
  <si>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</si>
  <si>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</si>
  <si>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</si>
  <si>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</si>
  <si>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</si>
  <si>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</si>
  <si>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</si>
  <si>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</si>
  <si>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</si>
  <si>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</si>
  <si>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</si>
  <si>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</si>
  <si>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</si>
  <si>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</si>
  <si>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</si>
  <si>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</si>
  <si>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</si>
  <si>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</si>
  <si>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</si>
  <si>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</si>
  <si>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</si>
  <si>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</si>
  <si>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</si>
  <si>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</si>
  <si>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</si>
  <si>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</si>
  <si>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</si>
  <si>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</si>
  <si>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</si>
  <si>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</si>
  <si>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</si>
  <si>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</si>
  <si>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</si>
  <si>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</si>
  <si>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</si>
  <si>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</si>
  <si>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</si>
  <si>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</si>
  <si>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</si>
  <si>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</si>
  <si>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</si>
  <si>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</si>
  <si>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</si>
  <si>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</si>
  <si>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</si>
  <si>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</si>
  <si>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</si>
  <si>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</si>
  <si>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</si>
  <si>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</si>
  <si>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</si>
  <si>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</si>
  <si>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</si>
  <si>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</si>
  <si>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</si>
  <si>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</si>
  <si>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</si>
  <si>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</si>
  <si>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</si>
  <si>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</si>
  <si>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</si>
  <si>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</si>
  <si>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</si>
  <si>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</si>
  <si>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</si>
  <si>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</si>
  <si>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</si>
  <si>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</si>
  <si>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</si>
  <si>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</si>
  <si>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</si>
  <si>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</si>
  <si>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</si>
  <si>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</si>
  <si>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</si>
  <si>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</si>
  <si>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</si>
  <si>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</si>
  <si>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</si>
  <si>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</si>
  <si>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</si>
  <si>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</si>
  <si>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</si>
  <si>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</si>
  <si>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</si>
  <si>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</si>
  <si>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</si>
  <si>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</si>
  <si>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</si>
  <si>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</si>
  <si>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</si>
  <si>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</si>
  <si>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</si>
  <si>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</si>
  <si>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</si>
  <si>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</si>
  <si>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</si>
  <si>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</si>
  <si>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</si>
  <si>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</si>
  <si>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</si>
  <si>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</si>
  <si>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</si>
  <si>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</si>
  <si>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</si>
  <si>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</si>
  <si>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</si>
  <si>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</si>
  <si>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</si>
  <si>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</si>
  <si>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</si>
  <si>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</si>
  <si>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</si>
  <si>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</si>
  <si>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</si>
  <si>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</si>
  <si>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</si>
  <si>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</si>
  <si>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</si>
  <si>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</si>
  <si>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</si>
  <si>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</si>
  <si>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</si>
  <si>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</si>
  <si>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</si>
  <si>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</si>
  <si>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</si>
  <si>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</si>
  <si>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</si>
  <si>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</si>
  <si>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</si>
  <si>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</si>
  <si>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</si>
  <si>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</si>
  <si>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</si>
  <si>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</si>
  <si>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</si>
  <si>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</si>
  <si>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</si>
  <si>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</si>
  <si>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</si>
  <si>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</si>
  <si>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</si>
  <si>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</si>
  <si>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</si>
  <si>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</si>
  <si>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</si>
  <si>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</si>
  <si>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</si>
  <si>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</si>
  <si>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</si>
  <si>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</si>
  <si>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</si>
  <si>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</si>
  <si>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</si>
  <si>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</si>
  <si>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</si>
  <si>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</si>
  <si>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</si>
  <si>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</si>
  <si>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</si>
  <si>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</si>
  <si>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</si>
  <si>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</si>
  <si>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</si>
  <si>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</si>
  <si>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</si>
  <si>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</si>
  <si>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</si>
  <si>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</si>
  <si>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</si>
  <si>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</si>
  <si>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</si>
  <si>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</si>
  <si>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</si>
  <si>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</si>
  <si>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</si>
  <si>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</si>
  <si>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</si>
  <si>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</si>
  <si>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</si>
  <si>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</si>
  <si>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</si>
  <si>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</si>
  <si>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</si>
  <si>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</si>
  <si>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</si>
  <si>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</si>
  <si>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</si>
  <si>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</si>
  <si>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</si>
  <si>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</si>
  <si>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</si>
  <si>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</si>
  <si>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</si>
  <si>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</si>
  <si>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</si>
  <si>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</si>
  <si>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</si>
  <si>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</si>
  <si>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</si>
  <si>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</si>
  <si>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</si>
  <si>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</si>
  <si>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</si>
  <si>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</si>
  <si>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</si>
  <si>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</si>
  <si>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</si>
  <si>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</si>
  <si>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</si>
  <si>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</si>
  <si>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</si>
  <si>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</si>
  <si>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</si>
  <si>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</si>
  <si>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</si>
  <si>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</si>
  <si>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</si>
  <si>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</si>
  <si>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</si>
  <si>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</si>
  <si>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</si>
  <si>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</si>
  <si>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</si>
  <si>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</si>
  <si>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</si>
  <si>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</si>
  <si>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</si>
  <si>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</si>
  <si>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</si>
  <si>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</si>
  <si>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</si>
  <si>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</si>
  <si>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</si>
  <si>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</si>
  <si>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</si>
  <si>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</si>
  <si>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</si>
  <si>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</si>
  <si>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</si>
  <si>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</si>
  <si>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</si>
  <si>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</si>
  <si>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</si>
  <si>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</si>
  <si>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</si>
  <si>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</si>
  <si>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</si>
  <si>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</si>
  <si>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</si>
  <si>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</si>
  <si>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</si>
  <si>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</si>
  <si>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</si>
  <si>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</si>
  <si>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</si>
  <si>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</si>
  <si>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</si>
  <si>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</si>
  <si>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</si>
  <si>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</si>
  <si>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</si>
  <si>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</si>
  <si>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</si>
  <si>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</si>
  <si>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</si>
  <si>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</si>
  <si>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</si>
  <si>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</si>
  <si>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</si>
  <si>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</si>
  <si>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</si>
  <si>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</si>
  <si>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</si>
  <si>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</si>
  <si>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</si>
  <si>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</si>
  <si>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</si>
  <si>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</si>
  <si>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</si>
  <si>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</si>
  <si>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</si>
  <si>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</si>
  <si>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</si>
  <si>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</si>
  <si>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</si>
  <si>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</si>
  <si>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</si>
  <si>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</si>
  <si>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</si>
  <si>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</si>
  <si>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</si>
  <si>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</si>
  <si>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</si>
  <si>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</si>
  <si>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</si>
  <si>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</si>
  <si>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</si>
  <si>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</si>
  <si>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</si>
  <si>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</si>
  <si>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</si>
  <si>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</si>
  <si>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</si>
  <si>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</si>
  <si>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</si>
  <si>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</si>
  <si>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</si>
  <si>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</si>
  <si>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</si>
  <si>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</si>
  <si>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</si>
  <si>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</si>
  <si>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</si>
  <si>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</si>
  <si>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</si>
  <si>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</si>
  <si>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</si>
  <si>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</si>
  <si>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</si>
  <si>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</si>
  <si>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</si>
  <si>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</si>
  <si>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</si>
  <si>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</si>
  <si>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</si>
  <si>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</si>
  <si>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</si>
  <si>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</si>
  <si>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</si>
  <si>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</si>
  <si>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</si>
  <si>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</si>
  <si>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</si>
  <si>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</si>
  <si>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</si>
  <si>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</si>
  <si>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</si>
  <si>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</si>
  <si>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</si>
  <si>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</si>
  <si>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</si>
  <si>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</si>
  <si>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</si>
  <si>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</si>
  <si>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</si>
  <si>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</si>
  <si>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</si>
  <si>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</si>
  <si>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</si>
  <si>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</si>
  <si>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</si>
  <si>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</si>
  <si>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</si>
  <si>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</si>
  <si>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</si>
  <si>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</si>
  <si>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</si>
  <si>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</si>
  <si>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</si>
  <si>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</si>
  <si>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</si>
  <si>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</si>
  <si>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</si>
  <si>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</si>
  <si>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</si>
  <si>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</si>
  <si>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</si>
  <si>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</si>
  <si>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</si>
  <si>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</si>
  <si>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</si>
  <si>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</si>
  <si>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</si>
  <si>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</si>
  <si>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</si>
  <si>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</si>
  <si>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</si>
  <si>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</si>
  <si>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</si>
  <si>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</si>
  <si>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</si>
  <si>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</si>
  <si>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</si>
  <si>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</si>
  <si>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</si>
  <si>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</si>
  <si>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</si>
  <si>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</si>
  <si>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</si>
  <si>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</si>
  <si>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</si>
  <si>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</si>
  <si>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</si>
  <si>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</si>
  <si>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</si>
  <si>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</si>
  <si>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</si>
  <si>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</si>
  <si>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</si>
  <si>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</si>
  <si>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</si>
  <si>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</si>
  <si>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</si>
  <si>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</si>
  <si>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</si>
  <si>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</si>
  <si>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</si>
  <si>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</si>
  <si>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</si>
  <si>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</si>
  <si>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</si>
  <si>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</si>
  <si>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</si>
  <si>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</si>
  <si>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</si>
  <si>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</si>
  <si>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</si>
  <si>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</si>
  <si>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</si>
  <si>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</si>
  <si>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</si>
  <si>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</si>
  <si>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</si>
  <si>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</si>
  <si>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</si>
  <si>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</si>
  <si>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</si>
  <si>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</si>
  <si>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</si>
  <si>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</si>
  <si>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</si>
  <si>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</si>
  <si>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</si>
  <si>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</si>
  <si>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</si>
  <si>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</si>
  <si>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</si>
  <si>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</si>
  <si>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</si>
  <si>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</si>
  <si>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</si>
  <si>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</si>
  <si>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</si>
  <si>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</si>
  <si>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</si>
  <si>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</si>
  <si>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</si>
  <si>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</si>
  <si>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</si>
  <si>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</si>
  <si>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</si>
  <si>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</si>
  <si>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</si>
  <si>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</si>
  <si>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</si>
  <si>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</si>
  <si>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</si>
  <si>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</si>
  <si>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</si>
  <si>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</si>
  <si>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</si>
  <si>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</si>
  <si>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</si>
  <si>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</si>
  <si>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</si>
  <si>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</si>
  <si>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</si>
  <si>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</si>
  <si>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</si>
  <si>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</si>
  <si>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</si>
  <si>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</si>
  <si>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</si>
  <si>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</si>
  <si>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</si>
  <si>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</si>
  <si>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</si>
  <si>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</si>
  <si>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</si>
  <si>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</si>
  <si>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</si>
  <si>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</si>
  <si>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</si>
  <si>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</si>
  <si>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</si>
  <si>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</si>
  <si>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</si>
  <si>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</si>
  <si>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</si>
  <si>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</si>
  <si>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</si>
  <si>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</si>
  <si>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</si>
  <si>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</si>
  <si>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</si>
  <si>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</si>
  <si>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</si>
  <si>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</si>
  <si>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</si>
  <si>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</si>
  <si>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</si>
  <si>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</si>
  <si>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</si>
  <si>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</si>
  <si>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</si>
  <si>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</si>
  <si>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</si>
  <si>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</si>
  <si>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</si>
  <si>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</si>
  <si>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</si>
  <si>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</si>
  <si>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</si>
  <si>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</si>
  <si>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</si>
  <si>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</si>
  <si>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</si>
  <si>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</si>
  <si>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</si>
  <si>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</si>
  <si>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</si>
  <si>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</si>
  <si>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</si>
  <si>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</si>
  <si>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</si>
  <si>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</si>
  <si>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</si>
  <si>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</si>
  <si>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</si>
  <si>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</si>
  <si>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</si>
  <si>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</si>
  <si>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</si>
  <si>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</si>
  <si>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</si>
  <si>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</si>
  <si>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</si>
  <si>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</si>
  <si>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</si>
  <si>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</si>
  <si>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</si>
  <si>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</si>
  <si>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</si>
  <si>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</si>
  <si>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</si>
  <si>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</si>
  <si>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</si>
  <si>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</si>
  <si>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</si>
  <si>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</si>
  <si>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</si>
  <si>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</si>
  <si>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</si>
  <si>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</si>
  <si>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</si>
  <si>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</si>
  <si>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</si>
  <si>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</si>
  <si>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</si>
  <si>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</si>
  <si>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</si>
  <si>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</si>
  <si>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</si>
  <si>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</si>
  <si>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</si>
  <si>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</si>
  <si>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</si>
  <si>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</si>
  <si>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</si>
  <si>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</si>
  <si>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</si>
  <si>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</si>
  <si>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</si>
  <si>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</si>
  <si>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</si>
  <si>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</si>
  <si>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</si>
  <si>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</si>
  <si>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</si>
  <si>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</si>
  <si>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</si>
  <si>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</si>
  <si>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</si>
  <si>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</si>
  <si>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</si>
  <si>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</si>
  <si>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</si>
  <si>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</si>
  <si>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</si>
  <si>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</si>
  <si>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</si>
  <si>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</si>
  <si>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</si>
  <si>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</si>
  <si>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</si>
  <si>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</si>
  <si>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</si>
  <si>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</si>
  <si>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</si>
  <si>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</si>
  <si>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</si>
  <si>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</si>
  <si>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</si>
  <si>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</si>
  <si>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</si>
  <si>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</si>
  <si>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</si>
  <si>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</si>
  <si>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</si>
  <si>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</si>
  <si>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</si>
  <si>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</si>
  <si>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</si>
  <si>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</si>
  <si>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</si>
  <si>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</si>
  <si>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</si>
  <si>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</si>
  <si>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</si>
  <si>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</si>
  <si>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</si>
  <si>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</si>
  <si>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</si>
  <si>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</si>
  <si>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</si>
  <si>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</si>
  <si>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</si>
  <si>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</si>
  <si>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</si>
  <si>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</si>
  <si>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</si>
  <si>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</si>
  <si>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</si>
  <si>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</si>
  <si>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</si>
  <si>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</si>
  <si>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</si>
  <si>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</si>
  <si>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</si>
  <si>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</si>
  <si>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</si>
  <si>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</si>
  <si>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</si>
  <si>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</si>
  <si>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</si>
  <si>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</si>
  <si>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</si>
  <si>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</si>
  <si>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</si>
  <si>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</si>
  <si>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</si>
  <si>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</si>
  <si>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</si>
  <si>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</si>
  <si>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</si>
  <si>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</si>
  <si>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</si>
  <si>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</si>
  <si>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</si>
  <si>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</si>
  <si>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</si>
  <si>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</si>
  <si>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</si>
  <si>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</si>
  <si>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</si>
  <si>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</si>
  <si>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</si>
  <si>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</si>
  <si>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</si>
  <si>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</si>
  <si>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</si>
  <si>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</si>
  <si>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</si>
  <si>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</si>
  <si>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</si>
  <si>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</si>
  <si>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</si>
  <si>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</si>
  <si>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</si>
  <si>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</si>
  <si>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</si>
  <si>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</si>
  <si>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</si>
  <si>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</si>
  <si>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</si>
  <si>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</si>
  <si>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</si>
  <si>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</si>
  <si>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</si>
  <si>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</si>
  <si>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</si>
  <si>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</si>
  <si>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</si>
  <si>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</si>
  <si>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</si>
  <si>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</si>
  <si>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</si>
  <si>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</si>
  <si>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</si>
  <si>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</si>
  <si>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</si>
  <si>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</si>
  <si>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</si>
  <si>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</si>
  <si>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</si>
  <si>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</si>
  <si>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</si>
  <si>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</si>
  <si>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</si>
  <si>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</si>
  <si>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</si>
  <si>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</si>
  <si>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</si>
  <si>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</si>
  <si>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</si>
  <si>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</si>
  <si>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</si>
  <si>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</si>
  <si>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</si>
  <si>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</si>
  <si>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</si>
  <si>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</si>
  <si>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</si>
  <si>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</si>
  <si>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</si>
  <si>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</si>
  <si>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</si>
  <si>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</si>
  <si>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</si>
  <si>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</si>
  <si>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</si>
  <si>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</si>
  <si>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</si>
  <si>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</si>
  <si>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</si>
  <si>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</si>
  <si>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</si>
  <si>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</si>
  <si>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</si>
  <si>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</si>
  <si>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</si>
  <si>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</si>
  <si>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</si>
  <si>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</si>
  <si>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</si>
  <si>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</si>
  <si>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</si>
  <si>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</si>
  <si>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</si>
  <si>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</si>
  <si>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</si>
  <si>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</si>
  <si>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</si>
  <si>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</si>
  <si>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</si>
  <si>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</si>
  <si>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</si>
  <si>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</si>
  <si>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</si>
  <si>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</si>
  <si>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</si>
  <si>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</si>
  <si>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</si>
  <si>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</si>
  <si>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</si>
  <si>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</si>
  <si>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</si>
  <si>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</si>
  <si>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</si>
  <si>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</si>
  <si>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</si>
  <si>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</si>
  <si>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</si>
  <si>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</si>
  <si>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</si>
  <si>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</si>
  <si>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</si>
  <si>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</si>
  <si>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</si>
  <si>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</si>
  <si>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</si>
  <si>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</si>
  <si>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</si>
  <si>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</si>
  <si>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</si>
  <si>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</si>
  <si>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</si>
  <si>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</si>
  <si>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</si>
  <si>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</si>
  <si>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</si>
  <si>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</si>
  <si>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</si>
  <si>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</si>
  <si>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</si>
  <si>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</si>
  <si>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</si>
  <si>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</si>
  <si>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</si>
  <si>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</si>
  <si>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</si>
  <si>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</si>
  <si>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</si>
  <si>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</si>
  <si>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</si>
  <si>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</si>
  <si>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</si>
  <si>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</si>
  <si>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</si>
  <si>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</si>
  <si>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</si>
  <si>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</si>
  <si>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</si>
  <si>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</si>
  <si>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</si>
  <si>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</si>
  <si>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</si>
  <si>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</si>
  <si>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</si>
  <si>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</si>
  <si>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</si>
  <si>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</si>
  <si>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</si>
  <si>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</si>
  <si>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</si>
  <si>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</si>
  <si>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</si>
  <si>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</si>
  <si>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</si>
  <si>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</si>
  <si>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</si>
  <si>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</si>
  <si>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</si>
  <si>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</si>
  <si>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</si>
  <si>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</si>
  <si>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</si>
  <si>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</si>
  <si>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</si>
  <si>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</si>
  <si>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</si>
  <si>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</si>
  <si>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</si>
  <si>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</si>
  <si>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</si>
  <si>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</si>
  <si>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</si>
  <si>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</si>
  <si>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</si>
  <si>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</si>
  <si>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</si>
  <si>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</si>
  <si>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</si>
  <si>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</si>
  <si>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</si>
  <si>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</si>
  <si>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</si>
  <si>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</si>
  <si>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</si>
  <si>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</si>
  <si>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</si>
  <si>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</si>
  <si>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</si>
  <si>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</si>
  <si>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</si>
  <si>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</si>
  <si>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</si>
  <si>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</si>
  <si>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</si>
  <si>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</si>
  <si>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</si>
  <si>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</si>
  <si>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</si>
  <si>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</si>
  <si>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</si>
  <si>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</si>
  <si>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</si>
  <si>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</si>
  <si>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</si>
  <si>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</si>
  <si>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</si>
  <si>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</si>
  <si>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</si>
  <si>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</si>
  <si>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</si>
  <si>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</si>
  <si>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</si>
  <si>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</si>
  <si>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</si>
  <si>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</si>
  <si>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</si>
  <si>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</si>
  <si>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</si>
  <si>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Page</t>
  </si>
  <si>
    <t>Account</t>
  </si>
  <si>
    <t>Column</t>
  </si>
  <si>
    <t>Line #</t>
  </si>
  <si>
    <t>David M. Meyer</t>
  </si>
  <si>
    <t>SCHEDULE OF EXPENDITURES OF FEDERAL AWARDS (SEFA)</t>
  </si>
  <si>
    <t>Expenditure/Disbursements</t>
  </si>
  <si>
    <t>Federal Grantor/Pass-Through Grantor/</t>
  </si>
  <si>
    <t>Final</t>
  </si>
  <si>
    <t>Number</t>
  </si>
  <si>
    <t>or Contract #</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</si>
  <si>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</si>
  <si>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</si>
  <si>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</si>
  <si>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</si>
  <si>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</si>
  <si>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</si>
  <si>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</si>
  <si>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</si>
  <si>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</si>
  <si>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</si>
  <si>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</si>
  <si>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DuPage</t>
  </si>
  <si>
    <t>1110 South Villa Park</t>
  </si>
  <si>
    <t>Villa Park</t>
  </si>
  <si>
    <t>jchung@saltcreek48.org</t>
  </si>
  <si>
    <t>Jake Chung</t>
  </si>
  <si>
    <t>630-279-8400</t>
  </si>
  <si>
    <t>630-279-6167</t>
  </si>
  <si>
    <t>20. Internal control matters were noted in a separately issued management letter. 23. The auditor's report is qualified due to the District not adopting GASB 75, Accounting and Financial Reporting for Postemployment Benefits Other Than Pensions.</t>
  </si>
  <si>
    <t>General Obligation Debt Certificates</t>
  </si>
  <si>
    <t>General Obligation Bonds</t>
  </si>
  <si>
    <t>Debt Certificates</t>
  </si>
  <si>
    <t>Education - Board of Education Other Contractual</t>
  </si>
  <si>
    <t>Education - Food Service</t>
  </si>
  <si>
    <t>Operations &amp; Maintenance - Custodial Services</t>
  </si>
  <si>
    <t>Transportation - Transportation Services - Regular Education</t>
  </si>
  <si>
    <t>Educagion - Technology Services</t>
  </si>
  <si>
    <t>Education - Board of Education Liability Insurance</t>
  </si>
  <si>
    <t>Education - Board of Education Workers' Compensation Insurance</t>
  </si>
  <si>
    <t>Education - Technology Services</t>
  </si>
  <si>
    <t>Education - Print Management Services</t>
  </si>
  <si>
    <t>Education - Phone Services</t>
  </si>
  <si>
    <t xml:space="preserve">Client First Consulting </t>
  </si>
  <si>
    <t>Arbor Management, Inc</t>
  </si>
  <si>
    <t>RJB Properties, Inc.</t>
  </si>
  <si>
    <t>West Way Coach</t>
  </si>
  <si>
    <t>Comcast</t>
  </si>
  <si>
    <t>ISDA Pool</t>
  </si>
  <si>
    <t>WSCIT Pool</t>
  </si>
  <si>
    <t>Net 56, Inc.</t>
  </si>
  <si>
    <t>COTG</t>
  </si>
  <si>
    <t>Call One/AT&amp;T</t>
  </si>
  <si>
    <t>Single Path LLC</t>
  </si>
  <si>
    <t>Johnson Flooring</t>
  </si>
  <si>
    <t>Video &amp; Sound Services</t>
  </si>
  <si>
    <t>Twin Supplies</t>
  </si>
  <si>
    <t>District 48, 45,4,88 Curriculum Advisory Committee</t>
  </si>
  <si>
    <t>SASED</t>
  </si>
  <si>
    <t>Wine Sergi Ins.</t>
  </si>
  <si>
    <t>NextEra (electricity); Constellation Energy (gas)</t>
  </si>
  <si>
    <t xml:space="preserve">Arbor Management, Inc. </t>
  </si>
  <si>
    <t>Four Seasons Lawn &amp; Landscapping, Inc.</t>
  </si>
  <si>
    <t>WCSIT &amp; ISDA (Liability, workers compensation, property) (Sponsered by IASA, IASB)</t>
  </si>
  <si>
    <t>Liquid Assets Fund (sponsered by IASBO, IASA, IASB)</t>
  </si>
  <si>
    <t>Mickey, Wilson, Weiler, Renzi &amp; Anderson, P.C. and Franczek Radelet P.C.</t>
  </si>
  <si>
    <t>DuPage Regional Office of Education, IASA, IASBO, IASB</t>
  </si>
  <si>
    <t>U.S Communities, Inc.</t>
  </si>
  <si>
    <t>Net56/Single Path LLC</t>
  </si>
  <si>
    <t>West Way Coach/ Richlee Vans</t>
  </si>
  <si>
    <t>Before/ After School Program- Right At School, LLC.</t>
  </si>
  <si>
    <t>Exp 15-22</t>
  </si>
  <si>
    <t>Rev 9-14</t>
  </si>
  <si>
    <t>C</t>
  </si>
  <si>
    <t>F</t>
  </si>
  <si>
    <t>G</t>
  </si>
  <si>
    <t>E</t>
  </si>
  <si>
    <t>Preschool Fees</t>
  </si>
  <si>
    <t>Miscellaneous Revenues; Graduation Fees</t>
  </si>
  <si>
    <t>Miscellaneous Revenues</t>
  </si>
  <si>
    <t>Library Grant</t>
  </si>
  <si>
    <t>Commodity Rebate</t>
  </si>
  <si>
    <t>Lighting Projects</t>
  </si>
  <si>
    <t>Bond Administration Costs</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</si>
  <si>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</si>
  <si>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see pdf on opinion page</t>
  </si>
  <si>
    <t>Not Applicable</t>
  </si>
  <si>
    <t>N/A</t>
  </si>
  <si>
    <t>10-2300-300</t>
  </si>
  <si>
    <t>10-2560-300</t>
  </si>
  <si>
    <t>20-2540-300</t>
  </si>
  <si>
    <t>40-2550-300</t>
  </si>
  <si>
    <t>10-2200-300</t>
  </si>
  <si>
    <t>10-2540-300</t>
  </si>
  <si>
    <t>Salt Creek SD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</si>
</sst>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6"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
      <b/>
      <sz val="9"/>
      <color theme="1"/>
      <name val="Arial"/>
      <family val="2"/>
    </font>
    <font>
      <sz val="8"/>
      <color theme="1"/>
      <name val="Arial"/>
      <family val="2"/>
    </font>
    <font>
      <u/>
      <sz val="10"/>
      <color theme="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2" fillId="0" borderId="0"/>
    <xf numFmtId="0" fontId="1" fillId="0" borderId="0"/>
    <xf numFmtId="0" fontId="145" fillId="0" borderId="0" applyNumberFormat="0" applyFill="0" applyBorder="0" applyAlignment="0" applyProtection="0"/>
  </cellStyleXfs>
  <cellXfs count="249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8" xfId="12" applyNumberFormat="1" applyFont="1" applyBorder="1" applyAlignment="1" applyProtection="1">
      <alignment horizontal="right" vertical="center"/>
    </xf>
    <xf numFmtId="0" fontId="12" fillId="0" borderId="118" xfId="12" applyFont="1" applyBorder="1" applyAlignment="1" applyProtection="1">
      <alignment vertical="center"/>
    </xf>
    <xf numFmtId="0" fontId="15" fillId="0" borderId="121" xfId="12" applyFont="1" applyBorder="1" applyAlignment="1" applyProtection="1">
      <alignment vertical="center"/>
    </xf>
    <xf numFmtId="0" fontId="15" fillId="0" borderId="119" xfId="12" applyFont="1" applyBorder="1" applyAlignment="1" applyProtection="1">
      <alignment vertical="center"/>
    </xf>
    <xf numFmtId="1" fontId="11" fillId="0" borderId="0" xfId="0" applyNumberFormat="1" applyFont="1" applyAlignment="1">
      <alignment horizontal="center" vertical="center"/>
    </xf>
    <xf numFmtId="0" fontId="12" fillId="0" borderId="128"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5" xfId="0" applyNumberFormat="1" applyFont="1" applyFill="1" applyBorder="1" applyAlignment="1">
      <alignment horizontal="right"/>
    </xf>
    <xf numFmtId="0" fontId="79" fillId="11" borderId="99" xfId="0" applyFont="1" applyFill="1" applyBorder="1" applyAlignment="1">
      <alignment vertical="center"/>
    </xf>
    <xf numFmtId="164" fontId="55" fillId="13" borderId="111" xfId="0" applyNumberFormat="1" applyFont="1" applyFill="1" applyBorder="1" applyAlignment="1" applyProtection="1">
      <alignment horizontal="center" vertical="center"/>
    </xf>
    <xf numFmtId="164" fontId="65" fillId="13" borderId="105" xfId="0" applyNumberFormat="1" applyFont="1" applyFill="1" applyBorder="1" applyAlignment="1" applyProtection="1">
      <alignment vertical="center"/>
    </xf>
    <xf numFmtId="0" fontId="58" fillId="13" borderId="99" xfId="0" applyFont="1" applyFill="1" applyBorder="1" applyAlignment="1" applyProtection="1">
      <alignment vertical="center"/>
    </xf>
    <xf numFmtId="38" fontId="50" fillId="11" borderId="114" xfId="0" applyNumberFormat="1" applyFont="1" applyFill="1" applyBorder="1" applyAlignment="1" applyProtection="1">
      <alignment horizontal="right"/>
      <protection locked="0"/>
    </xf>
    <xf numFmtId="38" fontId="50" fillId="11" borderId="99" xfId="0" applyNumberFormat="1" applyFont="1" applyFill="1" applyBorder="1" applyAlignment="1" applyProtection="1">
      <alignment horizontal="right"/>
      <protection locked="0"/>
    </xf>
    <xf numFmtId="38" fontId="50" fillId="11" borderId="105" xfId="0" applyNumberFormat="1" applyFont="1" applyFill="1" applyBorder="1" applyAlignment="1" applyProtection="1">
      <alignment horizontal="right"/>
      <protection locked="0"/>
    </xf>
    <xf numFmtId="0" fontId="55" fillId="17" borderId="105" xfId="0" applyFont="1" applyFill="1" applyBorder="1" applyAlignment="1" applyProtection="1">
      <alignment horizontal="center" vertical="center"/>
    </xf>
    <xf numFmtId="164" fontId="55" fillId="17" borderId="105" xfId="0" applyNumberFormat="1" applyFont="1" applyFill="1" applyBorder="1" applyAlignment="1" applyProtection="1">
      <alignment horizontal="center" vertical="center"/>
    </xf>
    <xf numFmtId="164" fontId="65" fillId="17" borderId="105"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1" xfId="0" applyFont="1" applyFill="1" applyBorder="1" applyAlignment="1" applyProtection="1">
      <alignment horizontal="left" vertical="center"/>
    </xf>
    <xf numFmtId="164" fontId="55" fillId="13" borderId="105" xfId="0" applyNumberFormat="1" applyFont="1" applyFill="1" applyBorder="1" applyAlignment="1" applyProtection="1">
      <alignment horizontal="center" vertical="center"/>
    </xf>
    <xf numFmtId="164" fontId="63" fillId="13" borderId="105"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5" fillId="13" borderId="112" xfId="0" applyFont="1" applyFill="1" applyBorder="1" applyAlignment="1" applyProtection="1">
      <alignment horizontal="center" vertical="center"/>
    </xf>
    <xf numFmtId="164" fontId="55" fillId="13" borderId="113" xfId="0" applyNumberFormat="1" applyFont="1" applyFill="1" applyBorder="1" applyAlignment="1" applyProtection="1">
      <alignment horizontal="center" vertical="center"/>
    </xf>
    <xf numFmtId="164" fontId="65" fillId="13" borderId="113" xfId="0" applyNumberFormat="1" applyFont="1" applyFill="1" applyBorder="1" applyAlignment="1" applyProtection="1">
      <alignment vertical="center"/>
    </xf>
    <xf numFmtId="38" fontId="50" fillId="11" borderId="105" xfId="0" applyNumberFormat="1" applyFont="1" applyFill="1" applyBorder="1" applyAlignment="1">
      <alignment horizontal="right"/>
    </xf>
    <xf numFmtId="0" fontId="78" fillId="10" borderId="100"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0" xfId="0" applyNumberFormat="1" applyFont="1" applyBorder="1" applyAlignment="1" applyProtection="1">
      <alignment horizontal="center" vertical="center"/>
    </xf>
    <xf numFmtId="38" fontId="56" fillId="3" borderId="120"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0" fontId="63" fillId="0" borderId="26" xfId="0" applyFont="1" applyBorder="1" applyAlignment="1" applyProtection="1">
      <alignment horizontal="center" vertical="center"/>
    </xf>
    <xf numFmtId="0" fontId="63" fillId="0" borderId="123"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0"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0"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18"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0"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8"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19" xfId="0" applyNumberFormat="1" applyFont="1" applyFill="1" applyBorder="1" applyAlignment="1">
      <alignment horizontal="center" vertical="center"/>
    </xf>
    <xf numFmtId="49" fontId="63" fillId="0" borderId="120"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0"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8"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6" xfId="3" applyNumberFormat="1" applyFont="1" applyBorder="1" applyAlignment="1">
      <alignment horizontal="center" vertical="center"/>
    </xf>
    <xf numFmtId="0" fontId="58" fillId="0" borderId="126"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6"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5" xfId="0" applyFont="1" applyBorder="1"/>
    <xf numFmtId="0" fontId="56" fillId="0" borderId="13" xfId="0" applyFont="1" applyBorder="1"/>
    <xf numFmtId="0" fontId="56" fillId="0" borderId="118" xfId="0" applyFont="1" applyBorder="1" applyAlignment="1">
      <alignment horizontal="left" vertical="top"/>
    </xf>
    <xf numFmtId="164" fontId="114" fillId="0" borderId="121" xfId="0" applyNumberFormat="1" applyFont="1" applyBorder="1" applyAlignment="1">
      <alignment horizontal="right" vertical="top"/>
    </xf>
    <xf numFmtId="0" fontId="56" fillId="0" borderId="121" xfId="0" applyNumberFormat="1" applyFont="1" applyBorder="1" applyAlignment="1">
      <alignment horizontal="left" vertical="center" wrapText="1" indent="1"/>
    </xf>
    <xf numFmtId="0" fontId="86" fillId="0" borderId="120" xfId="0" applyFont="1" applyBorder="1" applyAlignment="1">
      <alignment horizontal="left" vertical="center" wrapText="1"/>
    </xf>
    <xf numFmtId="0" fontId="56" fillId="0" borderId="121" xfId="0" applyFont="1" applyBorder="1" applyAlignment="1">
      <alignment horizontal="left" vertical="top"/>
    </xf>
    <xf numFmtId="0" fontId="56" fillId="0" borderId="0" xfId="0" applyFont="1" applyBorder="1" applyAlignment="1">
      <alignment vertical="top"/>
    </xf>
    <xf numFmtId="0" fontId="116" fillId="0" borderId="121" xfId="0" applyNumberFormat="1" applyFont="1" applyBorder="1" applyAlignment="1">
      <alignment horizontal="left" vertical="center"/>
    </xf>
    <xf numFmtId="0" fontId="114" fillId="0" borderId="121" xfId="0" applyFont="1" applyBorder="1" applyAlignment="1">
      <alignment vertical="top"/>
    </xf>
    <xf numFmtId="0" fontId="114" fillId="0" borderId="121" xfId="0" applyFont="1" applyBorder="1" applyAlignment="1">
      <alignment horizontal="left" vertical="top"/>
    </xf>
    <xf numFmtId="0" fontId="56" fillId="0" borderId="118" xfId="0" applyFont="1" applyBorder="1" applyAlignment="1"/>
    <xf numFmtId="164" fontId="114" fillId="0" borderId="121" xfId="0" applyNumberFormat="1" applyFont="1" applyBorder="1" applyAlignment="1"/>
    <xf numFmtId="0" fontId="56" fillId="0" borderId="121" xfId="0" applyFont="1" applyBorder="1" applyAlignment="1"/>
    <xf numFmtId="0" fontId="63" fillId="0" borderId="119"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7"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8" xfId="0" applyFont="1" applyFill="1" applyBorder="1" applyAlignment="1"/>
    <xf numFmtId="0" fontId="55" fillId="0" borderId="121" xfId="0" applyFont="1" applyFill="1" applyBorder="1" applyAlignment="1">
      <alignment horizontal="left" vertical="top"/>
    </xf>
    <xf numFmtId="0" fontId="55" fillId="0" borderId="119"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19"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6" xfId="3" quotePrefix="1" applyNumberFormat="1" applyFont="1" applyBorder="1" applyAlignment="1" applyProtection="1">
      <alignment horizontal="left"/>
    </xf>
    <xf numFmtId="0" fontId="63" fillId="0" borderId="137" xfId="3" applyNumberFormat="1" applyFont="1" applyBorder="1" applyAlignment="1" applyProtection="1">
      <alignment horizontal="center"/>
    </xf>
    <xf numFmtId="0" fontId="63" fillId="0" borderId="137" xfId="3" applyNumberFormat="1" applyFont="1" applyBorder="1" applyProtection="1"/>
    <xf numFmtId="0" fontId="56" fillId="0" borderId="136" xfId="3" applyNumberFormat="1" applyFont="1" applyBorder="1" applyAlignment="1" applyProtection="1"/>
    <xf numFmtId="0" fontId="63" fillId="0" borderId="138" xfId="3" applyNumberFormat="1" applyFont="1" applyBorder="1" applyAlignment="1" applyProtection="1">
      <alignment horizontal="centerContinuous"/>
    </xf>
    <xf numFmtId="0" fontId="56" fillId="0" borderId="136" xfId="3" applyNumberFormat="1" applyFont="1" applyBorder="1" applyAlignment="1" applyProtection="1">
      <alignment horizontal="left"/>
    </xf>
    <xf numFmtId="0" fontId="63" fillId="0" borderId="138" xfId="3" applyNumberFormat="1" applyFont="1" applyBorder="1" applyProtection="1"/>
    <xf numFmtId="0" fontId="63" fillId="0" borderId="137"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6"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0"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7"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1"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39" xfId="3" applyFont="1" applyBorder="1" applyProtection="1"/>
    <xf numFmtId="0" fontId="56" fillId="0" borderId="140" xfId="3" applyFont="1" applyBorder="1" applyProtection="1">
      <protection locked="0"/>
    </xf>
    <xf numFmtId="0" fontId="56" fillId="0" borderId="139"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7" xfId="3" applyFont="1" applyBorder="1" applyProtection="1"/>
    <xf numFmtId="0" fontId="58" fillId="0" borderId="137" xfId="3" applyFont="1" applyBorder="1" applyProtection="1"/>
    <xf numFmtId="0" fontId="58" fillId="0" borderId="137"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7" xfId="3" quotePrefix="1" applyFont="1" applyBorder="1" applyAlignment="1" applyProtection="1">
      <alignment horizontal="left"/>
    </xf>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7" xfId="3" applyFont="1" applyBorder="1" applyProtection="1"/>
    <xf numFmtId="0" fontId="58" fillId="0" borderId="0" xfId="3" applyFont="1" applyBorder="1" applyAlignment="1" applyProtection="1">
      <alignment horizontal="left"/>
    </xf>
    <xf numFmtId="0" fontId="65" fillId="0" borderId="137"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7"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2"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4" xfId="3"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1"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2"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0" xfId="0" applyNumberFormat="1" applyFont="1" applyBorder="1" applyAlignment="1">
      <alignment horizontal="left" vertical="center" wrapText="1" indent="1"/>
    </xf>
    <xf numFmtId="3" fontId="63" fillId="0" borderId="118"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0" xfId="0" applyNumberFormat="1" applyFont="1" applyFill="1" applyBorder="1" applyAlignment="1" applyProtection="1">
      <alignment horizontal="right" vertical="center"/>
      <protection locked="0"/>
    </xf>
    <xf numFmtId="38" fontId="55" fillId="6" borderId="148" xfId="0" applyNumberFormat="1" applyFont="1" applyFill="1" applyBorder="1" applyAlignment="1">
      <alignment horizontal="center" vertical="center" wrapText="1"/>
    </xf>
    <xf numFmtId="38" fontId="55" fillId="6" borderId="148" xfId="0" applyNumberFormat="1" applyFont="1" applyFill="1" applyBorder="1" applyAlignment="1">
      <alignment horizontal="center" vertical="top" wrapText="1"/>
    </xf>
    <xf numFmtId="38" fontId="65" fillId="6" borderId="148"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3" xfId="17" applyFont="1" applyBorder="1" applyAlignment="1">
      <alignment horizontal="left" vertical="top"/>
    </xf>
    <xf numFmtId="0" fontId="126" fillId="0" borderId="134" xfId="17" applyFont="1" applyBorder="1" applyAlignment="1">
      <alignment horizontal="center" vertical="top"/>
    </xf>
    <xf numFmtId="0" fontId="126" fillId="0" borderId="135"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8" fillId="21" borderId="150" xfId="17" applyNumberFormat="1" applyFill="1" applyBorder="1" applyAlignment="1">
      <alignment horizontal="right" vertical="top"/>
    </xf>
    <xf numFmtId="38" fontId="8" fillId="21" borderId="151"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5" fillId="22" borderId="149" xfId="17" applyFont="1" applyFill="1" applyBorder="1" applyAlignment="1">
      <alignment horizontal="center" vertical="center" wrapText="1"/>
    </xf>
    <xf numFmtId="38" fontId="125" fillId="22" borderId="149" xfId="17" applyNumberFormat="1" applyFont="1" applyFill="1" applyBorder="1" applyAlignment="1">
      <alignment horizontal="center" vertical="center" wrapText="1"/>
    </xf>
    <xf numFmtId="3" fontId="56" fillId="22" borderId="124" xfId="0" applyNumberFormat="1" applyFont="1" applyFill="1" applyBorder="1" applyAlignment="1">
      <alignment horizontal="center"/>
    </xf>
    <xf numFmtId="3" fontId="56" fillId="22" borderId="124" xfId="0" applyNumberFormat="1" applyFont="1" applyFill="1" applyBorder="1" applyAlignment="1">
      <alignment horizontal="right"/>
    </xf>
    <xf numFmtId="3" fontId="56" fillId="22" borderId="125"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18"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0"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8" xfId="0" applyNumberFormat="1" applyFont="1" applyFill="1" applyBorder="1" applyAlignment="1">
      <alignment horizontal="left" vertical="center" wrapText="1"/>
    </xf>
    <xf numFmtId="49" fontId="65" fillId="17" borderId="120"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8"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0" xfId="0" applyFont="1" applyFill="1" applyBorder="1" applyAlignment="1">
      <alignment horizontal="left" vertical="center" wrapText="1"/>
    </xf>
    <xf numFmtId="3" fontId="65" fillId="17" borderId="120"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2" xfId="0" applyFont="1" applyBorder="1" applyAlignment="1">
      <alignment horizontal="centerContinuous" vertical="center"/>
    </xf>
    <xf numFmtId="0" fontId="56" fillId="0" borderId="153" xfId="0" applyFont="1" applyBorder="1" applyAlignment="1">
      <alignment horizontal="centerContinuous" vertical="center"/>
    </xf>
    <xf numFmtId="0" fontId="58" fillId="0" borderId="153" xfId="0" applyFont="1" applyBorder="1" applyAlignment="1">
      <alignment horizontal="centerContinuous" vertical="center"/>
    </xf>
    <xf numFmtId="0" fontId="65" fillId="0" borderId="101"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38" fontId="127" fillId="20" borderId="150" xfId="17" applyNumberFormat="1" applyFont="1" applyFill="1" applyBorder="1" applyAlignment="1" applyProtection="1">
      <alignment horizontal="right" vertical="top"/>
    </xf>
    <xf numFmtId="38" fontId="127" fillId="20" borderId="150" xfId="17" applyNumberFormat="1" applyFont="1" applyFill="1" applyBorder="1" applyAlignment="1" applyProtection="1">
      <alignment vertical="top"/>
    </xf>
    <xf numFmtId="0" fontId="8" fillId="0" borderId="150" xfId="17" applyBorder="1" applyAlignment="1" applyProtection="1">
      <alignment horizontal="left" vertical="top" wrapText="1"/>
      <protection locked="0"/>
    </xf>
    <xf numFmtId="0" fontId="8" fillId="0" borderId="150"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4" fillId="0" borderId="0" xfId="2" applyNumberFormat="1" applyAlignment="1" applyProtection="1">
      <alignment vertical="center"/>
    </xf>
    <xf numFmtId="49" fontId="8" fillId="0" borderId="150" xfId="17" applyNumberFormat="1" applyBorder="1" applyAlignment="1" applyProtection="1">
      <alignment horizontal="center" vertical="center"/>
      <protection locked="0"/>
    </xf>
    <xf numFmtId="49" fontId="6" fillId="0" borderId="150"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0"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0"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0" xfId="17" applyNumberFormat="1" applyFill="1" applyBorder="1" applyAlignment="1" applyProtection="1">
      <alignment vertical="top"/>
    </xf>
    <xf numFmtId="38" fontId="8" fillId="16" borderId="151" xfId="17" applyNumberFormat="1" applyFill="1" applyBorder="1" applyAlignment="1" applyProtection="1">
      <alignment horizontal="right" vertical="top"/>
    </xf>
    <xf numFmtId="38" fontId="8" fillId="16" borderId="151" xfId="17" applyNumberFormat="1" applyFill="1" applyBorder="1" applyAlignment="1" applyProtection="1">
      <alignment vertical="top"/>
    </xf>
    <xf numFmtId="0" fontId="8" fillId="16" borderId="151" xfId="17" applyFill="1" applyBorder="1" applyAlignment="1" applyProtection="1">
      <alignment horizontal="left" vertical="top" wrapText="1"/>
    </xf>
    <xf numFmtId="49" fontId="8" fillId="16" borderId="151" xfId="17" applyNumberFormat="1" applyFill="1" applyBorder="1" applyAlignment="1" applyProtection="1">
      <alignment vertical="top"/>
    </xf>
    <xf numFmtId="0" fontId="8" fillId="16" borderId="151" xfId="17" applyFill="1" applyBorder="1" applyAlignment="1" applyProtection="1">
      <alignment vertical="top"/>
    </xf>
    <xf numFmtId="0" fontId="56" fillId="16" borderId="119" xfId="0" applyFont="1" applyFill="1" applyBorder="1"/>
    <xf numFmtId="37" fontId="56" fillId="16" borderId="119" xfId="0" applyNumberFormat="1" applyFont="1" applyFill="1" applyBorder="1"/>
    <xf numFmtId="37" fontId="56" fillId="16" borderId="121"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0"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4"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0"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0"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2" fillId="0" borderId="155"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7"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2" xfId="18" applyFont="1" applyBorder="1" applyAlignment="1">
      <alignment horizontal="left" vertical="center" wrapText="1"/>
    </xf>
    <xf numFmtId="0" fontId="105" fillId="0" borderId="153"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5"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0" fontId="101"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3" xfId="18" applyFont="1" applyBorder="1" applyAlignment="1">
      <alignment vertical="top"/>
    </xf>
    <xf numFmtId="0" fontId="49" fillId="0" borderId="134" xfId="18" applyFont="1" applyBorder="1" applyAlignment="1">
      <alignment vertical="top"/>
    </xf>
    <xf numFmtId="0" fontId="50" fillId="15" borderId="72" xfId="18" applyFont="1" applyFill="1" applyBorder="1" applyAlignment="1">
      <alignment vertical="top"/>
    </xf>
    <xf numFmtId="0" fontId="49" fillId="0" borderId="133" xfId="18" applyFont="1" applyBorder="1" applyAlignment="1">
      <alignment vertical="top" wrapText="1"/>
    </xf>
    <xf numFmtId="0" fontId="49" fillId="0" borderId="134"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4"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1" xfId="18" applyFont="1" applyFill="1" applyBorder="1" applyAlignment="1">
      <alignment horizontal="center" vertical="center" wrapText="1"/>
    </xf>
    <xf numFmtId="0" fontId="105" fillId="22" borderId="156" xfId="18" applyFont="1" applyFill="1" applyBorder="1" applyAlignment="1">
      <alignment horizontal="center" vertical="center" wrapText="1"/>
    </xf>
    <xf numFmtId="0" fontId="105" fillId="17" borderId="132"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2"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0"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0"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4" fillId="16" borderId="150" xfId="17" applyNumberFormat="1" applyFont="1" applyFill="1" applyBorder="1" applyAlignment="1" applyProtection="1">
      <alignment horizontal="right" vertical="top"/>
    </xf>
    <xf numFmtId="38" fontId="4" fillId="16" borderId="151" xfId="17" applyNumberFormat="1" applyFont="1" applyFill="1" applyBorder="1" applyAlignment="1" applyProtection="1">
      <alignment horizontal="right" vertical="top"/>
    </xf>
    <xf numFmtId="0" fontId="58" fillId="0" borderId="73" xfId="3" applyNumberFormat="1" applyFont="1" applyBorder="1" applyAlignment="1" applyProtection="1">
      <alignment horizontal="center"/>
      <protection locked="0"/>
    </xf>
    <xf numFmtId="38" fontId="17" fillId="0" borderId="120" xfId="0" applyNumberFormat="1" applyFont="1" applyBorder="1" applyAlignment="1" applyProtection="1">
      <alignment horizontal="right"/>
      <protection locked="0"/>
    </xf>
    <xf numFmtId="38" fontId="17" fillId="0" borderId="2" xfId="0" applyNumberFormat="1" applyFont="1" applyBorder="1" applyAlignment="1" applyProtection="1">
      <alignment horizontal="right"/>
      <protection locked="0"/>
    </xf>
    <xf numFmtId="38" fontId="17" fillId="0" borderId="0" xfId="0" applyNumberFormat="1" applyFont="1" applyAlignment="1" applyProtection="1">
      <alignment horizontal="right"/>
      <protection locked="0"/>
    </xf>
    <xf numFmtId="38" fontId="17" fillId="3" borderId="18" xfId="0" applyNumberFormat="1" applyFont="1" applyFill="1" applyBorder="1" applyAlignment="1">
      <alignment horizontal="right"/>
    </xf>
    <xf numFmtId="38" fontId="17" fillId="6" borderId="3" xfId="0" applyNumberFormat="1" applyFont="1" applyFill="1" applyBorder="1" applyAlignment="1">
      <alignment horizontal="right"/>
    </xf>
    <xf numFmtId="38" fontId="56" fillId="6" borderId="2" xfId="0" applyNumberFormat="1" applyFont="1" applyFill="1" applyBorder="1" applyAlignment="1">
      <alignment horizontal="right"/>
    </xf>
    <xf numFmtId="38" fontId="56" fillId="3" borderId="18"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3" xfId="0" applyNumberFormat="1" applyFont="1" applyFill="1" applyBorder="1" applyAlignment="1">
      <alignment horizontal="right"/>
    </xf>
    <xf numFmtId="38" fontId="17" fillId="3" borderId="26" xfId="0" applyNumberFormat="1" applyFont="1" applyFill="1" applyBorder="1" applyAlignment="1">
      <alignment horizontal="right"/>
    </xf>
    <xf numFmtId="38" fontId="17" fillId="6" borderId="2" xfId="0" applyNumberFormat="1" applyFont="1" applyFill="1" applyBorder="1" applyAlignment="1">
      <alignment horizontal="right"/>
    </xf>
    <xf numFmtId="38" fontId="17" fillId="6" borderId="120" xfId="0" applyNumberFormat="1" applyFont="1" applyFill="1" applyBorder="1" applyAlignment="1">
      <alignment horizontal="right"/>
    </xf>
    <xf numFmtId="38" fontId="17" fillId="3" borderId="0" xfId="0" applyNumberFormat="1" applyFont="1" applyFill="1" applyAlignment="1">
      <alignment horizontal="right"/>
    </xf>
    <xf numFmtId="38" fontId="17" fillId="3" borderId="120" xfId="0" applyNumberFormat="1" applyFont="1" applyFill="1" applyBorder="1" applyAlignment="1">
      <alignment horizontal="right"/>
    </xf>
    <xf numFmtId="38" fontId="17" fillId="6" borderId="26" xfId="0" applyNumberFormat="1" applyFont="1" applyFill="1" applyBorder="1" applyAlignment="1">
      <alignment horizontal="right"/>
    </xf>
    <xf numFmtId="38" fontId="17" fillId="3" borderId="28" xfId="0" applyNumberFormat="1" applyFont="1" applyFill="1" applyBorder="1" applyAlignment="1">
      <alignment horizontal="right"/>
    </xf>
    <xf numFmtId="38" fontId="17" fillId="3" borderId="17" xfId="0" applyNumberFormat="1" applyFont="1" applyFill="1" applyBorder="1" applyAlignment="1">
      <alignment horizontal="right"/>
    </xf>
    <xf numFmtId="38" fontId="17" fillId="6" borderId="2" xfId="0" applyNumberFormat="1" applyFont="1" applyFill="1" applyBorder="1" applyAlignment="1">
      <alignment horizontal="right" vertical="center"/>
    </xf>
    <xf numFmtId="38" fontId="17" fillId="0" borderId="3" xfId="0" applyNumberFormat="1" applyFont="1" applyBorder="1" applyAlignment="1" applyProtection="1">
      <alignment horizontal="right"/>
      <protection locked="0"/>
    </xf>
    <xf numFmtId="38" fontId="17" fillId="0" borderId="117" xfId="0" applyNumberFormat="1" applyFont="1" applyBorder="1" applyAlignment="1" applyProtection="1">
      <alignment horizontal="right"/>
      <protection locked="0"/>
    </xf>
    <xf numFmtId="38" fontId="17" fillId="0" borderId="33" xfId="0" applyNumberFormat="1" applyFont="1" applyBorder="1" applyAlignment="1" applyProtection="1">
      <alignment horizontal="right"/>
      <protection locked="0"/>
    </xf>
    <xf numFmtId="38" fontId="17" fillId="0" borderId="27" xfId="0" applyNumberFormat="1" applyFont="1" applyBorder="1" applyAlignment="1" applyProtection="1">
      <alignment horizontal="right"/>
      <protection locked="0"/>
    </xf>
    <xf numFmtId="38" fontId="17" fillId="0" borderId="32" xfId="0" applyNumberFormat="1" applyFont="1" applyBorder="1" applyAlignment="1" applyProtection="1">
      <alignment horizontal="right"/>
      <protection locked="0"/>
    </xf>
    <xf numFmtId="38" fontId="17" fillId="0" borderId="26" xfId="0" applyNumberFormat="1" applyFont="1" applyBorder="1" applyAlignment="1" applyProtection="1">
      <alignment horizontal="right"/>
      <protection locked="0"/>
    </xf>
    <xf numFmtId="38" fontId="17" fillId="0" borderId="29" xfId="0" applyNumberFormat="1" applyFont="1" applyBorder="1" applyAlignment="1" applyProtection="1">
      <alignment horizontal="right"/>
      <protection locked="0"/>
    </xf>
    <xf numFmtId="38" fontId="17" fillId="0" borderId="2" xfId="6" applyNumberFormat="1" applyFont="1" applyBorder="1" applyProtection="1">
      <protection locked="0"/>
    </xf>
    <xf numFmtId="164" fontId="12" fillId="0" borderId="0" xfId="0" applyNumberFormat="1" applyFont="1"/>
    <xf numFmtId="0" fontId="138" fillId="0" borderId="0" xfId="0" applyFont="1" applyAlignment="1">
      <alignment horizontal="center"/>
    </xf>
    <xf numFmtId="0" fontId="58" fillId="0" borderId="0" xfId="0" applyFont="1" applyAlignment="1">
      <alignment horizontal="center"/>
    </xf>
    <xf numFmtId="181" fontId="58" fillId="0" borderId="0" xfId="1" applyNumberFormat="1" applyFont="1" applyAlignment="1">
      <alignment horizontal="center"/>
    </xf>
    <xf numFmtId="181" fontId="58" fillId="0" borderId="0" xfId="1" applyNumberFormat="1" applyFont="1"/>
    <xf numFmtId="181" fontId="58" fillId="0" borderId="0" xfId="1" applyNumberFormat="1" applyFont="1" applyAlignment="1">
      <alignment horizontal="right"/>
    </xf>
    <xf numFmtId="41" fontId="11" fillId="0" borderId="0" xfId="0" applyNumberFormat="1" applyFont="1"/>
    <xf numFmtId="0" fontId="11" fillId="0" borderId="149" xfId="0" applyFont="1" applyBorder="1"/>
    <xf numFmtId="0" fontId="11" fillId="0" borderId="149" xfId="0" applyFont="1" applyBorder="1" applyAlignment="1">
      <alignment horizontal="center"/>
    </xf>
    <xf numFmtId="41" fontId="11" fillId="0" borderId="149" xfId="0" applyNumberFormat="1" applyFont="1" applyBorder="1" applyAlignment="1">
      <alignment horizontal="center"/>
    </xf>
    <xf numFmtId="41" fontId="11" fillId="0" borderId="135" xfId="0" applyNumberFormat="1" applyFont="1" applyBorder="1" applyAlignment="1">
      <alignment horizontal="center"/>
    </xf>
    <xf numFmtId="0" fontId="11" fillId="0" borderId="158" xfId="0" applyFont="1" applyBorder="1"/>
    <xf numFmtId="0" fontId="11" fillId="0" borderId="158" xfId="0" applyFont="1" applyBorder="1" applyAlignment="1">
      <alignment horizontal="center"/>
    </xf>
    <xf numFmtId="41" fontId="11" fillId="0" borderId="92" xfId="0" applyNumberFormat="1" applyFont="1" applyBorder="1" applyAlignment="1">
      <alignment horizontal="center"/>
    </xf>
    <xf numFmtId="41" fontId="11" fillId="0" borderId="0" xfId="0" applyNumberFormat="1" applyFont="1" applyAlignment="1">
      <alignment horizontal="center"/>
    </xf>
    <xf numFmtId="41" fontId="11" fillId="0" borderId="158" xfId="0" applyNumberFormat="1" applyFont="1" applyBorder="1" applyAlignment="1">
      <alignment horizontal="center"/>
    </xf>
    <xf numFmtId="41" fontId="11" fillId="0" borderId="93" xfId="0" applyNumberFormat="1" applyFont="1" applyBorder="1" applyAlignment="1">
      <alignment horizontal="center"/>
    </xf>
    <xf numFmtId="0" fontId="3" fillId="0" borderId="0" xfId="19"/>
    <xf numFmtId="0" fontId="11" fillId="0" borderId="151" xfId="0" applyFont="1" applyBorder="1"/>
    <xf numFmtId="0" fontId="11" fillId="0" borderId="151" xfId="0" applyFont="1" applyBorder="1" applyAlignment="1">
      <alignment horizontal="center"/>
    </xf>
    <xf numFmtId="41" fontId="11" fillId="0" borderId="151" xfId="0" applyNumberFormat="1" applyFont="1" applyBorder="1" applyAlignment="1">
      <alignment horizontal="center"/>
    </xf>
    <xf numFmtId="41" fontId="11" fillId="0" borderId="74" xfId="0" applyNumberFormat="1" applyFont="1" applyBorder="1" applyAlignment="1">
      <alignment horizontal="center"/>
    </xf>
    <xf numFmtId="41" fontId="11" fillId="0" borderId="95" xfId="0" applyNumberFormat="1" applyFont="1" applyBorder="1" applyAlignment="1">
      <alignment horizontal="center"/>
    </xf>
    <xf numFmtId="182" fontId="3" fillId="0" borderId="0" xfId="19" applyNumberFormat="1"/>
    <xf numFmtId="183" fontId="0" fillId="0" borderId="0" xfId="0" applyNumberFormat="1"/>
    <xf numFmtId="0" fontId="3" fillId="0" borderId="0" xfId="20"/>
    <xf numFmtId="0" fontId="127" fillId="20" borderId="160" xfId="17" applyFont="1" applyFill="1" applyBorder="1" applyAlignment="1" applyProtection="1">
      <alignment horizontal="left" vertical="top" wrapText="1"/>
    </xf>
    <xf numFmtId="49" fontId="127" fillId="20" borderId="160" xfId="17" applyNumberFormat="1" applyFont="1" applyFill="1" applyBorder="1" applyAlignment="1" applyProtection="1">
      <alignment horizontal="center" vertical="top"/>
    </xf>
    <xf numFmtId="0" fontId="4" fillId="0" borderId="73" xfId="17" applyFont="1" applyBorder="1" applyAlignment="1" applyProtection="1">
      <alignment horizontal="left" vertical="top" wrapText="1"/>
      <protection locked="0"/>
    </xf>
    <xf numFmtId="0" fontId="8" fillId="0" borderId="73" xfId="17" applyBorder="1" applyAlignment="1" applyProtection="1">
      <alignment horizontal="left" vertical="top" wrapText="1"/>
      <protection locked="0"/>
    </xf>
    <xf numFmtId="0" fontId="127" fillId="20" borderId="160" xfId="17" applyFont="1" applyFill="1" applyBorder="1" applyAlignment="1" applyProtection="1">
      <alignment vertical="top"/>
    </xf>
    <xf numFmtId="0" fontId="4" fillId="0" borderId="73" xfId="17" applyFont="1" applyBorder="1" applyAlignment="1" applyProtection="1">
      <alignment vertical="top"/>
      <protection locked="0"/>
    </xf>
    <xf numFmtId="0" fontId="8" fillId="0" borderId="73" xfId="17" applyBorder="1" applyAlignment="1" applyProtection="1">
      <alignment vertical="top"/>
      <protection locked="0"/>
    </xf>
    <xf numFmtId="38" fontId="8" fillId="21" borderId="159" xfId="17" applyNumberFormat="1" applyFill="1" applyBorder="1" applyAlignment="1">
      <alignment horizontal="right" vertical="top"/>
    </xf>
    <xf numFmtId="38" fontId="127" fillId="20" borderId="160" xfId="17" applyNumberFormat="1" applyFont="1" applyFill="1" applyBorder="1" applyAlignment="1" applyProtection="1">
      <alignment horizontal="right" vertical="top"/>
    </xf>
    <xf numFmtId="38" fontId="8" fillId="0" borderId="73" xfId="17" applyNumberFormat="1" applyBorder="1" applyAlignment="1" applyProtection="1">
      <alignment horizontal="right" vertical="top"/>
      <protection locked="0"/>
    </xf>
    <xf numFmtId="49" fontId="143" fillId="0" borderId="101" xfId="18" applyNumberFormat="1" applyFont="1" applyBorder="1" applyAlignment="1" applyProtection="1">
      <alignment horizontal="center" vertical="center"/>
      <protection locked="0"/>
    </xf>
    <xf numFmtId="0" fontId="2" fillId="0" borderId="101" xfId="18" applyFont="1" applyBorder="1" applyProtection="1">
      <protection locked="0"/>
    </xf>
    <xf numFmtId="0" fontId="144" fillId="0" borderId="101" xfId="18" applyFont="1" applyBorder="1" applyAlignment="1" applyProtection="1">
      <alignment wrapText="1"/>
      <protection locked="0"/>
    </xf>
    <xf numFmtId="0" fontId="2" fillId="0" borderId="101" xfId="18" applyFont="1" applyBorder="1" applyAlignment="1" applyProtection="1">
      <alignment wrapText="1"/>
      <protection locked="0"/>
    </xf>
    <xf numFmtId="3" fontId="14" fillId="0" borderId="73" xfId="0" applyNumberFormat="1" applyFont="1" applyFill="1" applyBorder="1" applyAlignment="1" applyProtection="1">
      <alignment horizontal="left"/>
      <protection locked="0"/>
    </xf>
    <xf numFmtId="169" fontId="11" fillId="0" borderId="73" xfId="0" applyNumberFormat="1" applyFont="1" applyFill="1" applyBorder="1" applyAlignment="1" applyProtection="1">
      <alignment horizontal="center"/>
      <protection locked="0"/>
    </xf>
    <xf numFmtId="41" fontId="11" fillId="0" borderId="73" xfId="0" applyNumberFormat="1" applyFont="1" applyFill="1" applyBorder="1"/>
    <xf numFmtId="3" fontId="141" fillId="0" borderId="73" xfId="0" applyNumberFormat="1" applyFont="1" applyFill="1" applyBorder="1" applyAlignment="1" applyProtection="1">
      <alignment horizontal="left" indent="2"/>
      <protection locked="0"/>
    </xf>
    <xf numFmtId="3" fontId="142" fillId="0" borderId="73" xfId="0" applyNumberFormat="1" applyFont="1" applyFill="1" applyBorder="1" applyAlignment="1" applyProtection="1">
      <alignment horizontal="left" indent="1"/>
      <protection locked="0"/>
    </xf>
    <xf numFmtId="3" fontId="11" fillId="0" borderId="73" xfId="0" applyNumberFormat="1" applyFont="1" applyFill="1" applyBorder="1" applyAlignment="1" applyProtection="1">
      <alignment horizontal="left" indent="2"/>
      <protection locked="0"/>
    </xf>
    <xf numFmtId="169" fontId="0" fillId="0" borderId="73" xfId="0" applyNumberFormat="1" applyFill="1" applyBorder="1" applyAlignment="1" applyProtection="1">
      <alignment horizontal="center"/>
      <protection locked="0"/>
    </xf>
    <xf numFmtId="182" fontId="11" fillId="0" borderId="73" xfId="0" applyNumberFormat="1" applyFont="1" applyFill="1" applyBorder="1"/>
    <xf numFmtId="41" fontId="11" fillId="0" borderId="73" xfId="0" applyNumberFormat="1" applyFont="1" applyFill="1" applyBorder="1" applyAlignment="1">
      <alignment horizontal="center"/>
    </xf>
    <xf numFmtId="183" fontId="11" fillId="0" borderId="73" xfId="0" applyNumberFormat="1" applyFont="1" applyFill="1" applyBorder="1"/>
    <xf numFmtId="3" fontId="141" fillId="0" borderId="151" xfId="0" applyNumberFormat="1" applyFont="1" applyFill="1" applyBorder="1" applyAlignment="1" applyProtection="1">
      <alignment horizontal="left" indent="2"/>
      <protection locked="0"/>
    </xf>
    <xf numFmtId="169" fontId="11" fillId="0" borderId="143" xfId="0" applyNumberFormat="1" applyFont="1" applyFill="1" applyBorder="1" applyAlignment="1" applyProtection="1">
      <alignment horizontal="center"/>
      <protection locked="0"/>
    </xf>
    <xf numFmtId="1" fontId="11" fillId="0" borderId="143" xfId="0" applyNumberFormat="1" applyFont="1" applyFill="1" applyBorder="1" applyAlignment="1" applyProtection="1">
      <alignment horizontal="center"/>
      <protection locked="0"/>
    </xf>
    <xf numFmtId="3" fontId="11" fillId="0" borderId="73" xfId="0" applyNumberFormat="1" applyFont="1" applyFill="1" applyBorder="1" applyAlignment="1" applyProtection="1">
      <alignment horizontal="left" indent="3"/>
      <protection locked="0"/>
    </xf>
    <xf numFmtId="3" fontId="0" fillId="0" borderId="73" xfId="0" applyNumberFormat="1" applyFill="1" applyBorder="1" applyAlignment="1" applyProtection="1">
      <alignment horizontal="left" indent="3"/>
      <protection locked="0"/>
    </xf>
    <xf numFmtId="41" fontId="0" fillId="0" borderId="73" xfId="0" applyNumberFormat="1" applyFill="1" applyBorder="1" applyAlignment="1">
      <alignment horizontal="center"/>
    </xf>
    <xf numFmtId="3" fontId="0" fillId="0" borderId="151" xfId="0" applyNumberFormat="1" applyFill="1" applyBorder="1" applyAlignment="1" applyProtection="1">
      <alignment horizontal="left" indent="4"/>
      <protection locked="0"/>
    </xf>
    <xf numFmtId="3" fontId="11" fillId="0" borderId="151" xfId="0" applyNumberFormat="1" applyFont="1" applyFill="1" applyBorder="1" applyAlignment="1" applyProtection="1">
      <alignment horizontal="left" indent="2"/>
      <protection locked="0"/>
    </xf>
    <xf numFmtId="3" fontId="11" fillId="0" borderId="151" xfId="0" applyNumberFormat="1" applyFont="1" applyFill="1" applyBorder="1" applyAlignment="1" applyProtection="1">
      <alignment horizontal="left" indent="4"/>
      <protection locked="0"/>
    </xf>
    <xf numFmtId="3" fontId="11" fillId="0" borderId="73" xfId="0" applyNumberFormat="1" applyFont="1" applyFill="1" applyBorder="1" applyAlignment="1" applyProtection="1">
      <alignment horizontal="left" indent="1"/>
      <protection locked="0"/>
    </xf>
    <xf numFmtId="1" fontId="0" fillId="0" borderId="143" xfId="0" applyNumberFormat="1" applyFill="1" applyBorder="1" applyAlignment="1" applyProtection="1">
      <alignment horizontal="center"/>
      <protection locked="0"/>
    </xf>
    <xf numFmtId="169" fontId="0" fillId="0" borderId="143" xfId="0" applyNumberFormat="1" applyFill="1" applyBorder="1" applyAlignment="1" applyProtection="1">
      <alignment horizontal="center"/>
      <protection locked="0"/>
    </xf>
    <xf numFmtId="41" fontId="11" fillId="0" borderId="151" xfId="0" applyNumberFormat="1" applyFont="1" applyFill="1" applyBorder="1" applyAlignment="1" applyProtection="1">
      <alignment horizontal="center"/>
      <protection locked="0"/>
    </xf>
    <xf numFmtId="3" fontId="11" fillId="0" borderId="73" xfId="0" applyNumberFormat="1" applyFont="1" applyFill="1" applyBorder="1" applyAlignment="1" applyProtection="1">
      <alignment horizontal="left" indent="4"/>
      <protection locked="0"/>
    </xf>
    <xf numFmtId="3" fontId="14" fillId="0" borderId="151" xfId="0" applyNumberFormat="1" applyFont="1" applyFill="1" applyBorder="1" applyAlignment="1" applyProtection="1">
      <alignment horizontal="left"/>
      <protection locked="0"/>
    </xf>
    <xf numFmtId="169" fontId="11" fillId="0" borderId="95" xfId="0" applyNumberFormat="1" applyFont="1" applyFill="1" applyBorder="1" applyAlignment="1" applyProtection="1">
      <alignment horizontal="center"/>
      <protection locked="0"/>
    </xf>
    <xf numFmtId="41" fontId="11" fillId="0" borderId="151" xfId="0" applyNumberFormat="1" applyFont="1" applyFill="1" applyBorder="1"/>
    <xf numFmtId="1" fontId="11" fillId="0" borderId="95" xfId="0" applyNumberFormat="1" applyFont="1" applyFill="1" applyBorder="1" applyAlignment="1" applyProtection="1">
      <alignment horizontal="center"/>
      <protection locked="0"/>
    </xf>
    <xf numFmtId="3" fontId="11" fillId="0" borderId="151" xfId="0" applyNumberFormat="1" applyFont="1" applyFill="1" applyBorder="1" applyAlignment="1" applyProtection="1">
      <alignment horizontal="left" indent="1"/>
      <protection locked="0"/>
    </xf>
    <xf numFmtId="41" fontId="11" fillId="0" borderId="151" xfId="0" applyNumberFormat="1" applyFont="1" applyFill="1" applyBorder="1" applyAlignment="1">
      <alignment horizontal="center"/>
    </xf>
    <xf numFmtId="3" fontId="14" fillId="0" borderId="0" xfId="0" applyNumberFormat="1" applyFont="1" applyFill="1" applyAlignment="1" applyProtection="1">
      <alignment horizontal="left"/>
      <protection locked="0"/>
    </xf>
    <xf numFmtId="169" fontId="11" fillId="0" borderId="0" xfId="0" applyNumberFormat="1" applyFont="1" applyFill="1" applyAlignment="1" applyProtection="1">
      <alignment horizontal="center"/>
      <protection locked="0"/>
    </xf>
    <xf numFmtId="1" fontId="11" fillId="0" borderId="0" xfId="0" applyNumberFormat="1" applyFont="1" applyFill="1" applyAlignment="1" applyProtection="1">
      <alignment horizontal="center"/>
      <protection locked="0"/>
    </xf>
    <xf numFmtId="42" fontId="11" fillId="0" borderId="0" xfId="0" applyNumberFormat="1" applyFont="1" applyFill="1"/>
    <xf numFmtId="41" fontId="11" fillId="0" borderId="0" xfId="0" applyNumberFormat="1" applyFont="1" applyFill="1" applyAlignment="1">
      <alignment horizontal="center"/>
    </xf>
    <xf numFmtId="0" fontId="11" fillId="0" borderId="0" xfId="0" applyFont="1" applyFill="1"/>
    <xf numFmtId="41" fontId="11" fillId="0" borderId="0" xfId="0" applyNumberFormat="1" applyFont="1" applyFill="1"/>
    <xf numFmtId="0" fontId="11" fillId="0" borderId="0" xfId="0" applyFont="1" applyFill="1" applyAlignment="1">
      <alignment horizontal="right"/>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8"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0" fontId="14" fillId="0" borderId="119" xfId="12" applyNumberFormat="1" applyFont="1" applyBorder="1" applyAlignment="1" applyProtection="1">
      <alignment horizontal="left" vertical="center" indent="1"/>
      <protection locked="0"/>
    </xf>
    <xf numFmtId="180" fontId="14" fillId="0" borderId="118"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9" xfId="12" applyFont="1" applyBorder="1" applyAlignment="1" applyProtection="1">
      <alignment horizontal="left" vertical="center" indent="1"/>
      <protection locked="0"/>
    </xf>
    <xf numFmtId="0" fontId="14" fillId="0" borderId="119"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1" xfId="12" applyFont="1" applyBorder="1" applyAlignment="1" applyProtection="1">
      <alignment horizontal="center" vertical="center" wrapText="1"/>
    </xf>
    <xf numFmtId="0" fontId="135" fillId="0" borderId="119"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8"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5" fillId="0" borderId="127"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8"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19"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19"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3" xfId="0" applyFont="1" applyFill="1" applyBorder="1" applyAlignment="1">
      <alignment horizontal="center" vertical="center"/>
    </xf>
    <xf numFmtId="0" fontId="58" fillId="22" borderId="124"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19"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39" xfId="0" applyFont="1" applyFill="1" applyBorder="1" applyAlignment="1" applyProtection="1">
      <alignment horizontal="left" vertical="center" indent="1"/>
    </xf>
    <xf numFmtId="0" fontId="65" fillId="3" borderId="140" xfId="0" applyFont="1" applyFill="1" applyBorder="1" applyAlignment="1" applyProtection="1">
      <alignment horizontal="left" vertical="center"/>
    </xf>
    <xf numFmtId="0" fontId="65" fillId="3" borderId="141"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0" xfId="0" applyFont="1" applyBorder="1" applyAlignment="1" applyProtection="1">
      <alignment horizontal="left" vertical="center" wrapText="1" indent="1"/>
    </xf>
    <xf numFmtId="0" fontId="63" fillId="0" borderId="141"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39" xfId="0" applyFont="1" applyFill="1" applyBorder="1" applyAlignment="1" applyProtection="1">
      <alignment horizontal="left" vertical="center" indent="1"/>
    </xf>
    <xf numFmtId="0" fontId="66" fillId="22" borderId="140" xfId="0" applyFont="1" applyFill="1" applyBorder="1" applyAlignment="1" applyProtection="1">
      <alignment horizontal="left" vertical="center" indent="1"/>
    </xf>
    <xf numFmtId="0" fontId="66" fillId="22" borderId="141"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2" borderId="88"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3" xfId="17" applyFont="1" applyFill="1" applyBorder="1" applyAlignment="1">
      <alignment horizontal="center" vertical="center"/>
    </xf>
    <xf numFmtId="0" fontId="126" fillId="22" borderId="134" xfId="17" applyFont="1" applyFill="1" applyBorder="1" applyAlignment="1">
      <alignment horizontal="center" vertical="center"/>
    </xf>
    <xf numFmtId="0" fontId="126" fillId="22" borderId="135"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0"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4" xfId="18" applyFont="1" applyBorder="1" applyAlignment="1" applyProtection="1">
      <alignment horizontal="center" vertical="top" wrapText="1"/>
      <protection locked="0"/>
    </xf>
    <xf numFmtId="0" fontId="5" fillId="0" borderId="135"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4" xfId="18" applyFont="1" applyBorder="1" applyAlignment="1" applyProtection="1">
      <alignment horizontal="center" vertical="top" wrapText="1"/>
      <protection locked="0"/>
    </xf>
    <xf numFmtId="0" fontId="50" fillId="0" borderId="135"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26" xfId="3" applyFont="1" applyBorder="1" applyAlignment="1">
      <alignment horizontal="center" vertical="center" wrapText="1"/>
    </xf>
    <xf numFmtId="0" fontId="74" fillId="0" borderId="126" xfId="3" applyNumberFormat="1" applyFont="1" applyBorder="1" applyAlignment="1">
      <alignment horizontal="center"/>
    </xf>
    <xf numFmtId="0" fontId="58" fillId="0" borderId="127" xfId="3" applyNumberFormat="1" applyFont="1" applyBorder="1" applyAlignment="1" applyProtection="1">
      <alignment horizontal="center"/>
      <protection locked="0"/>
    </xf>
    <xf numFmtId="171" fontId="58" fillId="0" borderId="127" xfId="3" applyNumberFormat="1" applyFont="1" applyBorder="1" applyAlignment="1" applyProtection="1">
      <alignment horizontal="center"/>
      <protection locked="0"/>
    </xf>
    <xf numFmtId="0" fontId="58" fillId="0" borderId="127"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6"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7" xfId="3" applyFont="1" applyBorder="1" applyAlignment="1">
      <alignment horizontal="center" vertical="center" wrapText="1"/>
    </xf>
    <xf numFmtId="0" fontId="110" fillId="0" borderId="108"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18" xfId="0" applyFont="1" applyFill="1" applyBorder="1" applyAlignment="1">
      <alignment horizontal="center" vertical="center"/>
    </xf>
    <xf numFmtId="0" fontId="113" fillId="12" borderId="121" xfId="0" applyFont="1" applyFill="1" applyBorder="1" applyAlignment="1">
      <alignment horizontal="center" vertical="center"/>
    </xf>
    <xf numFmtId="0" fontId="113" fillId="12" borderId="146"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8" xfId="0" applyNumberFormat="1" applyFont="1" applyFill="1" applyBorder="1" applyAlignment="1">
      <alignment horizontal="center" vertical="top"/>
    </xf>
    <xf numFmtId="164" fontId="114" fillId="12" borderId="121" xfId="0" applyNumberFormat="1" applyFont="1" applyFill="1" applyBorder="1" applyAlignment="1">
      <alignment horizontal="center" vertical="top"/>
    </xf>
    <xf numFmtId="164" fontId="114" fillId="12" borderId="146"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1" xfId="0" applyNumberFormat="1" applyFont="1" applyBorder="1" applyAlignment="1">
      <alignment horizontal="left" vertical="center" wrapText="1"/>
    </xf>
    <xf numFmtId="0" fontId="58" fillId="0" borderId="119"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39" xfId="3" applyNumberFormat="1" applyFont="1" applyBorder="1" applyProtection="1"/>
    <xf numFmtId="0" fontId="56" fillId="0" borderId="140"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0" xfId="3" applyNumberFormat="1" applyFont="1" applyBorder="1" applyAlignment="1" applyProtection="1">
      <alignment horizontal="left" indent="1"/>
      <protection locked="0"/>
    </xf>
    <xf numFmtId="0" fontId="66" fillId="0" borderId="140" xfId="3"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39" fillId="0" borderId="0" xfId="0" applyFont="1" applyAlignment="1">
      <alignment horizontal="center"/>
    </xf>
    <xf numFmtId="0" fontId="140" fillId="0" borderId="0" xfId="0" applyFont="1" applyAlignment="1">
      <alignment horizontal="center"/>
    </xf>
    <xf numFmtId="41" fontId="11" fillId="0" borderId="133" xfId="0" applyNumberFormat="1" applyFont="1" applyBorder="1" applyAlignment="1">
      <alignment horizontal="center"/>
    </xf>
    <xf numFmtId="41" fontId="11" fillId="0" borderId="135" xfId="0" applyNumberFormat="1" applyFont="1" applyBorder="1" applyAlignment="1">
      <alignment horizontal="center"/>
    </xf>
    <xf numFmtId="41" fontId="11" fillId="0" borderId="134" xfId="0" applyNumberFormat="1" applyFont="1" applyBorder="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2" xfId="3" applyNumberFormat="1" applyFont="1" applyBorder="1" applyAlignment="1" applyProtection="1">
      <protection locked="0"/>
    </xf>
    <xf numFmtId="0" fontId="66" fillId="0" borderId="143"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2"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3"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2" xfId="3" applyNumberFormat="1" applyFont="1" applyBorder="1" applyProtection="1">
      <protection locked="0"/>
    </xf>
    <xf numFmtId="6" fontId="63" fillId="0" borderId="143"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2"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3"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2" xfId="3" applyFont="1" applyBorder="1" applyAlignment="1" applyProtection="1">
      <alignment horizontal="center"/>
    </xf>
    <xf numFmtId="0" fontId="63" fillId="0" borderId="72" xfId="3" applyFont="1" applyBorder="1" applyAlignment="1" applyProtection="1">
      <alignment horizontal="center"/>
    </xf>
    <xf numFmtId="0" fontId="63" fillId="0" borderId="143" xfId="3" applyFont="1" applyBorder="1" applyAlignment="1" applyProtection="1">
      <alignment horizontal="center"/>
    </xf>
    <xf numFmtId="38" fontId="63" fillId="0" borderId="142"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3"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7"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49" fontId="1" fillId="0" borderId="142" xfId="22" applyNumberFormat="1" applyBorder="1" applyAlignment="1" applyProtection="1">
      <alignment horizontal="center" vertical="top"/>
      <protection locked="0"/>
    </xf>
  </cellXfs>
  <cellStyles count="24">
    <cellStyle name="Comma" xfId="1" builtinId="3"/>
    <cellStyle name="Hyperlink" xfId="2" builtinId="8"/>
    <cellStyle name="Hyperlink 2" xfId="15" xr:uid="{00000000-0005-0000-0000-000002000000}"/>
    <cellStyle name="Hyperlink 3" xfId="23" xr:uid="{00000000-0005-0000-0000-000043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3 3" xfId="20" xr:uid="{0FC00628-556E-4450-8430-94AD62529AC6}"/>
    <cellStyle name="Normal 4" xfId="16" xr:uid="{00000000-0005-0000-0000-000008000000}"/>
    <cellStyle name="Normal 5" xfId="17" xr:uid="{00000000-0005-0000-0000-000009000000}"/>
    <cellStyle name="Normal 5 2" xfId="22" xr:uid="{AF23968D-7302-4B78-83A8-8A3595D35EB9}"/>
    <cellStyle name="Normal 6" xfId="19" xr:uid="{5005132B-B29A-4C26-9FD5-0B547DF0D9E0}"/>
    <cellStyle name="Normal 7" xfId="21" xr:uid="{00000000-0005-0000-0000-000044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168852</xdr:colOff>
          <xdr:row>2</xdr:row>
          <xdr:rowOff>109970</xdr:rowOff>
        </xdr:from>
        <xdr:to>
          <xdr:col>1</xdr:col>
          <xdr:colOff>1083252</xdr:colOff>
          <xdr:row>6</xdr:row>
          <xdr:rowOff>158461</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1295400</xdr:colOff>
          <xdr:row>2</xdr:row>
          <xdr:rowOff>109971</xdr:rowOff>
        </xdr:from>
        <xdr:to>
          <xdr:col>1</xdr:col>
          <xdr:colOff>2209800</xdr:colOff>
          <xdr:row>6</xdr:row>
          <xdr:rowOff>100446</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6" Type="http://schemas.openxmlformats.org/officeDocument/2006/relationships/printerSettings" Target="../printerSettings/printerSettings1.bin"/><Relationship Id="rId5" Type="http://schemas.openxmlformats.org/officeDocument/2006/relationships/hyperlink" Target="mailto:jchung@saltcreek48.org" TargetMode="External"/><Relationship Id="rId4" Type="http://schemas.openxmlformats.org/officeDocument/2006/relationships/hyperlink" Target="mailto:jchung@saltcreek48.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1966</v>
      </c>
      <c r="B1" s="45"/>
      <c r="C1" s="45"/>
      <c r="D1" s="46"/>
      <c r="I1" s="2016" t="s">
        <v>405</v>
      </c>
      <c r="J1" s="2017"/>
      <c r="K1" s="2017"/>
      <c r="L1" s="2017"/>
      <c r="M1" s="2017"/>
      <c r="N1" s="2017"/>
      <c r="O1" s="2017"/>
      <c r="P1" s="2017"/>
      <c r="Q1" s="2017"/>
      <c r="R1" s="2017"/>
      <c r="S1" s="2017"/>
    </row>
    <row r="2" spans="1:28" ht="12" customHeight="1" x14ac:dyDescent="0.2">
      <c r="A2" s="47" t="s">
        <v>1967</v>
      </c>
      <c r="D2" s="48"/>
      <c r="I2" s="2018" t="s">
        <v>979</v>
      </c>
      <c r="J2" s="2017"/>
      <c r="K2" s="2017"/>
      <c r="L2" s="2017"/>
      <c r="M2" s="2017"/>
      <c r="N2" s="2017"/>
      <c r="O2" s="2017"/>
      <c r="P2" s="2017"/>
      <c r="Q2" s="2017"/>
      <c r="R2" s="2017"/>
      <c r="S2" s="2017"/>
    </row>
    <row r="3" spans="1:28" ht="12" customHeight="1" x14ac:dyDescent="0.2">
      <c r="A3" s="155" t="s">
        <v>1919</v>
      </c>
      <c r="B3" s="156"/>
      <c r="C3" s="156"/>
      <c r="D3" s="157"/>
      <c r="I3" s="2018" t="s">
        <v>52</v>
      </c>
      <c r="J3" s="2017"/>
      <c r="K3" s="2017"/>
      <c r="L3" s="2017"/>
      <c r="M3" s="2017"/>
      <c r="N3" s="2017"/>
      <c r="O3" s="2017"/>
      <c r="P3" s="2017"/>
      <c r="Q3" s="2017"/>
      <c r="R3" s="2017"/>
      <c r="S3" s="2017"/>
    </row>
    <row r="4" spans="1:28" ht="12" customHeight="1" x14ac:dyDescent="0.2">
      <c r="A4" s="37"/>
      <c r="I4" s="2018" t="s">
        <v>524</v>
      </c>
      <c r="J4" s="2017"/>
      <c r="K4" s="2017"/>
      <c r="L4" s="2017"/>
      <c r="M4" s="2017"/>
      <c r="N4" s="2017"/>
      <c r="O4" s="2017"/>
      <c r="P4" s="2017"/>
      <c r="Q4" s="2017"/>
      <c r="R4" s="2017"/>
      <c r="S4" s="2017"/>
    </row>
    <row r="5" spans="1:28" ht="14.1" customHeight="1" x14ac:dyDescent="0.2">
      <c r="B5" s="104" t="s">
        <v>2038</v>
      </c>
      <c r="C5" s="26" t="s">
        <v>910</v>
      </c>
      <c r="D5" s="84"/>
      <c r="E5" s="84"/>
      <c r="H5" s="38"/>
      <c r="I5" s="2025" t="s">
        <v>680</v>
      </c>
      <c r="J5" s="1970"/>
      <c r="K5" s="1970"/>
      <c r="L5" s="1970"/>
      <c r="M5" s="1970"/>
      <c r="N5" s="1970"/>
      <c r="O5" s="1970"/>
      <c r="P5" s="1970"/>
      <c r="Q5" s="1970"/>
      <c r="R5" s="1970"/>
      <c r="S5" s="1970"/>
    </row>
    <row r="6" spans="1:28" ht="14.1" customHeight="1" x14ac:dyDescent="0.2">
      <c r="B6" s="104"/>
      <c r="C6" s="26" t="s">
        <v>911</v>
      </c>
      <c r="D6" s="84"/>
      <c r="E6" s="84"/>
      <c r="I6" s="2024" t="s">
        <v>883</v>
      </c>
      <c r="J6" s="1970"/>
      <c r="K6" s="1970"/>
      <c r="L6" s="1970"/>
      <c r="M6" s="1970"/>
      <c r="N6" s="1970"/>
      <c r="O6" s="1970"/>
      <c r="P6" s="1970"/>
      <c r="Q6" s="1970"/>
      <c r="R6" s="1970"/>
      <c r="S6" s="1970"/>
    </row>
    <row r="7" spans="1:28" ht="12.2" customHeight="1" x14ac:dyDescent="0.2">
      <c r="I7" s="2019">
        <v>43646</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674</v>
      </c>
      <c r="J9" s="2022"/>
      <c r="K9" s="2022"/>
      <c r="L9" s="2022"/>
      <c r="M9" s="2022"/>
      <c r="N9" s="2022"/>
      <c r="O9" s="2022"/>
      <c r="P9" s="2022"/>
      <c r="Q9" s="2022"/>
      <c r="R9" s="2022"/>
      <c r="S9" s="2023"/>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2038</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19022048002</v>
      </c>
      <c r="B13" s="1987"/>
      <c r="C13" s="1987"/>
      <c r="D13" s="1987"/>
      <c r="E13" s="1987"/>
      <c r="F13" s="1987"/>
      <c r="G13" s="1987"/>
      <c r="H13" s="1988"/>
      <c r="I13" s="31"/>
      <c r="J13" s="30"/>
      <c r="K13" s="28"/>
      <c r="L13" s="30"/>
      <c r="M13" s="30"/>
      <c r="N13" s="30"/>
      <c r="O13" s="30"/>
      <c r="P13" s="30"/>
      <c r="Q13" s="30"/>
      <c r="R13" s="30"/>
      <c r="S13" s="30"/>
      <c r="T13" s="1991" t="s">
        <v>2039</v>
      </c>
      <c r="U13" s="1992"/>
      <c r="V13" s="1992"/>
      <c r="W13" s="1992"/>
      <c r="X13" s="1992"/>
      <c r="Y13" s="1993"/>
      <c r="Z13" s="1993"/>
      <c r="AA13" s="1994"/>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1984" t="s">
        <v>2069</v>
      </c>
      <c r="B15" s="1989"/>
      <c r="C15" s="1989"/>
      <c r="D15" s="1989"/>
      <c r="E15" s="1989"/>
      <c r="F15" s="1989"/>
      <c r="G15" s="1989"/>
      <c r="H15" s="1990"/>
      <c r="T15" s="1952" t="s">
        <v>2051</v>
      </c>
      <c r="U15" s="1953"/>
      <c r="V15" s="1953"/>
      <c r="W15" s="1953"/>
      <c r="X15" s="1953"/>
      <c r="Y15" s="1995"/>
      <c r="Z15" s="1995"/>
      <c r="AA15" s="199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2141</v>
      </c>
      <c r="B17" s="2014"/>
      <c r="C17" s="2014"/>
      <c r="D17" s="2014"/>
      <c r="E17" s="2014"/>
      <c r="F17" s="2014"/>
      <c r="G17" s="2014"/>
      <c r="H17" s="2015"/>
      <c r="T17" s="2001" t="s">
        <v>2040</v>
      </c>
      <c r="U17" s="2002"/>
      <c r="V17" s="2002"/>
      <c r="W17" s="2002"/>
      <c r="X17" s="2002"/>
      <c r="Y17" s="2002"/>
      <c r="Z17" s="2002"/>
      <c r="AA17" s="2003"/>
    </row>
    <row r="18" spans="1:27" ht="13.5" customHeight="1" x14ac:dyDescent="0.2">
      <c r="A18" s="85" t="s">
        <v>530</v>
      </c>
      <c r="B18" s="76"/>
      <c r="C18" s="72"/>
      <c r="D18" s="76"/>
      <c r="E18" s="76"/>
      <c r="F18" s="76"/>
      <c r="G18" s="76"/>
      <c r="H18" s="56"/>
      <c r="I18" s="2011" t="s">
        <v>676</v>
      </c>
      <c r="J18" s="2012"/>
      <c r="K18" s="2012"/>
      <c r="L18" s="2012"/>
      <c r="M18" s="2012"/>
      <c r="N18" s="2012"/>
      <c r="O18" s="2012"/>
      <c r="P18" s="2012"/>
      <c r="Q18" s="2012"/>
      <c r="R18" s="2012"/>
      <c r="S18" s="2013"/>
      <c r="T18" s="85" t="s">
        <v>711</v>
      </c>
      <c r="U18" s="51"/>
      <c r="V18" s="72"/>
      <c r="W18" s="50"/>
      <c r="X18" s="85" t="s">
        <v>266</v>
      </c>
      <c r="Y18" s="81"/>
      <c r="Z18" s="159" t="s">
        <v>677</v>
      </c>
      <c r="AA18" s="46"/>
    </row>
    <row r="19" spans="1:27" ht="13.5" customHeight="1" x14ac:dyDescent="0.2">
      <c r="A19" s="1984" t="s">
        <v>2070</v>
      </c>
      <c r="B19" s="1985"/>
      <c r="C19" s="1985"/>
      <c r="D19" s="1985"/>
      <c r="E19" s="1985"/>
      <c r="F19" s="1985"/>
      <c r="G19" s="1985"/>
      <c r="H19" s="1983"/>
      <c r="I19" s="30"/>
      <c r="J19" s="99"/>
      <c r="K19" s="40"/>
      <c r="L19" s="38"/>
      <c r="M19" s="112" t="s">
        <v>315</v>
      </c>
      <c r="P19" s="27"/>
      <c r="Q19" s="27"/>
      <c r="R19" s="27"/>
      <c r="S19" s="31"/>
      <c r="T19" s="1984" t="s">
        <v>2041</v>
      </c>
      <c r="U19" s="1982"/>
      <c r="V19" s="1982"/>
      <c r="W19" s="1983"/>
      <c r="X19" s="1999" t="s">
        <v>2042</v>
      </c>
      <c r="Y19" s="2000"/>
      <c r="Z19" s="1997">
        <v>60435</v>
      </c>
      <c r="AA19" s="199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2071</v>
      </c>
      <c r="B21" s="1982"/>
      <c r="C21" s="1982"/>
      <c r="D21" s="1982"/>
      <c r="E21" s="1982"/>
      <c r="F21" s="1982"/>
      <c r="G21" s="1982"/>
      <c r="H21" s="1983"/>
      <c r="I21" s="2007" t="s">
        <v>678</v>
      </c>
      <c r="J21" s="1970"/>
      <c r="K21" s="1970"/>
      <c r="L21" s="1970"/>
      <c r="M21" s="1970"/>
      <c r="N21" s="1970"/>
      <c r="O21" s="1970"/>
      <c r="P21" s="1970"/>
      <c r="Q21" s="1970"/>
      <c r="R21" s="1970"/>
      <c r="S21" s="1971"/>
      <c r="T21" s="1949" t="s">
        <v>2043</v>
      </c>
      <c r="U21" s="1950"/>
      <c r="V21" s="1950"/>
      <c r="W21" s="1950"/>
      <c r="X21" s="1963" t="s">
        <v>2044</v>
      </c>
      <c r="Y21" s="1964"/>
      <c r="Z21" s="1964"/>
      <c r="AA21" s="1965"/>
    </row>
    <row r="22" spans="1:27" ht="13.5" customHeight="1" x14ac:dyDescent="0.2">
      <c r="A22" s="87" t="s">
        <v>531</v>
      </c>
      <c r="B22" s="59"/>
      <c r="C22" s="59"/>
      <c r="D22" s="59"/>
      <c r="E22" s="59"/>
      <c r="F22" s="59"/>
      <c r="G22" s="59"/>
      <c r="H22" s="60"/>
      <c r="I22" s="2008" t="s">
        <v>1427</v>
      </c>
      <c r="J22" s="2009"/>
      <c r="K22" s="2009"/>
      <c r="L22" s="2009"/>
      <c r="M22" s="2009"/>
      <c r="N22" s="2009"/>
      <c r="O22" s="2009"/>
      <c r="P22" s="2009"/>
      <c r="Q22" s="2009"/>
      <c r="R22" s="2009"/>
      <c r="S22" s="2010"/>
      <c r="T22" s="85" t="s">
        <v>1514</v>
      </c>
      <c r="U22" s="51"/>
      <c r="V22" s="72"/>
      <c r="W22" s="51"/>
      <c r="X22" s="160" t="s">
        <v>1316</v>
      </c>
      <c r="Z22" s="45"/>
      <c r="AA22" s="46"/>
    </row>
    <row r="23" spans="1:27" ht="13.5" customHeight="1" x14ac:dyDescent="0.2">
      <c r="A23" s="2004" t="s">
        <v>2072</v>
      </c>
      <c r="B23" s="2005"/>
      <c r="C23" s="2005"/>
      <c r="D23" s="2005"/>
      <c r="E23" s="2005"/>
      <c r="F23" s="2005"/>
      <c r="G23" s="2005"/>
      <c r="H23" s="2006"/>
      <c r="T23" s="1944" t="s">
        <v>2045</v>
      </c>
      <c r="U23" s="1945"/>
      <c r="V23" s="1945"/>
      <c r="W23" s="1945"/>
      <c r="X23" s="1960">
        <v>44530</v>
      </c>
      <c r="Y23" s="1961"/>
      <c r="Z23" s="1961"/>
      <c r="AA23" s="1962"/>
    </row>
    <row r="24" spans="1:27" ht="14.1" customHeight="1" x14ac:dyDescent="0.2">
      <c r="A24" s="88" t="s">
        <v>677</v>
      </c>
      <c r="B24" s="49"/>
      <c r="C24" s="49"/>
      <c r="D24" s="49"/>
      <c r="E24" s="49"/>
      <c r="F24" s="49"/>
      <c r="G24" s="49"/>
      <c r="H24" s="61"/>
      <c r="J24" s="2046">
        <f>IF(B5="x",IF(AUDITCHECK!D29="AFR form Incomplete.","",IF(AUDITCHECK!D29="Deficit reduction plan is required.","School District must complete a deficit reduction plan in the 2019-2020 Budget",)),"")</f>
        <v>0</v>
      </c>
      <c r="K24" s="2046"/>
      <c r="L24" s="2046"/>
      <c r="M24" s="2046"/>
      <c r="N24" s="2046"/>
      <c r="O24" s="2046"/>
      <c r="P24" s="2046"/>
      <c r="Q24" s="2046"/>
      <c r="R24" s="2046"/>
      <c r="S24" s="2047"/>
      <c r="T24" s="105" t="s">
        <v>531</v>
      </c>
      <c r="U24" s="106"/>
      <c r="V24" s="106"/>
      <c r="W24" s="106"/>
      <c r="X24" s="107"/>
      <c r="Y24" s="107"/>
      <c r="Z24" s="107"/>
      <c r="AA24" s="108"/>
    </row>
    <row r="25" spans="1:27" ht="14.1" customHeight="1" x14ac:dyDescent="0.2">
      <c r="A25" s="1981">
        <v>60181</v>
      </c>
      <c r="B25" s="1982"/>
      <c r="C25" s="1982"/>
      <c r="D25" s="1982"/>
      <c r="E25" s="1982"/>
      <c r="F25" s="1982"/>
      <c r="G25" s="1982"/>
      <c r="H25" s="1983"/>
      <c r="I25" s="113"/>
      <c r="J25" s="2048"/>
      <c r="K25" s="2048"/>
      <c r="L25" s="2048"/>
      <c r="M25" s="2048"/>
      <c r="N25" s="2048"/>
      <c r="O25" s="2048"/>
      <c r="P25" s="2048"/>
      <c r="Q25" s="2048"/>
      <c r="R25" s="2048"/>
      <c r="S25" s="2049"/>
      <c r="T25" s="1941" t="s">
        <v>2046</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9" t="s">
        <v>1509</v>
      </c>
      <c r="J27" s="2012"/>
      <c r="K27" s="2012"/>
      <c r="L27" s="2012"/>
      <c r="M27" s="2012"/>
      <c r="N27" s="2012"/>
      <c r="O27" s="2012"/>
      <c r="P27" s="2012"/>
      <c r="Q27" s="2012"/>
      <c r="R27" s="2012"/>
      <c r="S27" s="201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2038</v>
      </c>
      <c r="C29" s="124" t="s">
        <v>820</v>
      </c>
      <c r="D29" s="114"/>
      <c r="E29" s="136"/>
      <c r="F29" s="141" t="s">
        <v>1314</v>
      </c>
      <c r="G29" s="114"/>
      <c r="I29" s="54"/>
      <c r="J29" s="102"/>
      <c r="K29" s="28" t="s">
        <v>576</v>
      </c>
      <c r="L29" s="148" t="s">
        <v>2038</v>
      </c>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2038</v>
      </c>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2038</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2038</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5"/>
      <c r="Q35" s="1982"/>
      <c r="R35" s="198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2073</v>
      </c>
      <c r="B38" s="2014"/>
      <c r="C38" s="2014"/>
      <c r="D38" s="2014"/>
      <c r="E38" s="2014"/>
      <c r="F38" s="1982"/>
      <c r="G38" s="1982"/>
      <c r="H38" s="1983"/>
      <c r="I38" s="2033"/>
      <c r="J38" s="1953"/>
      <c r="K38" s="1953"/>
      <c r="L38" s="1953"/>
      <c r="M38" s="1953"/>
      <c r="N38" s="1953"/>
      <c r="O38" s="1953"/>
      <c r="P38" s="1954"/>
      <c r="Q38" s="1954"/>
      <c r="R38" s="1954"/>
      <c r="S38" s="1955"/>
      <c r="T38" s="1952"/>
      <c r="U38" s="1953"/>
      <c r="V38" s="1953"/>
      <c r="W38" s="1953"/>
      <c r="X38" s="1954"/>
      <c r="Y38" s="1954"/>
      <c r="Z38" s="1954"/>
      <c r="AA38" s="1955"/>
    </row>
    <row r="39" spans="1:27" ht="12" customHeight="1" x14ac:dyDescent="0.2">
      <c r="A39" s="2037" t="s">
        <v>531</v>
      </c>
      <c r="B39" s="2038"/>
      <c r="C39" s="72"/>
      <c r="D39" s="69"/>
      <c r="E39" s="69"/>
      <c r="F39" s="79"/>
      <c r="G39" s="69"/>
      <c r="H39" s="56"/>
      <c r="I39" s="2037" t="s">
        <v>531</v>
      </c>
      <c r="J39" s="2038"/>
      <c r="K39" s="2038"/>
      <c r="L39" s="2038"/>
      <c r="M39" s="2038"/>
      <c r="N39" s="67"/>
      <c r="O39" s="72"/>
      <c r="P39" s="72"/>
      <c r="Q39" s="78"/>
      <c r="R39" s="72"/>
      <c r="S39" s="56"/>
      <c r="T39" s="72" t="s">
        <v>531</v>
      </c>
      <c r="U39" s="51"/>
      <c r="V39" s="72"/>
      <c r="W39" s="50"/>
      <c r="X39" s="78"/>
      <c r="Y39" s="45"/>
      <c r="Z39" s="45"/>
      <c r="AA39" s="46"/>
    </row>
    <row r="40" spans="1:27" ht="13.5" customHeight="1" x14ac:dyDescent="0.2">
      <c r="A40" s="2040" t="s">
        <v>2072</v>
      </c>
      <c r="B40" s="2041"/>
      <c r="C40" s="2042"/>
      <c r="D40" s="2042"/>
      <c r="E40" s="2042"/>
      <c r="F40" s="2043"/>
      <c r="G40" s="2043"/>
      <c r="H40" s="2044"/>
      <c r="I40" s="1956"/>
      <c r="J40" s="1958"/>
      <c r="K40" s="1958"/>
      <c r="L40" s="1958"/>
      <c r="M40" s="1958"/>
      <c r="N40" s="1958"/>
      <c r="O40" s="1958"/>
      <c r="P40" s="1958"/>
      <c r="Q40" s="1958"/>
      <c r="R40" s="1958"/>
      <c r="S40" s="1959"/>
      <c r="T40" s="1956"/>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0" t="s">
        <v>2074</v>
      </c>
      <c r="B42" s="2031"/>
      <c r="C42" s="2032"/>
      <c r="D42" s="2045" t="s">
        <v>2075</v>
      </c>
      <c r="E42" s="2031"/>
      <c r="F42" s="2031"/>
      <c r="G42" s="2031"/>
      <c r="H42" s="2032"/>
      <c r="I42" s="1951"/>
      <c r="J42" s="1947"/>
      <c r="K42" s="1947"/>
      <c r="L42" s="1947"/>
      <c r="M42" s="1947"/>
      <c r="N42" s="1947"/>
      <c r="O42" s="1948"/>
      <c r="P42" s="1946"/>
      <c r="Q42" s="1947"/>
      <c r="R42" s="1947"/>
      <c r="S42" s="1948"/>
      <c r="T42" s="1951"/>
      <c r="U42" s="1947"/>
      <c r="V42" s="1947"/>
      <c r="W42" s="1948"/>
      <c r="X42" s="1946"/>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4"/>
      <c r="B44" s="2035"/>
      <c r="C44" s="2035"/>
      <c r="D44" s="2035"/>
      <c r="E44" s="2035"/>
      <c r="F44" s="2035"/>
      <c r="G44" s="2035"/>
      <c r="H44" s="2036"/>
      <c r="I44" s="2026"/>
      <c r="J44" s="2028"/>
      <c r="K44" s="2028"/>
      <c r="L44" s="2028"/>
      <c r="M44" s="2028"/>
      <c r="N44" s="2028"/>
      <c r="O44" s="2028"/>
      <c r="P44" s="2028"/>
      <c r="Q44" s="2028"/>
      <c r="R44" s="2028"/>
      <c r="S44" s="2029"/>
      <c r="T44" s="2026"/>
      <c r="U44" s="2027"/>
      <c r="V44" s="2027"/>
      <c r="W44" s="2027"/>
      <c r="X44" s="2027"/>
      <c r="Y44" s="2027"/>
      <c r="Z44" s="2028"/>
      <c r="AA44" s="2029"/>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1918</v>
      </c>
      <c r="D46" s="41"/>
      <c r="E46" s="41"/>
      <c r="F46" s="41"/>
      <c r="G46" s="41"/>
      <c r="Q46" s="29" t="s">
        <v>1418</v>
      </c>
      <c r="R46" s="41"/>
      <c r="S46" s="41"/>
      <c r="T46" s="41"/>
      <c r="U46" s="41"/>
      <c r="V46" s="41"/>
      <c r="W46" s="41"/>
      <c r="X46" s="41"/>
      <c r="Y46" s="41"/>
      <c r="Z46" s="41"/>
      <c r="AA46" s="41"/>
    </row>
    <row r="47" spans="1:27" x14ac:dyDescent="0.2">
      <c r="A47" s="137"/>
      <c r="Q47" s="41" t="s">
        <v>1900</v>
      </c>
      <c r="R47" s="41"/>
      <c r="S47" s="41"/>
      <c r="T47" s="41"/>
      <c r="U47" s="41"/>
      <c r="V47" s="41"/>
      <c r="W47" s="41"/>
      <c r="X47" s="41"/>
      <c r="Y47" s="41"/>
      <c r="Z47" s="41"/>
      <c r="AA47" s="41"/>
    </row>
    <row r="48" spans="1:27" x14ac:dyDescent="0.2">
      <c r="Q48" s="41" t="s">
        <v>1901</v>
      </c>
      <c r="R48" s="41"/>
      <c r="S48" s="41"/>
      <c r="T48" s="41"/>
      <c r="U48" s="41"/>
      <c r="V48" s="41"/>
      <c r="W48" s="41"/>
      <c r="X48" s="41"/>
      <c r="Y48" s="41"/>
      <c r="Z48" s="41"/>
      <c r="AA48" s="41"/>
    </row>
  </sheetData>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23" r:id="rId4" xr:uid="{6DAD372D-66A1-4E72-9E6A-A149AB9890BC}"/>
    <hyperlink ref="A40" r:id="rId5" xr:uid="{FDE18657-50AE-4E4F-8F1E-21B0AC4CB2DE}"/>
  </hyperlinks>
  <pageMargins left="0.4" right="0.2" top="0.75" bottom="0.52" header="0.19" footer="0.17"/>
  <pageSetup scale="75" orientation="landscape" r:id="rId6"/>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topLeftCell="A67" zoomScale="110" zoomScaleNormal="110" workbookViewId="0">
      <selection activeCell="D36" sqref="D3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1833</v>
      </c>
      <c r="C4" s="162" t="s">
        <v>1169</v>
      </c>
      <c r="D4" s="169" t="s">
        <v>10</v>
      </c>
      <c r="E4" s="170" t="s">
        <v>22</v>
      </c>
    </row>
    <row r="5" spans="1:5" x14ac:dyDescent="0.2">
      <c r="A5" s="168" t="s">
        <v>1835</v>
      </c>
      <c r="C5" s="162" t="s">
        <v>1169</v>
      </c>
      <c r="D5" s="169" t="s">
        <v>10</v>
      </c>
      <c r="E5" s="170" t="s">
        <v>22</v>
      </c>
    </row>
    <row r="6" spans="1:5" x14ac:dyDescent="0.2">
      <c r="A6" s="168" t="s">
        <v>1834</v>
      </c>
      <c r="C6" s="162" t="s">
        <v>1169</v>
      </c>
      <c r="D6" s="167" t="s">
        <v>11</v>
      </c>
      <c r="E6" s="170" t="s">
        <v>941</v>
      </c>
    </row>
    <row r="7" spans="1:5" x14ac:dyDescent="0.2">
      <c r="A7" s="168" t="s">
        <v>1836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1837</v>
      </c>
      <c r="C11" s="162" t="s">
        <v>1169</v>
      </c>
      <c r="D11" s="169" t="s">
        <v>14</v>
      </c>
      <c r="E11" s="170" t="s">
        <v>1156</v>
      </c>
    </row>
    <row r="12" spans="1:5" x14ac:dyDescent="0.2">
      <c r="B12" s="169" t="s">
        <v>1838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1839</v>
      </c>
      <c r="C15" s="162" t="s">
        <v>1169</v>
      </c>
      <c r="D15" s="169" t="s">
        <v>17</v>
      </c>
      <c r="E15" s="170" t="s">
        <v>636</v>
      </c>
    </row>
    <row r="16" spans="1:5" x14ac:dyDescent="0.2">
      <c r="A16" s="172"/>
      <c r="B16" s="162" t="s">
        <v>1840</v>
      </c>
      <c r="C16" s="162" t="s">
        <v>1169</v>
      </c>
      <c r="D16" s="169" t="s">
        <v>681</v>
      </c>
      <c r="E16" s="170" t="s">
        <v>1040</v>
      </c>
    </row>
    <row r="17" spans="1:5" x14ac:dyDescent="0.2">
      <c r="B17" s="167" t="s">
        <v>988</v>
      </c>
      <c r="C17" s="162" t="s">
        <v>1169</v>
      </c>
    </row>
    <row r="18" spans="1:5" x14ac:dyDescent="0.2">
      <c r="B18" s="167" t="s">
        <v>1846</v>
      </c>
      <c r="D18" s="169" t="s">
        <v>18</v>
      </c>
      <c r="E18" s="170" t="s">
        <v>1041</v>
      </c>
    </row>
    <row r="19" spans="1:5" x14ac:dyDescent="0.2">
      <c r="A19" s="168" t="s">
        <v>1099</v>
      </c>
      <c r="C19" s="162" t="s">
        <v>1169</v>
      </c>
      <c r="D19" s="169"/>
      <c r="E19" s="171"/>
    </row>
    <row r="20" spans="1:5" x14ac:dyDescent="0.2">
      <c r="B20" s="167" t="s">
        <v>1841</v>
      </c>
      <c r="C20" s="162" t="s">
        <v>1169</v>
      </c>
      <c r="D20" s="169" t="s">
        <v>19</v>
      </c>
      <c r="E20" s="170" t="s">
        <v>51</v>
      </c>
    </row>
    <row r="21" spans="1:5" x14ac:dyDescent="0.2">
      <c r="B21" s="167" t="s">
        <v>1842</v>
      </c>
      <c r="C21" s="162" t="s">
        <v>1169</v>
      </c>
      <c r="D21" s="169" t="s">
        <v>20</v>
      </c>
      <c r="E21" s="170" t="s">
        <v>1604</v>
      </c>
    </row>
    <row r="22" spans="1:5" x14ac:dyDescent="0.2">
      <c r="A22" s="168"/>
      <c r="B22" s="162" t="s">
        <v>1830</v>
      </c>
      <c r="C22" s="162" t="s">
        <v>1169</v>
      </c>
      <c r="D22" s="167" t="s">
        <v>1832</v>
      </c>
      <c r="E22" s="1740" t="s">
        <v>1605</v>
      </c>
    </row>
    <row r="23" spans="1:5" x14ac:dyDescent="0.2">
      <c r="A23" s="168"/>
      <c r="B23" s="162" t="s">
        <v>1831</v>
      </c>
      <c r="D23" s="167" t="s">
        <v>637</v>
      </c>
      <c r="E23" s="1740" t="s">
        <v>959</v>
      </c>
    </row>
    <row r="24" spans="1:5" x14ac:dyDescent="0.2">
      <c r="A24" s="168" t="s">
        <v>1603</v>
      </c>
      <c r="C24" s="162" t="s">
        <v>1169</v>
      </c>
      <c r="D24" s="167" t="s">
        <v>1391</v>
      </c>
      <c r="E24" s="170" t="s">
        <v>960</v>
      </c>
    </row>
    <row r="25" spans="1:5" x14ac:dyDescent="0.2">
      <c r="A25" s="168" t="s">
        <v>1843</v>
      </c>
      <c r="C25" s="162" t="s">
        <v>1169</v>
      </c>
      <c r="D25" s="169" t="s">
        <v>21</v>
      </c>
      <c r="E25" s="170" t="s">
        <v>1042</v>
      </c>
    </row>
    <row r="26" spans="1:5" x14ac:dyDescent="0.2">
      <c r="A26" s="168" t="s">
        <v>1844</v>
      </c>
      <c r="C26" s="162" t="s">
        <v>1169</v>
      </c>
      <c r="D26" s="169" t="s">
        <v>563</v>
      </c>
      <c r="E26" s="170" t="s">
        <v>1043</v>
      </c>
    </row>
    <row r="27" spans="1:5" x14ac:dyDescent="0.2">
      <c r="A27" s="168" t="s">
        <v>1845</v>
      </c>
      <c r="C27" s="162" t="s">
        <v>1169</v>
      </c>
      <c r="D27" s="169" t="s">
        <v>557</v>
      </c>
      <c r="E27" s="170" t="s">
        <v>683</v>
      </c>
    </row>
    <row r="28" spans="1:5" x14ac:dyDescent="0.2">
      <c r="A28" s="168" t="s">
        <v>1847</v>
      </c>
      <c r="D28" s="169" t="s">
        <v>684</v>
      </c>
      <c r="E28" s="170" t="s">
        <v>1364</v>
      </c>
    </row>
    <row r="29" spans="1:5" x14ac:dyDescent="0.2">
      <c r="A29" s="168" t="s">
        <v>1848</v>
      </c>
      <c r="D29" s="169" t="s">
        <v>1392</v>
      </c>
      <c r="E29" s="170" t="s">
        <v>1373</v>
      </c>
    </row>
    <row r="30" spans="1:5" x14ac:dyDescent="0.2">
      <c r="A30" s="173" t="s">
        <v>1849</v>
      </c>
      <c r="C30" s="162" t="s">
        <v>1169</v>
      </c>
      <c r="D30" s="169" t="s">
        <v>40</v>
      </c>
      <c r="E30" s="170" t="s">
        <v>982</v>
      </c>
    </row>
    <row r="31" spans="1:5" x14ac:dyDescent="0.2">
      <c r="A31" s="168" t="s">
        <v>1519</v>
      </c>
      <c r="C31" s="162" t="s">
        <v>1169</v>
      </c>
      <c r="D31" s="167"/>
      <c r="E31" s="171"/>
    </row>
    <row r="32" spans="1:5" x14ac:dyDescent="0.2">
      <c r="B32" s="167" t="s">
        <v>1850</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1602</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1876</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1746</v>
      </c>
    </row>
    <row r="52" spans="1:3" x14ac:dyDescent="0.2">
      <c r="A52" s="190"/>
      <c r="B52" s="188" t="s">
        <v>1766</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1747</v>
      </c>
    </row>
    <row r="57" spans="1:3" x14ac:dyDescent="0.2">
      <c r="A57" s="193"/>
      <c r="B57" s="190" t="s">
        <v>1749</v>
      </c>
    </row>
    <row r="58" spans="1:3" x14ac:dyDescent="0.2">
      <c r="A58" s="194"/>
      <c r="B58" s="190" t="s">
        <v>1750</v>
      </c>
    </row>
    <row r="59" spans="1:3" x14ac:dyDescent="0.2">
      <c r="A59" s="195"/>
      <c r="B59" s="1395" t="s">
        <v>1751</v>
      </c>
    </row>
    <row r="60" spans="1:3" x14ac:dyDescent="0.2">
      <c r="A60" s="196"/>
      <c r="B60" s="1395" t="s">
        <v>1752</v>
      </c>
    </row>
    <row r="61" spans="1:3" ht="6" customHeight="1" x14ac:dyDescent="0.2">
      <c r="A61" s="197"/>
      <c r="B61" s="189"/>
    </row>
    <row r="62" spans="1:3" x14ac:dyDescent="0.2">
      <c r="A62" s="169" t="s">
        <v>1610</v>
      </c>
      <c r="B62" s="198" t="s">
        <v>1748</v>
      </c>
    </row>
    <row r="63" spans="1:3" x14ac:dyDescent="0.2">
      <c r="A63" s="188"/>
      <c r="B63" s="169" t="s">
        <v>1763</v>
      </c>
    </row>
    <row r="64" spans="1:3" x14ac:dyDescent="0.2">
      <c r="A64" s="195"/>
      <c r="B64" s="1397" t="s">
        <v>1753</v>
      </c>
    </row>
    <row r="65" spans="1:9" x14ac:dyDescent="0.2">
      <c r="A65" s="188"/>
      <c r="B65" s="169" t="s">
        <v>1764</v>
      </c>
    </row>
    <row r="66" spans="1:9" x14ac:dyDescent="0.2">
      <c r="A66" s="190"/>
      <c r="B66" s="190" t="s">
        <v>1754</v>
      </c>
    </row>
    <row r="67" spans="1:9" ht="12" customHeight="1" x14ac:dyDescent="0.2">
      <c r="A67" s="188"/>
      <c r="B67" s="169" t="s">
        <v>1765</v>
      </c>
    </row>
    <row r="68" spans="1:9" x14ac:dyDescent="0.2">
      <c r="A68" s="189"/>
      <c r="B68" s="190" t="s">
        <v>1755</v>
      </c>
    </row>
    <row r="69" spans="1:9" x14ac:dyDescent="0.2">
      <c r="A69" s="190"/>
      <c r="B69" s="188" t="s">
        <v>1756</v>
      </c>
    </row>
    <row r="70" spans="1:9" ht="13.5" customHeight="1" x14ac:dyDescent="0.2">
      <c r="A70" s="190"/>
      <c r="B70" s="188" t="s">
        <v>1757</v>
      </c>
    </row>
    <row r="71" spans="1:9" ht="12" customHeight="1" x14ac:dyDescent="0.2">
      <c r="A71" s="192"/>
      <c r="B71" s="1396" t="s">
        <v>1613</v>
      </c>
    </row>
    <row r="72" spans="1:9" ht="9" customHeight="1" x14ac:dyDescent="0.2">
      <c r="A72" s="192"/>
      <c r="B72" s="199"/>
    </row>
    <row r="73" spans="1:9" x14ac:dyDescent="0.2">
      <c r="A73" s="189" t="s">
        <v>1614</v>
      </c>
      <c r="B73" s="169" t="s">
        <v>1759</v>
      </c>
    </row>
    <row r="74" spans="1:9" x14ac:dyDescent="0.2">
      <c r="A74" s="189"/>
      <c r="B74" s="169" t="s">
        <v>1758</v>
      </c>
    </row>
    <row r="75" spans="1:9" ht="8.25" customHeight="1" x14ac:dyDescent="0.2">
      <c r="A75" s="189"/>
      <c r="B75" s="189"/>
    </row>
    <row r="76" spans="1:9" ht="12.2" customHeight="1" x14ac:dyDescent="0.2">
      <c r="A76" s="189" t="s">
        <v>1615</v>
      </c>
      <c r="B76" s="198" t="s">
        <v>1760</v>
      </c>
    </row>
    <row r="77" spans="1:9" ht="12.2" customHeight="1" x14ac:dyDescent="0.2">
      <c r="A77" s="190"/>
      <c r="B77" s="169" t="s">
        <v>1616</v>
      </c>
      <c r="C77" s="179"/>
      <c r="D77" s="180"/>
      <c r="E77" s="181"/>
      <c r="F77" s="181"/>
      <c r="G77" s="181"/>
      <c r="H77" s="181"/>
      <c r="I77" s="181"/>
    </row>
    <row r="78" spans="1:9" ht="11.25" customHeight="1" x14ac:dyDescent="0.2">
      <c r="A78" s="190"/>
      <c r="B78" s="190" t="s">
        <v>1762</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1761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8" colorId="8" zoomScale="110" zoomScaleNormal="110" workbookViewId="0">
      <selection activeCell="D36" sqref="D3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1920</v>
      </c>
    </row>
    <row r="32" spans="1:4" s="181" customFormat="1" x14ac:dyDescent="0.2">
      <c r="A32" s="219"/>
      <c r="B32" s="236"/>
      <c r="C32" s="227"/>
      <c r="D32" s="237" t="s">
        <v>1768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1627</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2038</v>
      </c>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2038</v>
      </c>
      <c r="C53" s="179">
        <v>22</v>
      </c>
      <c r="D53" s="247" t="s">
        <v>1460</v>
      </c>
      <c r="E53" s="248"/>
      <c r="F53" s="249"/>
      <c r="G53" s="249" t="s">
        <v>1459</v>
      </c>
      <c r="H53" s="250">
        <v>33512</v>
      </c>
      <c r="I53" s="237" t="s">
        <v>1481</v>
      </c>
    </row>
    <row r="54" spans="1:10" s="181" customFormat="1" x14ac:dyDescent="0.2">
      <c r="A54" s="219"/>
      <c r="B54" s="220" t="s">
        <v>2038</v>
      </c>
      <c r="C54" s="179">
        <v>23</v>
      </c>
      <c r="D54" s="243" t="s">
        <v>1360</v>
      </c>
      <c r="E54" s="248"/>
      <c r="F54" s="249"/>
    </row>
    <row r="55" spans="1:10" s="181" customFormat="1" x14ac:dyDescent="0.2">
      <c r="A55" s="214"/>
      <c r="B55" s="251"/>
      <c r="C55" s="251"/>
      <c r="D55" s="231" t="s">
        <v>1767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2076</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1321</v>
      </c>
      <c r="B70" s="2071"/>
      <c r="C70" s="2071"/>
      <c r="D70" s="2071"/>
      <c r="E70" s="2072"/>
      <c r="F70" s="2072"/>
      <c r="G70" s="2072"/>
      <c r="H70" s="2072"/>
      <c r="I70" s="2072"/>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1904</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1921</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1879</v>
      </c>
      <c r="I77" s="1741"/>
      <c r="J77" s="261"/>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1318</v>
      </c>
      <c r="B83" s="2073"/>
      <c r="C83" s="2073"/>
      <c r="D83" s="2074"/>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1902</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1902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1903</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2039</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1328</v>
      </c>
      <c r="D117" s="2066"/>
      <c r="E117" s="2067"/>
      <c r="F117" s="2067"/>
      <c r="G117" s="2067"/>
      <c r="H117" s="2067"/>
      <c r="I117" s="304"/>
    </row>
    <row r="118" spans="1:9" s="181" customFormat="1" ht="24" customHeight="1" x14ac:dyDescent="0.2">
      <c r="A118" s="316"/>
      <c r="B118" s="316"/>
      <c r="C118" s="316"/>
      <c r="D118" s="323" t="s">
        <v>2132</v>
      </c>
      <c r="E118" s="322"/>
      <c r="F118" s="324"/>
      <c r="G118" s="1743"/>
      <c r="H118" s="322"/>
      <c r="I118" s="304"/>
    </row>
    <row r="119" spans="1:9" s="181" customFormat="1" ht="11.25" customHeight="1" x14ac:dyDescent="0.2">
      <c r="A119" s="325"/>
      <c r="B119" s="325"/>
      <c r="C119" s="326"/>
      <c r="D119" s="327" t="s">
        <v>361</v>
      </c>
      <c r="E119" s="310"/>
      <c r="F119" s="1742" t="s">
        <v>1880</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36" sqref="D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1922</v>
      </c>
      <c r="E7" s="222"/>
      <c r="F7" s="351" t="s">
        <v>272</v>
      </c>
      <c r="G7" s="222"/>
      <c r="H7" s="222"/>
      <c r="I7" s="222"/>
      <c r="J7" s="352">
        <v>687101833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1.0689000000000001E-2</v>
      </c>
      <c r="E10" s="356" t="s">
        <v>1005</v>
      </c>
      <c r="F10" s="355">
        <v>1.768E-3</v>
      </c>
      <c r="G10" s="356" t="s">
        <v>1005</v>
      </c>
      <c r="H10" s="355">
        <v>7.4200000000000004E-4</v>
      </c>
      <c r="I10" s="356" t="s">
        <v>1006</v>
      </c>
      <c r="J10" s="1636">
        <f>ROUND(D10+F10+H10,5)</f>
        <v>1.32E-2</v>
      </c>
      <c r="K10" s="222"/>
      <c r="L10" s="355">
        <v>0</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37">
        <f>SUM('Acct Summary 7-8'!C8,'Acct Summary 7-8'!D8,'Acct Summary 7-8'!F8,'Acct Summary 7-8'!I8)</f>
        <v>11067359</v>
      </c>
      <c r="E16" s="356"/>
      <c r="F16" s="1637">
        <f>SUM('Acct Summary 7-8'!C17,'Acct Summary 7-8'!D17,'Acct Summary 7-8'!F17)</f>
        <v>10029226</v>
      </c>
      <c r="G16" s="356"/>
      <c r="H16" s="1637">
        <f>SUM(D16-F16)</f>
        <v>1038133</v>
      </c>
      <c r="I16" s="222"/>
      <c r="J16" s="1637">
        <f>SUM('Acct Summary 7-8'!C81,'Acct Summary 7-8'!D81,'Acct Summary 7-8'!F81,'Acct Summary 7-8'!I81)</f>
        <v>7502449</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37">
        <f>'Short-Term Long-Term Debt 24'!F4</f>
        <v>0</v>
      </c>
      <c r="E22" s="356" t="s">
        <v>1005</v>
      </c>
      <c r="F22" s="1637">
        <f>'Short-Term Long-Term Debt 24'!F15</f>
        <v>0</v>
      </c>
      <c r="G22" s="356" t="s">
        <v>1005</v>
      </c>
      <c r="H22" s="1637">
        <f>'Short-Term Long-Term Debt 24'!F21</f>
        <v>0</v>
      </c>
      <c r="I22" s="356" t="s">
        <v>1005</v>
      </c>
      <c r="J22" s="1637">
        <f>'Short-Term Long-Term Debt 24'!F23</f>
        <v>0</v>
      </c>
      <c r="K22" s="356" t="s">
        <v>1005</v>
      </c>
      <c r="L22" s="163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37">
        <f>'Short-Term Long-Term Debt 24'!F27</f>
        <v>0</v>
      </c>
      <c r="E24" s="356" t="s">
        <v>1006</v>
      </c>
      <c r="F24" s="1638">
        <f>SUM(D22,F22,H22,J22,L22, D24)</f>
        <v>0</v>
      </c>
      <c r="G24" s="222"/>
      <c r="H24" s="222"/>
      <c r="I24" s="222"/>
      <c r="J24" s="222"/>
      <c r="K24" s="222"/>
      <c r="L24" s="222"/>
      <c r="M24" s="222"/>
    </row>
    <row r="25" spans="1:13" ht="11.25" customHeight="1" x14ac:dyDescent="0.2">
      <c r="A25" s="349"/>
      <c r="B25" s="181" t="s">
        <v>9</v>
      </c>
      <c r="C25" s="237" t="s">
        <v>2037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2038</v>
      </c>
      <c r="C31" s="367" t="s">
        <v>586</v>
      </c>
      <c r="D31" s="237" t="s">
        <v>1072</v>
      </c>
      <c r="E31" s="222"/>
      <c r="F31" s="222"/>
      <c r="G31" s="363"/>
      <c r="H31" s="1639">
        <f>IF(B31="X",(J7*0.069),IF(B32="X",(J7*0.138),"Enter x in a.or b."))</f>
        <v>47410026.477000006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38">
        <f>'Assets-Liab 5-6'!N36</f>
        <v>7750182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D36" sqref="D3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1411</v>
      </c>
      <c r="B3" s="2104"/>
      <c r="C3" s="2104"/>
      <c r="D3" s="2104"/>
      <c r="E3" s="2104"/>
      <c r="F3" s="2104"/>
      <c r="G3" s="2104"/>
      <c r="H3" s="2104"/>
      <c r="I3" s="2104"/>
      <c r="J3" s="2104"/>
      <c r="K3" s="2104"/>
      <c r="L3" s="2104"/>
      <c r="M3" s="2104"/>
      <c r="N3" s="2104"/>
      <c r="O3" s="2104"/>
      <c r="P3" s="2104"/>
      <c r="Q3" s="2104"/>
      <c r="R3" s="2104"/>
    </row>
    <row r="4" spans="1:18" x14ac:dyDescent="0.2">
      <c r="A4" s="2105" t="s">
        <v>1552</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Salt Creek SD 48</v>
      </c>
      <c r="E7" s="391"/>
      <c r="G7" s="252"/>
      <c r="H7" s="387"/>
      <c r="I7" s="387"/>
      <c r="J7" s="387"/>
      <c r="K7" s="387"/>
      <c r="L7" s="329"/>
      <c r="M7" s="329"/>
      <c r="N7" s="329"/>
      <c r="O7" s="329"/>
      <c r="P7" s="329"/>
    </row>
    <row r="8" spans="1:18" ht="12.75" x14ac:dyDescent="0.2">
      <c r="A8" s="329"/>
      <c r="B8" s="329"/>
      <c r="C8" s="389" t="s">
        <v>1125</v>
      </c>
      <c r="D8" s="392">
        <f>COVER!A13</f>
        <v>19022048002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7502449</v>
      </c>
      <c r="I12" s="404"/>
      <c r="J12" s="404"/>
      <c r="K12" s="405">
        <f>TRUNC((H12/H13*100000),5)/100000</f>
        <v>0.84733691569999992</v>
      </c>
      <c r="L12" s="406"/>
      <c r="M12" s="360" t="s">
        <v>1144</v>
      </c>
      <c r="N12" s="360"/>
      <c r="O12" s="407">
        <v>0.35</v>
      </c>
      <c r="P12" s="218"/>
      <c r="Q12" s="218"/>
    </row>
    <row r="13" spans="1:18" s="408" customFormat="1" ht="12.75" x14ac:dyDescent="0.2">
      <c r="A13" s="218"/>
      <c r="B13" s="401"/>
      <c r="C13" s="2101" t="s">
        <v>1322</v>
      </c>
      <c r="D13" s="2102"/>
      <c r="E13" s="218"/>
      <c r="F13" s="409" t="s">
        <v>793</v>
      </c>
      <c r="G13" s="402"/>
      <c r="H13" s="403">
        <f>SUM('Acct Summary 7-8'!C8+'Acct Summary 7-8'!D8+'Acct Summary 7-8'!F8+'Acct Summary 7-8'!I8)+H14</f>
        <v>8854151</v>
      </c>
      <c r="I13" s="404"/>
      <c r="J13" s="404"/>
      <c r="K13" s="410"/>
      <c r="L13" s="218"/>
      <c r="M13" s="360" t="s">
        <v>1145</v>
      </c>
      <c r="N13" s="360"/>
      <c r="O13" s="411">
        <f>(O11*O12)</f>
        <v>1.4</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-2213208</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10029226</v>
      </c>
      <c r="I17" s="404"/>
      <c r="J17" s="416"/>
      <c r="K17" s="405">
        <f>TRUNC((H17/H18*100000),5)/100000</f>
        <v>1.1327145877</v>
      </c>
      <c r="L17" s="406"/>
      <c r="M17" s="417" t="s">
        <v>1171</v>
      </c>
      <c r="O17" s="418" t="str">
        <f>IF(AND(O16="2", J20 &gt; 2),"1",IF(AND(O16 = "1", J20 &gt; 2),"2",IF(AND(O16="1", J20 &gt;1),"1","0")))</f>
        <v>1</v>
      </c>
      <c r="P17" s="218"/>
    </row>
    <row r="18" spans="1:18" s="408" customFormat="1" ht="11.25" x14ac:dyDescent="0.2">
      <c r="A18" s="218"/>
      <c r="B18" s="401"/>
      <c r="C18" s="2101" t="s">
        <v>1315</v>
      </c>
      <c r="D18" s="2102"/>
      <c r="E18" s="218"/>
      <c r="F18" s="419" t="s">
        <v>794</v>
      </c>
      <c r="G18" s="402"/>
      <c r="H18" s="403">
        <f>SUM('Acct Summary 7-8'!C8+'Acct Summary 7-8'!D8+'Acct Summary 7-8'!F8+'Acct Summary 7-8'!I8)+H19</f>
        <v>8854151</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-2213208</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f>IF(K17&lt;=1,"0",TRUNC(((K12-0.1)/(K17-1)*100),5)/100)</f>
        <v>5.6311586999999994</v>
      </c>
      <c r="K20" s="405">
        <f>IF(K17&lt;=1,"0",IF(AND(O16="2", J20 &gt; 2),TRUNC(((K12-0.1)/(K17-1)*100),5)/100,IF(AND(O16 = "1", J20 &gt; 2),TRUNC(((K12-0.1)/(K17-1)*100),5)/100,IF(AND(O16="1", J20 &gt;1),TRUNC(((K12-0.1)/(K17-1)*100),5)/100,""))))</f>
        <v>5.6311586999999994</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1410</v>
      </c>
      <c r="D24" s="2098"/>
      <c r="E24" s="218"/>
      <c r="F24" s="218" t="s">
        <v>445</v>
      </c>
      <c r="G24" s="402"/>
      <c r="H24" s="403">
        <f>SUM('Assets-Liab 5-6'!C4+'Assets-Liab 5-6'!D4+'Assets-Liab 5-6'!F4+'Assets-Liab 5-6'!I4+'Assets-Liab 5-6'!C5+'Assets-Liab 5-6'!D5+'Assets-Liab 5-6'!F5+'Assets-Liab 5-6'!I5)</f>
        <v>7535673</v>
      </c>
      <c r="I24" s="422"/>
      <c r="J24" s="422"/>
      <c r="K24" s="423">
        <f>TRUNC(((H24/H25*100000)/100000),2)</f>
        <v>270.49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27858.96111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1905</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7709282.5662599998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7750182</v>
      </c>
      <c r="I32" s="420"/>
      <c r="J32" s="420"/>
      <c r="K32" s="423">
        <f>TRUNC(100-((((H32/H33*100))*100)/100),2)</f>
        <v>83.65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47410026.477000006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36" sqref="D36"/>
      <selection pane="bottomLeft" activeCell="D36" sqref="D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469"/>
      <c r="D3" s="1470"/>
      <c r="E3" s="1470"/>
      <c r="F3" s="1470"/>
      <c r="G3" s="1470"/>
      <c r="H3" s="1470"/>
      <c r="I3" s="1470"/>
      <c r="J3" s="1470"/>
      <c r="K3" s="1470"/>
      <c r="L3" s="1470"/>
      <c r="M3" s="1471"/>
      <c r="N3" s="1472"/>
    </row>
    <row r="4" spans="1:14" ht="13.5" customHeight="1" x14ac:dyDescent="0.2">
      <c r="A4" s="463" t="s">
        <v>1645</v>
      </c>
      <c r="B4" s="464"/>
      <c r="C4" s="465">
        <v>5044837</v>
      </c>
      <c r="D4" s="466">
        <v>1698980</v>
      </c>
      <c r="E4" s="466">
        <v>2621800</v>
      </c>
      <c r="F4" s="466">
        <v>422598</v>
      </c>
      <c r="G4" s="466">
        <v>324347</v>
      </c>
      <c r="H4" s="466"/>
      <c r="I4" s="466">
        <v>267616</v>
      </c>
      <c r="J4" s="467"/>
      <c r="K4" s="466"/>
      <c r="L4" s="466">
        <v>58903</v>
      </c>
      <c r="M4" s="468"/>
      <c r="N4" s="469"/>
    </row>
    <row r="5" spans="1:14" x14ac:dyDescent="0.2">
      <c r="A5" s="463" t="s">
        <v>992</v>
      </c>
      <c r="B5" s="470">
        <v>120</v>
      </c>
      <c r="C5" s="465"/>
      <c r="D5" s="466">
        <v>101642</v>
      </c>
      <c r="E5" s="466"/>
      <c r="F5" s="466"/>
      <c r="G5" s="466"/>
      <c r="H5" s="466">
        <v>3262476</v>
      </c>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40" t="s">
        <v>644</v>
      </c>
      <c r="B13" s="1613"/>
      <c r="C13" s="1641">
        <f>SUM(C4:C12)</f>
        <v>5044837</v>
      </c>
      <c r="D13" s="1641">
        <f t="shared" ref="D13:L13" si="0">SUM(D4:D12)</f>
        <v>1800622</v>
      </c>
      <c r="E13" s="1641">
        <f t="shared" si="0"/>
        <v>2621800</v>
      </c>
      <c r="F13" s="1641">
        <f t="shared" si="0"/>
        <v>422598</v>
      </c>
      <c r="G13" s="1641">
        <f t="shared" si="0"/>
        <v>324347</v>
      </c>
      <c r="H13" s="1641">
        <f t="shared" si="0"/>
        <v>3262476</v>
      </c>
      <c r="I13" s="1641">
        <f t="shared" si="0"/>
        <v>267616</v>
      </c>
      <c r="J13" s="1641">
        <f t="shared" si="0"/>
        <v>0</v>
      </c>
      <c r="K13" s="1641">
        <f t="shared" si="0"/>
        <v>0</v>
      </c>
      <c r="L13" s="1641">
        <f t="shared" si="0"/>
        <v>58903</v>
      </c>
      <c r="M13" s="468"/>
      <c r="N13" s="469"/>
    </row>
    <row r="14" spans="1:14" ht="18" customHeight="1" thickTop="1" x14ac:dyDescent="0.2">
      <c r="A14" s="2110" t="s">
        <v>147</v>
      </c>
      <c r="B14" s="2111"/>
      <c r="C14" s="1473"/>
      <c r="D14" s="1474"/>
      <c r="E14" s="1474"/>
      <c r="F14" s="1474"/>
      <c r="G14" s="1474"/>
      <c r="H14" s="1474"/>
      <c r="I14" s="1474"/>
      <c r="J14" s="1474"/>
      <c r="K14" s="1474"/>
      <c r="L14" s="1474"/>
      <c r="M14" s="1475"/>
      <c r="N14" s="147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274299</v>
      </c>
      <c r="N16" s="484"/>
    </row>
    <row r="17" spans="1:14" s="485" customFormat="1" ht="12.75" customHeight="1" x14ac:dyDescent="0.2">
      <c r="A17" s="482" t="s">
        <v>1401</v>
      </c>
      <c r="B17" s="483">
        <v>230</v>
      </c>
      <c r="C17" s="477"/>
      <c r="D17" s="477"/>
      <c r="E17" s="477"/>
      <c r="F17" s="477"/>
      <c r="G17" s="477"/>
      <c r="H17" s="477"/>
      <c r="I17" s="477"/>
      <c r="J17" s="477"/>
      <c r="K17" s="477"/>
      <c r="L17" s="477"/>
      <c r="M17" s="467">
        <v>20903050</v>
      </c>
      <c r="N17" s="484"/>
    </row>
    <row r="18" spans="1:14" s="485" customFormat="1" ht="12.75" customHeight="1" x14ac:dyDescent="0.2">
      <c r="A18" s="482" t="s">
        <v>1402</v>
      </c>
      <c r="B18" s="483">
        <v>240</v>
      </c>
      <c r="C18" s="477"/>
      <c r="D18" s="477"/>
      <c r="E18" s="477"/>
      <c r="F18" s="477"/>
      <c r="G18" s="477"/>
      <c r="H18" s="477"/>
      <c r="I18" s="477"/>
      <c r="J18" s="477"/>
      <c r="K18" s="477"/>
      <c r="L18" s="477"/>
      <c r="M18" s="467">
        <v>365194</v>
      </c>
      <c r="N18" s="484"/>
    </row>
    <row r="19" spans="1:14" s="485" customFormat="1" ht="12.75" customHeight="1" x14ac:dyDescent="0.2">
      <c r="A19" s="482" t="s">
        <v>1403</v>
      </c>
      <c r="B19" s="483">
        <v>250</v>
      </c>
      <c r="C19" s="477"/>
      <c r="D19" s="477"/>
      <c r="E19" s="477"/>
      <c r="F19" s="477"/>
      <c r="G19" s="477"/>
      <c r="H19" s="477"/>
      <c r="I19" s="477"/>
      <c r="J19" s="477"/>
      <c r="K19" s="477"/>
      <c r="L19" s="477"/>
      <c r="M19" s="467">
        <v>3956199</v>
      </c>
      <c r="N19" s="484"/>
    </row>
    <row r="20" spans="1:14" s="485" customFormat="1" ht="12.75" customHeight="1" x14ac:dyDescent="0.2">
      <c r="A20" s="482" t="s">
        <v>1404</v>
      </c>
      <c r="B20" s="483">
        <v>260</v>
      </c>
      <c r="C20" s="477"/>
      <c r="D20" s="477"/>
      <c r="E20" s="477"/>
      <c r="F20" s="477"/>
      <c r="G20" s="477"/>
      <c r="H20" s="477"/>
      <c r="I20" s="477"/>
      <c r="J20" s="477"/>
      <c r="K20" s="477"/>
      <c r="L20" s="477"/>
      <c r="M20" s="467">
        <v>50072</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2621800</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5128382</v>
      </c>
    </row>
    <row r="23" spans="1:14" ht="13.5" customHeight="1" thickBot="1" x14ac:dyDescent="0.25">
      <c r="A23" s="1640" t="s">
        <v>643</v>
      </c>
      <c r="B23" s="1645"/>
      <c r="C23" s="468"/>
      <c r="D23" s="468"/>
      <c r="E23" s="468"/>
      <c r="F23" s="468"/>
      <c r="G23" s="468"/>
      <c r="H23" s="468"/>
      <c r="I23" s="468"/>
      <c r="J23" s="468"/>
      <c r="K23" s="468"/>
      <c r="L23" s="468"/>
      <c r="M23" s="1592">
        <f>SUM(M15:M22)</f>
        <v>25548814</v>
      </c>
      <c r="N23" s="1592">
        <f>SUM(N21:N22)</f>
        <v>7750182</v>
      </c>
    </row>
    <row r="24" spans="1:14" ht="18" customHeight="1" thickTop="1" x14ac:dyDescent="0.2">
      <c r="A24" s="2112" t="s">
        <v>598</v>
      </c>
      <c r="B24" s="2113"/>
      <c r="C24" s="1478"/>
      <c r="D24" s="1475"/>
      <c r="E24" s="1475"/>
      <c r="F24" s="1475"/>
      <c r="G24" s="1475"/>
      <c r="H24" s="1475"/>
      <c r="I24" s="1475"/>
      <c r="J24" s="1475"/>
      <c r="K24" s="1475"/>
      <c r="L24" s="1475"/>
      <c r="M24" s="1474"/>
      <c r="N24" s="147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24813</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8411</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58903</v>
      </c>
      <c r="M33" s="468"/>
      <c r="N33" s="469"/>
    </row>
    <row r="34" spans="1:14" ht="13.5" customHeight="1" thickBot="1" x14ac:dyDescent="0.25">
      <c r="A34" s="1642" t="s">
        <v>654</v>
      </c>
      <c r="B34" s="1643"/>
      <c r="C34" s="1644">
        <f>SUM(C25:C33)</f>
        <v>33224</v>
      </c>
      <c r="D34" s="1644">
        <f t="shared" ref="D34:K34" si="1">SUM(D25:D33)</f>
        <v>0</v>
      </c>
      <c r="E34" s="1644">
        <f t="shared" si="1"/>
        <v>0</v>
      </c>
      <c r="F34" s="1644">
        <f t="shared" si="1"/>
        <v>0</v>
      </c>
      <c r="G34" s="1644">
        <f t="shared" si="1"/>
        <v>0</v>
      </c>
      <c r="H34" s="1644">
        <f t="shared" si="1"/>
        <v>0</v>
      </c>
      <c r="I34" s="1644">
        <f t="shared" si="1"/>
        <v>0</v>
      </c>
      <c r="J34" s="1644">
        <f t="shared" si="1"/>
        <v>0</v>
      </c>
      <c r="K34" s="1644">
        <f t="shared" si="1"/>
        <v>0</v>
      </c>
      <c r="L34" s="1625">
        <f>SUM(L33)</f>
        <v>58903</v>
      </c>
      <c r="M34" s="468"/>
      <c r="N34" s="480"/>
    </row>
    <row r="35" spans="1:14" ht="18" customHeight="1" thickTop="1" x14ac:dyDescent="0.2">
      <c r="A35" s="2114" t="s">
        <v>529</v>
      </c>
      <c r="B35" s="2115"/>
      <c r="C35" s="1480"/>
      <c r="D35" s="1481"/>
      <c r="E35" s="1481"/>
      <c r="F35" s="1481"/>
      <c r="G35" s="1481"/>
      <c r="H35" s="1481"/>
      <c r="I35" s="1481"/>
      <c r="J35" s="1481"/>
      <c r="K35" s="1481"/>
      <c r="L35" s="1481"/>
      <c r="M35" s="1475"/>
      <c r="N35" s="1479"/>
    </row>
    <row r="36" spans="1:14" x14ac:dyDescent="0.2">
      <c r="A36" s="494" t="s">
        <v>1</v>
      </c>
      <c r="B36" s="470">
        <v>511</v>
      </c>
      <c r="C36" s="477"/>
      <c r="D36" s="477"/>
      <c r="E36" s="477"/>
      <c r="F36" s="477"/>
      <c r="G36" s="477"/>
      <c r="H36" s="477"/>
      <c r="I36" s="477"/>
      <c r="J36" s="477"/>
      <c r="K36" s="477"/>
      <c r="L36" s="468"/>
      <c r="M36" s="468"/>
      <c r="N36" s="495">
        <f>'Short-Term Long-Term Debt 24'!I49</f>
        <v>7750182</v>
      </c>
    </row>
    <row r="37" spans="1:14" ht="13.5" thickBot="1" x14ac:dyDescent="0.25">
      <c r="A37" s="1640" t="s">
        <v>653</v>
      </c>
      <c r="B37" s="1645"/>
      <c r="C37" s="477"/>
      <c r="D37" s="477"/>
      <c r="E37" s="477"/>
      <c r="F37" s="477"/>
      <c r="G37" s="477"/>
      <c r="H37" s="477"/>
      <c r="I37" s="477"/>
      <c r="J37" s="477"/>
      <c r="K37" s="477"/>
      <c r="L37" s="480"/>
      <c r="M37" s="468"/>
      <c r="N37" s="1592">
        <f>SUM(N36:N36)</f>
        <v>7750182</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5011613</v>
      </c>
      <c r="D39" s="466">
        <v>1800622</v>
      </c>
      <c r="E39" s="466">
        <v>2621800</v>
      </c>
      <c r="F39" s="466">
        <v>422598</v>
      </c>
      <c r="G39" s="466">
        <v>324347</v>
      </c>
      <c r="H39" s="466">
        <v>3262476</v>
      </c>
      <c r="I39" s="466">
        <v>267616</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25548814</v>
      </c>
      <c r="N40" s="497"/>
    </row>
    <row r="41" spans="1:14" ht="13.5" customHeight="1" thickBot="1" x14ac:dyDescent="0.25">
      <c r="A41" s="1640" t="s">
        <v>655</v>
      </c>
      <c r="B41" s="1610"/>
      <c r="C41" s="1592">
        <f>(SUM(C34,C37,C38,C39))</f>
        <v>5044837</v>
      </c>
      <c r="D41" s="1592">
        <f t="shared" ref="D41:L41" si="2">SUM(D34,D37,D38:D39)</f>
        <v>1800622</v>
      </c>
      <c r="E41" s="1592">
        <f t="shared" si="2"/>
        <v>2621800</v>
      </c>
      <c r="F41" s="1592">
        <f t="shared" si="2"/>
        <v>422598</v>
      </c>
      <c r="G41" s="1592">
        <f t="shared" si="2"/>
        <v>324347</v>
      </c>
      <c r="H41" s="1592">
        <f t="shared" si="2"/>
        <v>3262476</v>
      </c>
      <c r="I41" s="1592">
        <f t="shared" si="2"/>
        <v>267616</v>
      </c>
      <c r="J41" s="1592">
        <f t="shared" si="2"/>
        <v>0</v>
      </c>
      <c r="K41" s="1592">
        <f t="shared" si="2"/>
        <v>0</v>
      </c>
      <c r="L41" s="1592">
        <f t="shared" si="2"/>
        <v>58903</v>
      </c>
      <c r="M41" s="1592">
        <f>SUM(M40)</f>
        <v>25548814</v>
      </c>
      <c r="N41" s="1592">
        <f>SUM(N37)</f>
        <v>7750182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36" sqref="D36"/>
      <selection pane="bottomLeft" activeCell="D36" sqref="D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483"/>
      <c r="D3" s="1484"/>
      <c r="E3" s="1484"/>
      <c r="F3" s="1484"/>
      <c r="G3" s="1484"/>
      <c r="H3" s="1484"/>
      <c r="I3" s="1484"/>
      <c r="J3" s="1484"/>
      <c r="K3" s="1485"/>
      <c r="L3" s="506"/>
    </row>
    <row r="4" spans="1:13" ht="15.75" customHeight="1" x14ac:dyDescent="0.2">
      <c r="A4" s="1830" t="s">
        <v>1497</v>
      </c>
      <c r="B4" s="1831">
        <v>1000</v>
      </c>
      <c r="C4" s="1646">
        <f>'Revenues 9-14'!C109</f>
        <v>8037841</v>
      </c>
      <c r="D4" s="1646">
        <f>'Revenues 9-14'!D109</f>
        <v>1428480</v>
      </c>
      <c r="E4" s="1646">
        <f>'Revenues 9-14'!E109</f>
        <v>1720209</v>
      </c>
      <c r="F4" s="1646">
        <f>'Revenues 9-14'!F109</f>
        <v>496289</v>
      </c>
      <c r="G4" s="1646">
        <f>'Revenues 9-14'!G109</f>
        <v>165866</v>
      </c>
      <c r="H4" s="1646">
        <f>'Revenues 9-14'!H109</f>
        <v>152274</v>
      </c>
      <c r="I4" s="1646">
        <f>'Revenues 9-14'!I109</f>
        <v>976</v>
      </c>
      <c r="J4" s="1646">
        <f>'Revenues 9-14'!J109</f>
        <v>0</v>
      </c>
      <c r="K4" s="1646">
        <f>'Revenues 9-14'!K109</f>
        <v>0</v>
      </c>
      <c r="L4" s="347"/>
    </row>
    <row r="5" spans="1:13" ht="15.75" customHeight="1" x14ac:dyDescent="0.2">
      <c r="A5" s="1486" t="s">
        <v>1498</v>
      </c>
      <c r="B5" s="1487">
        <v>2000</v>
      </c>
      <c r="C5" s="1647">
        <f>'Revenues 9-14'!C114</f>
        <v>0</v>
      </c>
      <c r="D5" s="1647">
        <f>'Revenues 9-14'!D114</f>
        <v>0</v>
      </c>
      <c r="E5" s="508"/>
      <c r="F5" s="1647">
        <f>'Revenues 9-14'!F114</f>
        <v>0</v>
      </c>
      <c r="G5" s="1647">
        <f>'Revenues 9-14'!G114</f>
        <v>0</v>
      </c>
      <c r="H5" s="509" t="s">
        <v>1169</v>
      </c>
      <c r="I5" s="510" t="s">
        <v>1169</v>
      </c>
      <c r="J5" s="511" t="s">
        <v>1169</v>
      </c>
      <c r="K5" s="512" t="s">
        <v>1169</v>
      </c>
      <c r="L5" s="347"/>
    </row>
    <row r="6" spans="1:13" ht="15.75" customHeight="1" x14ac:dyDescent="0.2">
      <c r="A6" s="1486" t="s">
        <v>1499</v>
      </c>
      <c r="B6" s="1488">
        <v>3000</v>
      </c>
      <c r="C6" s="1647">
        <f>'Revenues 9-14'!C170</f>
        <v>484357</v>
      </c>
      <c r="D6" s="1647">
        <f>'Revenues 9-14'!D170</f>
        <v>0</v>
      </c>
      <c r="E6" s="1647">
        <f>'Revenues 9-14'!E170</f>
        <v>0</v>
      </c>
      <c r="F6" s="1647">
        <f>'Revenues 9-14'!F170</f>
        <v>219178</v>
      </c>
      <c r="G6" s="1647">
        <f>'Revenues 9-14'!G170</f>
        <v>0</v>
      </c>
      <c r="H6" s="1647">
        <f>'Revenues 9-14'!H170</f>
        <v>0</v>
      </c>
      <c r="I6" s="1647">
        <f>'Revenues 9-14'!I170</f>
        <v>0</v>
      </c>
      <c r="J6" s="1647">
        <f>'Revenues 9-14'!J170</f>
        <v>0</v>
      </c>
      <c r="K6" s="1647">
        <f>'Revenues 9-14'!K170</f>
        <v>0</v>
      </c>
      <c r="L6" s="347"/>
      <c r="M6" s="513"/>
    </row>
    <row r="7" spans="1:13" ht="15.75" customHeight="1" x14ac:dyDescent="0.2">
      <c r="A7" s="1486" t="s">
        <v>1500</v>
      </c>
      <c r="B7" s="1488">
        <v>4000</v>
      </c>
      <c r="C7" s="1647">
        <f>'Revenues 9-14'!C267</f>
        <v>400238</v>
      </c>
      <c r="D7" s="1647">
        <f>'Revenues 9-14'!D267</f>
        <v>0</v>
      </c>
      <c r="E7" s="1647">
        <f>'Revenues 9-14'!E267</f>
        <v>0</v>
      </c>
      <c r="F7" s="1647">
        <f>'Revenues 9-14'!F267</f>
        <v>0</v>
      </c>
      <c r="G7" s="1647">
        <f>'Revenues 9-14'!G267</f>
        <v>0</v>
      </c>
      <c r="H7" s="1647">
        <f>'Revenues 9-14'!H267</f>
        <v>0</v>
      </c>
      <c r="I7" s="1647">
        <f>'Revenues 9-14'!I267</f>
        <v>0</v>
      </c>
      <c r="J7" s="1647">
        <f>'Revenues 9-14'!J267</f>
        <v>0</v>
      </c>
      <c r="K7" s="1647">
        <f>'Revenues 9-14'!K267</f>
        <v>0</v>
      </c>
      <c r="L7" s="347"/>
      <c r="M7" s="513"/>
    </row>
    <row r="8" spans="1:13" ht="13.5" thickBot="1" x14ac:dyDescent="0.25">
      <c r="A8" s="1640" t="s">
        <v>1172</v>
      </c>
      <c r="B8" s="1613"/>
      <c r="C8" s="1592">
        <f>SUM(C4:C7)</f>
        <v>8922436</v>
      </c>
      <c r="D8" s="1592">
        <f t="shared" ref="D8:K8" si="0">SUM(D4:D7)</f>
        <v>1428480</v>
      </c>
      <c r="E8" s="1592">
        <f t="shared" si="0"/>
        <v>1720209</v>
      </c>
      <c r="F8" s="1592">
        <f t="shared" si="0"/>
        <v>715467</v>
      </c>
      <c r="G8" s="1592">
        <f t="shared" si="0"/>
        <v>165866</v>
      </c>
      <c r="H8" s="1592">
        <f t="shared" si="0"/>
        <v>152274</v>
      </c>
      <c r="I8" s="1592">
        <f t="shared" si="0"/>
        <v>976</v>
      </c>
      <c r="J8" s="1592">
        <f t="shared" si="0"/>
        <v>0</v>
      </c>
      <c r="K8" s="1592">
        <f t="shared" si="0"/>
        <v>0</v>
      </c>
      <c r="L8" s="347"/>
    </row>
    <row r="9" spans="1:13" ht="15.75" thickTop="1" x14ac:dyDescent="0.2">
      <c r="A9" s="514" t="s">
        <v>1647</v>
      </c>
      <c r="B9" s="515">
        <v>3998</v>
      </c>
      <c r="C9" s="481">
        <v>3248616</v>
      </c>
      <c r="D9" s="516"/>
      <c r="E9" s="481"/>
      <c r="F9" s="481"/>
      <c r="G9" s="517"/>
      <c r="H9" s="481"/>
      <c r="I9" s="509" t="s">
        <v>1169</v>
      </c>
      <c r="J9" s="478"/>
      <c r="K9" s="481"/>
      <c r="L9" s="347"/>
    </row>
    <row r="10" spans="1:13" s="519" customFormat="1" ht="13.5" thickBot="1" x14ac:dyDescent="0.25">
      <c r="A10" s="1640" t="s">
        <v>1173</v>
      </c>
      <c r="B10" s="1613"/>
      <c r="C10" s="1592">
        <f>SUM(C8:C9)</f>
        <v>12171052</v>
      </c>
      <c r="D10" s="1592">
        <f t="shared" ref="D10:K10" si="1">SUM(D8:D9)</f>
        <v>1428480</v>
      </c>
      <c r="E10" s="1592">
        <f t="shared" si="1"/>
        <v>1720209</v>
      </c>
      <c r="F10" s="1592">
        <f t="shared" si="1"/>
        <v>715467</v>
      </c>
      <c r="G10" s="1592">
        <f t="shared" si="1"/>
        <v>165866</v>
      </c>
      <c r="H10" s="1592">
        <f t="shared" si="1"/>
        <v>152274</v>
      </c>
      <c r="I10" s="1592">
        <f t="shared" si="1"/>
        <v>976</v>
      </c>
      <c r="J10" s="1592">
        <f t="shared" si="1"/>
        <v>0</v>
      </c>
      <c r="K10" s="1592">
        <f t="shared" si="1"/>
        <v>0</v>
      </c>
      <c r="L10" s="518"/>
    </row>
    <row r="11" spans="1:13" s="519" customFormat="1" ht="16.7" customHeight="1" thickTop="1" x14ac:dyDescent="0.2">
      <c r="A11" s="2110" t="s">
        <v>1176</v>
      </c>
      <c r="B11" s="2111"/>
      <c r="C11" s="1480"/>
      <c r="D11" s="1481"/>
      <c r="E11" s="1481"/>
      <c r="F11" s="1481"/>
      <c r="G11" s="1481"/>
      <c r="H11" s="1481"/>
      <c r="I11" s="1481"/>
      <c r="J11" s="1481"/>
      <c r="K11" s="1482"/>
      <c r="L11" s="518"/>
    </row>
    <row r="12" spans="1:13" ht="15.75" customHeight="1" x14ac:dyDescent="0.2">
      <c r="A12" s="1486" t="s">
        <v>456</v>
      </c>
      <c r="B12" s="1488">
        <v>1000</v>
      </c>
      <c r="C12" s="1646">
        <f>'Expenditures 15-22'!K33</f>
        <v>4387368</v>
      </c>
      <c r="D12" s="520" t="s">
        <v>1169</v>
      </c>
      <c r="E12" s="468" t="s">
        <v>1169</v>
      </c>
      <c r="F12" s="468" t="s">
        <v>1169</v>
      </c>
      <c r="G12" s="1646">
        <f>'Expenditures 15-22'!K229</f>
        <v>66556</v>
      </c>
      <c r="H12" s="521"/>
      <c r="I12" s="468" t="s">
        <v>1169</v>
      </c>
      <c r="J12" s="468" t="s">
        <v>1169</v>
      </c>
      <c r="K12" s="521" t="s">
        <v>1169</v>
      </c>
      <c r="L12" s="347"/>
    </row>
    <row r="13" spans="1:13" ht="15.75" customHeight="1" x14ac:dyDescent="0.2">
      <c r="A13" s="1486" t="s">
        <v>457</v>
      </c>
      <c r="B13" s="1488">
        <v>2000</v>
      </c>
      <c r="C13" s="1647">
        <f>'Expenditures 15-22'!K74</f>
        <v>3124482</v>
      </c>
      <c r="D13" s="1647">
        <f>'Expenditures 15-22'!K129</f>
        <v>1463317</v>
      </c>
      <c r="E13" s="469" t="s">
        <v>1169</v>
      </c>
      <c r="F13" s="1647">
        <f>'Expenditures 15-22'!K184</f>
        <v>668508</v>
      </c>
      <c r="G13" s="1647">
        <f>'Expenditures 15-22'!K279</f>
        <v>100095</v>
      </c>
      <c r="H13" s="1647">
        <f>'Expenditures 15-22'!K303</f>
        <v>4356553</v>
      </c>
      <c r="I13" s="468" t="s">
        <v>1169</v>
      </c>
      <c r="J13" s="1647">
        <f>'Expenditures 15-22'!K330</f>
        <v>0</v>
      </c>
      <c r="K13" s="1651">
        <f>'Expenditures 15-22'!K352</f>
        <v>0</v>
      </c>
      <c r="L13" s="347"/>
    </row>
    <row r="14" spans="1:13" ht="15.75" customHeight="1" x14ac:dyDescent="0.2">
      <c r="A14" s="1486" t="s">
        <v>449</v>
      </c>
      <c r="B14" s="1488">
        <v>3000</v>
      </c>
      <c r="C14" s="1647">
        <f>'Expenditures 15-22'!K75</f>
        <v>9619</v>
      </c>
      <c r="D14" s="1647">
        <f>'Expenditures 15-22'!K130</f>
        <v>0</v>
      </c>
      <c r="E14" s="520" t="s">
        <v>1169</v>
      </c>
      <c r="F14" s="1647">
        <f>'Expenditures 15-22'!K185</f>
        <v>0</v>
      </c>
      <c r="G14" s="1647">
        <f>'Expenditures 15-22'!K280</f>
        <v>0</v>
      </c>
      <c r="H14" s="512"/>
      <c r="I14" s="468" t="s">
        <v>1169</v>
      </c>
      <c r="J14" s="468" t="s">
        <v>1169</v>
      </c>
      <c r="K14" s="512" t="s">
        <v>1169</v>
      </c>
      <c r="L14" s="347"/>
    </row>
    <row r="15" spans="1:13" ht="15.75" customHeight="1" x14ac:dyDescent="0.2">
      <c r="A15" s="1486" t="s">
        <v>107</v>
      </c>
      <c r="B15" s="1488">
        <v>4000</v>
      </c>
      <c r="C15" s="1647">
        <f>'Expenditures 15-22'!K102</f>
        <v>375932</v>
      </c>
      <c r="D15" s="1647">
        <f>'Expenditures 15-22'!K139</f>
        <v>0</v>
      </c>
      <c r="E15" s="1647">
        <f>'Expenditures 15-22'!K160</f>
        <v>0</v>
      </c>
      <c r="F15" s="1647">
        <f>'Expenditures 15-22'!K196</f>
        <v>0</v>
      </c>
      <c r="G15" s="1647">
        <f>'Expenditures 15-22'!K285</f>
        <v>0</v>
      </c>
      <c r="H15" s="1647">
        <f>'Expenditures 15-22'!K310</f>
        <v>0</v>
      </c>
      <c r="I15" s="468" t="s">
        <v>1169</v>
      </c>
      <c r="J15" s="1739">
        <f>'Expenditures 15-22'!K334</f>
        <v>0</v>
      </c>
      <c r="K15" s="1647">
        <f>'Expenditures 15-22'!K357</f>
        <v>0</v>
      </c>
      <c r="L15" s="347"/>
    </row>
    <row r="16" spans="1:13" ht="15.75" customHeight="1" x14ac:dyDescent="0.2">
      <c r="A16" s="1486" t="s">
        <v>450</v>
      </c>
      <c r="B16" s="1488">
        <v>5000</v>
      </c>
      <c r="C16" s="1647">
        <f>'Expenditures 15-22'!K112</f>
        <v>0</v>
      </c>
      <c r="D16" s="1647">
        <f>'Expenditures 15-22'!K149</f>
        <v>0</v>
      </c>
      <c r="E16" s="1647">
        <f>'Expenditures 15-22'!K172</f>
        <v>2213208</v>
      </c>
      <c r="F16" s="1647">
        <f>'Expenditures 15-22'!K208</f>
        <v>0</v>
      </c>
      <c r="G16" s="1647">
        <f>'Expenditures 15-22'!K293</f>
        <v>0</v>
      </c>
      <c r="H16" s="523"/>
      <c r="I16" s="468" t="s">
        <v>1169</v>
      </c>
      <c r="J16" s="1652">
        <f>'Expenditures 15-22'!K340</f>
        <v>0</v>
      </c>
      <c r="K16" s="1647">
        <f>'Expenditures 15-22'!K365</f>
        <v>0</v>
      </c>
      <c r="L16" s="347"/>
    </row>
    <row r="17" spans="1:12" ht="13.5" thickBot="1" x14ac:dyDescent="0.25">
      <c r="A17" s="1612" t="s">
        <v>48</v>
      </c>
      <c r="B17" s="1613"/>
      <c r="C17" s="1592">
        <f t="shared" ref="C17:H17" si="2">SUM(C12:C16)</f>
        <v>7897401</v>
      </c>
      <c r="D17" s="1592">
        <f t="shared" si="2"/>
        <v>1463317</v>
      </c>
      <c r="E17" s="1592">
        <f t="shared" si="2"/>
        <v>2213208</v>
      </c>
      <c r="F17" s="1592">
        <f t="shared" si="2"/>
        <v>668508</v>
      </c>
      <c r="G17" s="1592">
        <f t="shared" si="2"/>
        <v>166651</v>
      </c>
      <c r="H17" s="1592">
        <f t="shared" si="2"/>
        <v>4356553</v>
      </c>
      <c r="I17" s="468"/>
      <c r="J17" s="1592">
        <f>SUM(J12:J16)</f>
        <v>0</v>
      </c>
      <c r="K17" s="1592">
        <f>SUM(K12:K16)</f>
        <v>0</v>
      </c>
      <c r="L17" s="347"/>
    </row>
    <row r="18" spans="1:12" ht="15" customHeight="1" thickTop="1" x14ac:dyDescent="0.2">
      <c r="A18" s="1648" t="s">
        <v>1648</v>
      </c>
      <c r="B18" s="1649">
        <v>4180</v>
      </c>
      <c r="C18" s="1646">
        <f t="shared" ref="C18:H18" si="3">C9</f>
        <v>3248616</v>
      </c>
      <c r="D18" s="1646">
        <f t="shared" si="3"/>
        <v>0</v>
      </c>
      <c r="E18" s="1646">
        <f t="shared" si="3"/>
        <v>0</v>
      </c>
      <c r="F18" s="1646">
        <f t="shared" si="3"/>
        <v>0</v>
      </c>
      <c r="G18" s="1646">
        <f t="shared" si="3"/>
        <v>0</v>
      </c>
      <c r="H18" s="1646">
        <f t="shared" si="3"/>
        <v>0</v>
      </c>
      <c r="I18" s="468"/>
      <c r="J18" s="1646">
        <f>J9</f>
        <v>0</v>
      </c>
      <c r="K18" s="1646">
        <f>K9</f>
        <v>0</v>
      </c>
      <c r="L18" s="347"/>
    </row>
    <row r="19" spans="1:12" ht="13.5" thickBot="1" x14ac:dyDescent="0.25">
      <c r="A19" s="1612" t="s">
        <v>505</v>
      </c>
      <c r="B19" s="1613"/>
      <c r="C19" s="1592">
        <f t="shared" ref="C19:H19" si="4">SUM(C17:C18)</f>
        <v>11146017</v>
      </c>
      <c r="D19" s="1592">
        <f t="shared" si="4"/>
        <v>1463317</v>
      </c>
      <c r="E19" s="1592">
        <f t="shared" si="4"/>
        <v>2213208</v>
      </c>
      <c r="F19" s="1592">
        <f t="shared" si="4"/>
        <v>668508</v>
      </c>
      <c r="G19" s="1592">
        <f t="shared" si="4"/>
        <v>166651</v>
      </c>
      <c r="H19" s="1592">
        <f t="shared" si="4"/>
        <v>4356553</v>
      </c>
      <c r="I19" s="468"/>
      <c r="J19" s="1592">
        <f>SUM(J17:J18)</f>
        <v>0</v>
      </c>
      <c r="K19" s="1592">
        <f>SUM(K17:K18)</f>
        <v>0</v>
      </c>
      <c r="L19" s="347"/>
    </row>
    <row r="20" spans="1:12" ht="16.5" thickTop="1" thickBot="1" x14ac:dyDescent="0.25">
      <c r="A20" s="2126" t="s">
        <v>1649</v>
      </c>
      <c r="B20" s="2127"/>
      <c r="C20" s="1650">
        <f>C8-C17</f>
        <v>1025035</v>
      </c>
      <c r="D20" s="1650">
        <f t="shared" ref="D20:K20" si="5">D8-D17</f>
        <v>-34837</v>
      </c>
      <c r="E20" s="1650">
        <f t="shared" si="5"/>
        <v>-492999</v>
      </c>
      <c r="F20" s="1650">
        <f t="shared" si="5"/>
        <v>46959</v>
      </c>
      <c r="G20" s="1650">
        <f t="shared" si="5"/>
        <v>-785</v>
      </c>
      <c r="H20" s="1650">
        <f t="shared" si="5"/>
        <v>-4204279</v>
      </c>
      <c r="I20" s="1650">
        <f t="shared" si="5"/>
        <v>976</v>
      </c>
      <c r="J20" s="1650">
        <f t="shared" si="5"/>
        <v>0</v>
      </c>
      <c r="K20" s="1650">
        <f t="shared" si="5"/>
        <v>0</v>
      </c>
      <c r="L20" s="347"/>
    </row>
    <row r="21" spans="1:12" ht="16.7" customHeight="1" thickTop="1" x14ac:dyDescent="0.2">
      <c r="A21" s="2138" t="s">
        <v>595</v>
      </c>
      <c r="B21" s="2139"/>
      <c r="C21" s="1480"/>
      <c r="D21" s="1481"/>
      <c r="E21" s="1481"/>
      <c r="F21" s="1481"/>
      <c r="G21" s="1481"/>
      <c r="H21" s="1481"/>
      <c r="I21" s="1481"/>
      <c r="J21" s="1481"/>
      <c r="K21" s="148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1769</v>
      </c>
      <c r="B30" s="527">
        <v>7160</v>
      </c>
      <c r="C30" s="477"/>
      <c r="D30" s="467"/>
      <c r="E30" s="477"/>
      <c r="F30" s="477"/>
      <c r="G30" s="477"/>
      <c r="H30" s="477"/>
      <c r="I30" s="477"/>
      <c r="J30" s="477"/>
      <c r="K30" s="477"/>
      <c r="L30" s="524"/>
    </row>
    <row r="31" spans="1:12" s="485" customFormat="1" ht="26.25" x14ac:dyDescent="0.2">
      <c r="A31" s="1399" t="s">
        <v>1773</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399" t="s">
        <v>412</v>
      </c>
      <c r="B33" s="525">
        <v>7210</v>
      </c>
      <c r="C33" s="467"/>
      <c r="D33" s="467"/>
      <c r="E33" s="467"/>
      <c r="F33" s="467"/>
      <c r="G33" s="477"/>
      <c r="H33" s="467"/>
      <c r="I33" s="467"/>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47">
        <f>SUM(C54:D57,H54:H57)</f>
        <v>0</v>
      </c>
      <c r="F37" s="475"/>
      <c r="G37" s="475"/>
      <c r="H37" s="475"/>
      <c r="I37" s="477"/>
      <c r="J37" s="475"/>
      <c r="K37" s="475"/>
      <c r="L37" s="524"/>
    </row>
    <row r="38" spans="1:12" s="485" customFormat="1" x14ac:dyDescent="0.2">
      <c r="A38" s="1399" t="s">
        <v>442</v>
      </c>
      <c r="B38" s="525">
        <v>7500</v>
      </c>
      <c r="C38" s="477"/>
      <c r="D38" s="477"/>
      <c r="E38" s="1647">
        <f>SUM(C58:D61,H58:H61)</f>
        <v>0</v>
      </c>
      <c r="F38" s="477"/>
      <c r="G38" s="477"/>
      <c r="H38" s="477"/>
      <c r="I38" s="477"/>
      <c r="J38" s="477"/>
      <c r="K38" s="477"/>
      <c r="L38" s="524"/>
    </row>
    <row r="39" spans="1:12" s="485" customFormat="1" x14ac:dyDescent="0.2">
      <c r="A39" s="1399" t="s">
        <v>443</v>
      </c>
      <c r="B39" s="525">
        <v>7600</v>
      </c>
      <c r="C39" s="477"/>
      <c r="D39" s="477"/>
      <c r="E39" s="1647">
        <f>SUM(C62:D65)</f>
        <v>1878890</v>
      </c>
      <c r="F39" s="477"/>
      <c r="G39" s="477"/>
      <c r="H39" s="477"/>
      <c r="I39" s="477"/>
      <c r="J39" s="477"/>
      <c r="K39" s="477"/>
      <c r="L39" s="524"/>
    </row>
    <row r="40" spans="1:12" s="485" customFormat="1" ht="13.5" customHeight="1" x14ac:dyDescent="0.2">
      <c r="A40" s="1399" t="s">
        <v>642</v>
      </c>
      <c r="B40" s="483">
        <v>7700</v>
      </c>
      <c r="C40" s="477"/>
      <c r="D40" s="477"/>
      <c r="E40" s="1647">
        <f>SUM(C66:D69)</f>
        <v>334318</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47">
        <f>SUM(C70:D73)</f>
        <v>0</v>
      </c>
      <c r="I41" s="477"/>
      <c r="J41" s="477"/>
      <c r="K41" s="480"/>
      <c r="L41" s="524"/>
    </row>
    <row r="42" spans="1:12" s="485" customFormat="1" ht="13.5" customHeight="1" x14ac:dyDescent="0.2">
      <c r="A42" s="1399" t="s">
        <v>641</v>
      </c>
      <c r="B42" s="483">
        <v>7900</v>
      </c>
      <c r="C42" s="467"/>
      <c r="D42" s="467"/>
      <c r="E42" s="467"/>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40" t="s">
        <v>374</v>
      </c>
      <c r="B44" s="2141"/>
      <c r="C44" s="1607">
        <f>SUM(C24:C43)</f>
        <v>0</v>
      </c>
      <c r="D44" s="1607">
        <f t="shared" ref="D44:K44" si="6">SUM(D24:D43)</f>
        <v>0</v>
      </c>
      <c r="E44" s="1607">
        <f t="shared" si="6"/>
        <v>2213208</v>
      </c>
      <c r="F44" s="1607">
        <f t="shared" si="6"/>
        <v>0</v>
      </c>
      <c r="G44" s="1607">
        <f t="shared" si="6"/>
        <v>0</v>
      </c>
      <c r="H44" s="1607">
        <f t="shared" si="6"/>
        <v>0</v>
      </c>
      <c r="I44" s="1607">
        <f t="shared" si="6"/>
        <v>0</v>
      </c>
      <c r="J44" s="1607">
        <f t="shared" si="6"/>
        <v>0</v>
      </c>
      <c r="K44" s="1607">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47">
        <f>SUM(C24,C25:H25,J25:K25)</f>
        <v>0</v>
      </c>
      <c r="J47" s="477"/>
      <c r="K47" s="477"/>
      <c r="L47" s="529"/>
    </row>
    <row r="48" spans="1:12" s="485" customFormat="1" ht="15" x14ac:dyDescent="0.2">
      <c r="A48" s="1400" t="s">
        <v>1654</v>
      </c>
      <c r="B48" s="483">
        <v>8120</v>
      </c>
      <c r="C48" s="480"/>
      <c r="D48" s="480"/>
      <c r="E48" s="477"/>
      <c r="F48" s="480"/>
      <c r="G48" s="477"/>
      <c r="H48" s="477"/>
      <c r="I48" s="1647">
        <f>SUM(C26:H26,J26,K26)</f>
        <v>0</v>
      </c>
      <c r="J48" s="477"/>
      <c r="K48" s="477"/>
      <c r="L48" s="529"/>
    </row>
    <row r="49" spans="1:12" s="485" customFormat="1" x14ac:dyDescent="0.2">
      <c r="A49" s="1400" t="s">
        <v>185</v>
      </c>
      <c r="B49" s="483">
        <v>8130</v>
      </c>
      <c r="C49" s="467"/>
      <c r="D49" s="467"/>
      <c r="E49" s="480"/>
      <c r="F49" s="467"/>
      <c r="G49" s="480"/>
      <c r="H49" s="480"/>
      <c r="I49" s="477"/>
      <c r="J49" s="480"/>
      <c r="K49" s="477"/>
      <c r="L49" s="524"/>
    </row>
    <row r="50" spans="1:12" s="485" customFormat="1" x14ac:dyDescent="0.2">
      <c r="A50" s="1400" t="s">
        <v>1396</v>
      </c>
      <c r="B50" s="483">
        <v>8140</v>
      </c>
      <c r="C50" s="467"/>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47">
        <f>SUM(D29)</f>
        <v>0</v>
      </c>
      <c r="I51" s="477"/>
      <c r="J51" s="475"/>
      <c r="K51" s="480"/>
      <c r="L51" s="524"/>
    </row>
    <row r="52" spans="1:12" s="485" customFormat="1" ht="26.25" x14ac:dyDescent="0.2">
      <c r="A52" s="1400" t="s">
        <v>1772</v>
      </c>
      <c r="B52" s="483">
        <v>8160</v>
      </c>
      <c r="C52" s="477"/>
      <c r="D52" s="477"/>
      <c r="E52" s="477"/>
      <c r="F52" s="477"/>
      <c r="G52" s="477"/>
      <c r="H52" s="477"/>
      <c r="I52" s="477"/>
      <c r="J52" s="477"/>
      <c r="K52" s="1647">
        <f>D30</f>
        <v>0</v>
      </c>
      <c r="L52" s="524"/>
    </row>
    <row r="53" spans="1:12" s="485" customFormat="1" ht="26.25" x14ac:dyDescent="0.2">
      <c r="A53" s="1400" t="s">
        <v>1771</v>
      </c>
      <c r="B53" s="483">
        <v>8170</v>
      </c>
      <c r="C53" s="480"/>
      <c r="D53" s="480"/>
      <c r="E53" s="477"/>
      <c r="F53" s="477"/>
      <c r="G53" s="477"/>
      <c r="H53" s="480"/>
      <c r="I53" s="477"/>
      <c r="J53" s="477"/>
      <c r="K53" s="1647">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c r="D56" s="531"/>
      <c r="E56" s="477"/>
      <c r="F56" s="477"/>
      <c r="G56" s="477"/>
      <c r="H56" s="530"/>
      <c r="I56" s="477"/>
      <c r="J56" s="477"/>
      <c r="K56" s="477"/>
      <c r="L56" s="524"/>
    </row>
    <row r="57" spans="1:12" s="485" customFormat="1" ht="14.25" thickTop="1" thickBot="1" x14ac:dyDescent="0.25">
      <c r="A57" s="1401" t="s">
        <v>578</v>
      </c>
      <c r="B57" s="483">
        <v>8440</v>
      </c>
      <c r="C57" s="531"/>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v>1878890</v>
      </c>
      <c r="D64" s="531"/>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v>334318</v>
      </c>
      <c r="D68" s="531"/>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c r="E73" s="477"/>
      <c r="F73" s="477"/>
      <c r="G73" s="477"/>
      <c r="H73" s="477"/>
      <c r="I73" s="477"/>
      <c r="J73" s="477"/>
      <c r="K73" s="480"/>
      <c r="L73" s="524"/>
    </row>
    <row r="74" spans="1:12" s="485" customFormat="1" ht="14.25" thickTop="1" thickBot="1" x14ac:dyDescent="0.25">
      <c r="A74" s="1400" t="s">
        <v>375</v>
      </c>
      <c r="B74" s="483">
        <v>8910</v>
      </c>
      <c r="C74" s="531"/>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607">
        <f t="shared" ref="C76:K76" si="7">SUM(C47:C75)</f>
        <v>2213208</v>
      </c>
      <c r="D76" s="1607">
        <f t="shared" si="7"/>
        <v>0</v>
      </c>
      <c r="E76" s="1607">
        <f t="shared" si="7"/>
        <v>0</v>
      </c>
      <c r="F76" s="1607">
        <f t="shared" si="7"/>
        <v>0</v>
      </c>
      <c r="G76" s="1607">
        <f t="shared" si="7"/>
        <v>0</v>
      </c>
      <c r="H76" s="1607">
        <f t="shared" si="7"/>
        <v>0</v>
      </c>
      <c r="I76" s="1607">
        <f t="shared" si="7"/>
        <v>0</v>
      </c>
      <c r="J76" s="1607">
        <f t="shared" si="7"/>
        <v>0</v>
      </c>
      <c r="K76" s="1607">
        <f t="shared" si="7"/>
        <v>0</v>
      </c>
      <c r="L76" s="524"/>
    </row>
    <row r="77" spans="1:12" ht="14.25" thickTop="1" thickBot="1" x14ac:dyDescent="0.25">
      <c r="A77" s="2118" t="s">
        <v>1177</v>
      </c>
      <c r="B77" s="2119"/>
      <c r="C77" s="1607">
        <f t="shared" ref="C77:K77" si="8">C44-C76</f>
        <v>-2213208</v>
      </c>
      <c r="D77" s="1607">
        <f t="shared" si="8"/>
        <v>0</v>
      </c>
      <c r="E77" s="1607">
        <f t="shared" si="8"/>
        <v>2213208</v>
      </c>
      <c r="F77" s="1607">
        <f t="shared" si="8"/>
        <v>0</v>
      </c>
      <c r="G77" s="1607">
        <f t="shared" si="8"/>
        <v>0</v>
      </c>
      <c r="H77" s="1607">
        <f t="shared" si="8"/>
        <v>0</v>
      </c>
      <c r="I77" s="1607">
        <f t="shared" si="8"/>
        <v>0</v>
      </c>
      <c r="J77" s="1607">
        <f t="shared" si="8"/>
        <v>0</v>
      </c>
      <c r="K77" s="1607">
        <f t="shared" si="8"/>
        <v>0</v>
      </c>
      <c r="L77" s="347"/>
    </row>
    <row r="78" spans="1:12" ht="21.75" customHeight="1" thickTop="1" thickBot="1" x14ac:dyDescent="0.25">
      <c r="A78" s="2122" t="s">
        <v>597</v>
      </c>
      <c r="B78" s="2123"/>
      <c r="C78" s="1606">
        <f t="shared" ref="C78:K78" si="9">C20+C77</f>
        <v>-1188173</v>
      </c>
      <c r="D78" s="1606">
        <f t="shared" si="9"/>
        <v>-34837</v>
      </c>
      <c r="E78" s="1606">
        <f t="shared" si="9"/>
        <v>1720209</v>
      </c>
      <c r="F78" s="1606">
        <f t="shared" si="9"/>
        <v>46959</v>
      </c>
      <c r="G78" s="1606">
        <f t="shared" si="9"/>
        <v>-785</v>
      </c>
      <c r="H78" s="1606">
        <f t="shared" si="9"/>
        <v>-4204279</v>
      </c>
      <c r="I78" s="1606">
        <f t="shared" si="9"/>
        <v>976</v>
      </c>
      <c r="J78" s="1606">
        <f t="shared" si="9"/>
        <v>0</v>
      </c>
      <c r="K78" s="1606">
        <f t="shared" si="9"/>
        <v>0</v>
      </c>
      <c r="L78" s="533"/>
    </row>
    <row r="79" spans="1:12" ht="13.5" thickTop="1" x14ac:dyDescent="0.2">
      <c r="A79" s="1404" t="s">
        <v>1923</v>
      </c>
      <c r="B79" s="534"/>
      <c r="C79" s="478">
        <v>6199786</v>
      </c>
      <c r="D79" s="535">
        <v>1835459</v>
      </c>
      <c r="E79" s="535">
        <v>901591</v>
      </c>
      <c r="F79" s="535">
        <v>375639</v>
      </c>
      <c r="G79" s="535">
        <v>325132</v>
      </c>
      <c r="H79" s="535">
        <v>7466755</v>
      </c>
      <c r="I79" s="535">
        <v>266640</v>
      </c>
      <c r="J79" s="535"/>
      <c r="K79" s="535"/>
      <c r="L79" s="347"/>
    </row>
    <row r="80" spans="1:12" x14ac:dyDescent="0.2">
      <c r="A80" s="2128" t="s">
        <v>1770</v>
      </c>
      <c r="B80" s="2129"/>
      <c r="C80" s="467"/>
      <c r="D80" s="467"/>
      <c r="E80" s="467"/>
      <c r="F80" s="467"/>
      <c r="G80" s="467"/>
      <c r="H80" s="467"/>
      <c r="I80" s="467"/>
      <c r="J80" s="467"/>
      <c r="K80" s="467"/>
      <c r="L80" s="347"/>
    </row>
    <row r="81" spans="1:12" ht="13.5" thickBot="1" x14ac:dyDescent="0.25">
      <c r="A81" s="2120" t="s">
        <v>1924</v>
      </c>
      <c r="B81" s="2121"/>
      <c r="C81" s="1592">
        <f>(SUM(C78:C80))</f>
        <v>5011613</v>
      </c>
      <c r="D81" s="1592">
        <f>SUM(D78:D80)</f>
        <v>1800622</v>
      </c>
      <c r="E81" s="1592">
        <f t="shared" ref="E81:K81" si="10">SUM(E78:E80)</f>
        <v>2621800</v>
      </c>
      <c r="F81" s="1592">
        <f t="shared" si="10"/>
        <v>422598</v>
      </c>
      <c r="G81" s="1592">
        <f t="shared" si="10"/>
        <v>324347</v>
      </c>
      <c r="H81" s="1592">
        <f t="shared" si="10"/>
        <v>3262476</v>
      </c>
      <c r="I81" s="1592">
        <f t="shared" si="10"/>
        <v>267616</v>
      </c>
      <c r="J81" s="1592">
        <f t="shared" si="10"/>
        <v>0</v>
      </c>
      <c r="K81" s="1592">
        <f t="shared" si="10"/>
        <v>0</v>
      </c>
      <c r="L81" s="347"/>
    </row>
    <row r="82" spans="1:12" ht="0.75" customHeight="1" thickTop="1" thickBot="1" x14ac:dyDescent="0.25">
      <c r="A82" s="536" t="s">
        <v>343</v>
      </c>
      <c r="B82" s="537"/>
      <c r="C82" s="538">
        <f>(C81-C79)</f>
        <v>-1188173</v>
      </c>
      <c r="D82" s="538">
        <f t="shared" ref="D82:K82" si="11">(D81-D79)</f>
        <v>-34837</v>
      </c>
      <c r="E82" s="538">
        <f t="shared" si="11"/>
        <v>1720209</v>
      </c>
      <c r="F82" s="538">
        <f t="shared" si="11"/>
        <v>46959</v>
      </c>
      <c r="G82" s="538">
        <f t="shared" si="11"/>
        <v>-785</v>
      </c>
      <c r="H82" s="538">
        <f t="shared" si="11"/>
        <v>-4204279</v>
      </c>
      <c r="I82" s="538">
        <f t="shared" si="11"/>
        <v>976</v>
      </c>
      <c r="J82" s="538">
        <f t="shared" si="11"/>
        <v>0</v>
      </c>
      <c r="K82" s="538">
        <f t="shared" si="11"/>
        <v>0</v>
      </c>
    </row>
    <row r="83" spans="1:12" ht="14.25" hidden="1" thickTop="1" thickBot="1" x14ac:dyDescent="0.25">
      <c r="A83" s="539" t="s">
        <v>344</v>
      </c>
      <c r="B83" s="464"/>
      <c r="C83" s="540">
        <f>C82/C81</f>
        <v>-0.23708394882046957</v>
      </c>
      <c r="D83" s="540">
        <f t="shared" ref="D83:K83" si="12">D82/D81</f>
        <v>-1.9347203355285007E-2</v>
      </c>
      <c r="E83" s="540">
        <f t="shared" si="12"/>
        <v>0.65611755282630257</v>
      </c>
      <c r="F83" s="540">
        <f t="shared" si="12"/>
        <v>0.1111197875995627</v>
      </c>
      <c r="G83" s="540">
        <f t="shared" si="12"/>
        <v>-2.420247451032382E-3</v>
      </c>
      <c r="H83" s="540">
        <f t="shared" si="12"/>
        <v>-1.2886773726458065</v>
      </c>
      <c r="I83" s="540">
        <f t="shared" si="12"/>
        <v>3.6470166208298458E-3</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activeCell="D36" sqref="D36"/>
      <selection pane="bottomLeft" activeCell="C259" sqref="C259"/>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24" t="s">
        <v>1777</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9" t="s">
        <v>113</v>
      </c>
      <c r="B3" s="1490"/>
      <c r="C3" s="1491"/>
      <c r="D3" s="1491"/>
      <c r="E3" s="1491"/>
      <c r="F3" s="1492"/>
      <c r="G3" s="1493"/>
      <c r="H3" s="1492"/>
      <c r="I3" s="1492"/>
      <c r="J3" s="1492"/>
      <c r="K3" s="1494"/>
    </row>
    <row r="4" spans="1:12" ht="15.75" customHeight="1" x14ac:dyDescent="0.2">
      <c r="A4" s="1500" t="s">
        <v>379</v>
      </c>
      <c r="B4" s="1501">
        <v>1100</v>
      </c>
      <c r="C4" s="543"/>
      <c r="D4" s="543"/>
      <c r="E4" s="543"/>
      <c r="F4" s="544"/>
      <c r="G4" s="545"/>
      <c r="H4" s="546"/>
      <c r="I4" s="546"/>
      <c r="J4" s="546"/>
      <c r="K4" s="546"/>
    </row>
    <row r="5" spans="1:12" ht="15" x14ac:dyDescent="0.2">
      <c r="A5" s="493" t="s">
        <v>1655</v>
      </c>
      <c r="B5" s="547"/>
      <c r="C5" s="1837">
        <v>7066950</v>
      </c>
      <c r="D5" s="1837">
        <v>1165418</v>
      </c>
      <c r="E5" s="1838">
        <v>1714002</v>
      </c>
      <c r="F5" s="1839">
        <v>473365</v>
      </c>
      <c r="G5" s="1838">
        <v>81831</v>
      </c>
      <c r="H5" s="1838">
        <v>0</v>
      </c>
      <c r="I5" s="1838">
        <v>0</v>
      </c>
      <c r="J5" s="1838">
        <v>0</v>
      </c>
      <c r="K5" s="1838">
        <v>0</v>
      </c>
    </row>
    <row r="6" spans="1:12" ht="15" x14ac:dyDescent="0.2">
      <c r="A6" s="463" t="s">
        <v>1656</v>
      </c>
      <c r="B6" s="470">
        <v>1130</v>
      </c>
      <c r="C6" s="1838">
        <v>0</v>
      </c>
      <c r="D6" s="1838">
        <v>0</v>
      </c>
      <c r="E6" s="500"/>
      <c r="F6" s="500"/>
      <c r="G6" s="599"/>
      <c r="H6" s="599"/>
      <c r="I6" s="599"/>
      <c r="J6" s="599"/>
      <c r="K6" s="599"/>
    </row>
    <row r="7" spans="1:12" x14ac:dyDescent="0.2">
      <c r="A7" s="463" t="s">
        <v>110</v>
      </c>
      <c r="B7" s="548">
        <v>1140</v>
      </c>
      <c r="C7" s="1838">
        <v>0</v>
      </c>
      <c r="D7" s="1838">
        <v>0</v>
      </c>
      <c r="E7" s="599"/>
      <c r="F7" s="1837">
        <v>0</v>
      </c>
      <c r="G7" s="1837">
        <v>0</v>
      </c>
      <c r="H7" s="1837">
        <v>0</v>
      </c>
      <c r="I7" s="599"/>
      <c r="J7" s="599"/>
      <c r="K7" s="599"/>
    </row>
    <row r="8" spans="1:12" x14ac:dyDescent="0.2">
      <c r="A8" s="463" t="s">
        <v>413</v>
      </c>
      <c r="B8" s="470">
        <v>1150</v>
      </c>
      <c r="C8" s="500"/>
      <c r="D8" s="500"/>
      <c r="E8" s="620"/>
      <c r="F8" s="620"/>
      <c r="G8" s="1837">
        <v>81831</v>
      </c>
      <c r="H8" s="599"/>
      <c r="I8" s="599"/>
      <c r="J8" s="599"/>
      <c r="K8" s="599"/>
    </row>
    <row r="9" spans="1:12" x14ac:dyDescent="0.2">
      <c r="A9" s="473" t="s">
        <v>111</v>
      </c>
      <c r="B9" s="470">
        <v>1160</v>
      </c>
      <c r="C9" s="599"/>
      <c r="D9" s="1838">
        <v>0</v>
      </c>
      <c r="E9" s="1837">
        <v>0</v>
      </c>
      <c r="F9" s="1840"/>
      <c r="G9" s="1841"/>
      <c r="H9" s="1837">
        <v>0</v>
      </c>
      <c r="I9" s="599"/>
      <c r="J9" s="599"/>
      <c r="K9" s="599"/>
    </row>
    <row r="10" spans="1:12" x14ac:dyDescent="0.2">
      <c r="A10" s="473" t="s">
        <v>112</v>
      </c>
      <c r="B10" s="470">
        <v>1170</v>
      </c>
      <c r="C10" s="1838">
        <v>0</v>
      </c>
      <c r="D10" s="1842"/>
      <c r="E10" s="1842"/>
      <c r="F10" s="1843"/>
      <c r="G10" s="599"/>
      <c r="H10" s="599"/>
      <c r="I10" s="599"/>
      <c r="J10" s="599"/>
      <c r="K10" s="599"/>
    </row>
    <row r="11" spans="1:12" x14ac:dyDescent="0.2">
      <c r="A11" s="473" t="s">
        <v>414</v>
      </c>
      <c r="B11" s="549">
        <v>1190</v>
      </c>
      <c r="C11" s="1838">
        <v>0</v>
      </c>
      <c r="D11" s="1838">
        <v>0</v>
      </c>
      <c r="E11" s="1837">
        <v>0</v>
      </c>
      <c r="F11" s="1837">
        <v>0</v>
      </c>
      <c r="G11" s="1837">
        <v>0</v>
      </c>
      <c r="H11" s="1837">
        <v>0</v>
      </c>
      <c r="I11" s="1837">
        <v>0</v>
      </c>
      <c r="J11" s="1837">
        <v>0</v>
      </c>
      <c r="K11" s="1837">
        <v>0</v>
      </c>
      <c r="L11" s="550"/>
    </row>
    <row r="12" spans="1:12" ht="12.75" customHeight="1" thickBot="1" x14ac:dyDescent="0.25">
      <c r="A12" s="1609" t="s">
        <v>29</v>
      </c>
      <c r="B12" s="1610"/>
      <c r="C12" s="1611">
        <f t="shared" ref="C12:K12" si="0">SUM(C5:C11)</f>
        <v>7066950</v>
      </c>
      <c r="D12" s="1611">
        <f t="shared" si="0"/>
        <v>1165418</v>
      </c>
      <c r="E12" s="1611">
        <f t="shared" si="0"/>
        <v>1714002</v>
      </c>
      <c r="F12" s="1611">
        <f t="shared" si="0"/>
        <v>473365</v>
      </c>
      <c r="G12" s="1611">
        <f t="shared" si="0"/>
        <v>163662</v>
      </c>
      <c r="H12" s="1611">
        <f t="shared" si="0"/>
        <v>0</v>
      </c>
      <c r="I12" s="1611">
        <f t="shared" si="0"/>
        <v>0</v>
      </c>
      <c r="J12" s="1611">
        <f t="shared" si="0"/>
        <v>0</v>
      </c>
      <c r="K12" s="1592">
        <f t="shared" si="0"/>
        <v>0</v>
      </c>
    </row>
    <row r="13" spans="1:12" ht="15.75" customHeight="1" thickTop="1" x14ac:dyDescent="0.2">
      <c r="A13" s="1502" t="s">
        <v>451</v>
      </c>
      <c r="B13" s="1503">
        <v>1200</v>
      </c>
      <c r="C13" s="551"/>
      <c r="D13" s="551"/>
      <c r="E13" s="551"/>
      <c r="F13" s="551"/>
      <c r="G13" s="551"/>
      <c r="H13" s="551"/>
      <c r="I13" s="551"/>
      <c r="J13" s="551"/>
      <c r="K13" s="468"/>
    </row>
    <row r="14" spans="1:12" x14ac:dyDescent="0.2">
      <c r="A14" s="463" t="s">
        <v>3</v>
      </c>
      <c r="B14" s="470">
        <v>1210</v>
      </c>
      <c r="C14" s="1838">
        <v>0</v>
      </c>
      <c r="D14" s="1838">
        <v>0</v>
      </c>
      <c r="E14" s="1837">
        <v>0</v>
      </c>
      <c r="F14" s="1837">
        <v>0</v>
      </c>
      <c r="G14" s="1837">
        <v>0</v>
      </c>
      <c r="H14" s="1837">
        <v>0</v>
      </c>
      <c r="I14" s="1837">
        <v>0</v>
      </c>
      <c r="J14" s="1837">
        <v>0</v>
      </c>
      <c r="K14" s="1837">
        <v>0</v>
      </c>
    </row>
    <row r="15" spans="1:12" ht="12.75" customHeight="1" x14ac:dyDescent="0.2">
      <c r="A15" s="463" t="s">
        <v>95</v>
      </c>
      <c r="B15" s="470">
        <v>1220</v>
      </c>
      <c r="C15" s="1838">
        <v>0</v>
      </c>
      <c r="D15" s="1838">
        <v>0</v>
      </c>
      <c r="E15" s="1837">
        <v>0</v>
      </c>
      <c r="F15" s="1837">
        <v>0</v>
      </c>
      <c r="G15" s="1837">
        <v>0</v>
      </c>
      <c r="H15" s="1837">
        <v>0</v>
      </c>
      <c r="I15" s="1837">
        <v>0</v>
      </c>
      <c r="J15" s="1837">
        <v>0</v>
      </c>
      <c r="K15" s="1837">
        <v>0</v>
      </c>
    </row>
    <row r="16" spans="1:12" ht="15" customHeight="1" x14ac:dyDescent="0.2">
      <c r="A16" s="463" t="s">
        <v>1657</v>
      </c>
      <c r="B16" s="548">
        <v>1230</v>
      </c>
      <c r="C16" s="1838">
        <v>629103</v>
      </c>
      <c r="D16" s="1838">
        <v>10000</v>
      </c>
      <c r="E16" s="1837">
        <v>0</v>
      </c>
      <c r="F16" s="1837">
        <v>1000</v>
      </c>
      <c r="G16" s="1837">
        <v>1000</v>
      </c>
      <c r="H16" s="1837">
        <v>0</v>
      </c>
      <c r="I16" s="1837">
        <v>0</v>
      </c>
      <c r="J16" s="1837">
        <v>0</v>
      </c>
      <c r="K16" s="1837">
        <v>0</v>
      </c>
    </row>
    <row r="17" spans="1:11" ht="12.75" customHeight="1" x14ac:dyDescent="0.2">
      <c r="A17" s="463" t="s">
        <v>807</v>
      </c>
      <c r="B17" s="470">
        <v>1290</v>
      </c>
      <c r="C17" s="1838">
        <v>0</v>
      </c>
      <c r="D17" s="1838">
        <v>0</v>
      </c>
      <c r="E17" s="1837">
        <v>0</v>
      </c>
      <c r="F17" s="1837">
        <v>0</v>
      </c>
      <c r="G17" s="1837">
        <v>0</v>
      </c>
      <c r="H17" s="1837">
        <v>0</v>
      </c>
      <c r="I17" s="1837">
        <v>0</v>
      </c>
      <c r="J17" s="1837">
        <v>0</v>
      </c>
      <c r="K17" s="1837">
        <v>0</v>
      </c>
    </row>
    <row r="18" spans="1:11" ht="12.75" customHeight="1" thickBot="1" x14ac:dyDescent="0.25">
      <c r="A18" s="1612" t="s">
        <v>537</v>
      </c>
      <c r="B18" s="1613"/>
      <c r="C18" s="1614">
        <f>SUM(C14:C17)</f>
        <v>629103</v>
      </c>
      <c r="D18" s="1614">
        <f t="shared" ref="D18:K18" si="1">SUM(D14:D17)</f>
        <v>10000</v>
      </c>
      <c r="E18" s="1614">
        <f t="shared" si="1"/>
        <v>0</v>
      </c>
      <c r="F18" s="1614">
        <f t="shared" si="1"/>
        <v>1000</v>
      </c>
      <c r="G18" s="1614">
        <f t="shared" si="1"/>
        <v>1000</v>
      </c>
      <c r="H18" s="1614">
        <f t="shared" si="1"/>
        <v>0</v>
      </c>
      <c r="I18" s="1614">
        <f t="shared" si="1"/>
        <v>0</v>
      </c>
      <c r="J18" s="1614">
        <f t="shared" si="1"/>
        <v>0</v>
      </c>
      <c r="K18" s="1615">
        <f t="shared" si="1"/>
        <v>0</v>
      </c>
    </row>
    <row r="19" spans="1:11" ht="15.75" customHeight="1" thickTop="1" x14ac:dyDescent="0.2">
      <c r="A19" s="1502" t="s">
        <v>452</v>
      </c>
      <c r="B19" s="1503">
        <v>1300</v>
      </c>
      <c r="C19" s="552"/>
      <c r="D19" s="552"/>
      <c r="E19" s="552"/>
      <c r="F19" s="552"/>
      <c r="G19" s="551"/>
      <c r="H19" s="552"/>
      <c r="I19" s="552"/>
      <c r="J19" s="552"/>
      <c r="K19" s="553"/>
    </row>
    <row r="20" spans="1:11" x14ac:dyDescent="0.2">
      <c r="A20" s="463" t="s">
        <v>1073</v>
      </c>
      <c r="B20" s="470">
        <v>1311</v>
      </c>
      <c r="C20" s="1838">
        <v>0</v>
      </c>
      <c r="D20" s="468"/>
      <c r="E20" s="468"/>
      <c r="F20" s="468"/>
      <c r="G20" s="468"/>
      <c r="H20" s="468"/>
      <c r="I20" s="468"/>
      <c r="J20" s="468"/>
      <c r="K20" s="468"/>
    </row>
    <row r="21" spans="1:11" ht="12.75" customHeight="1" x14ac:dyDescent="0.2">
      <c r="A21" s="463" t="s">
        <v>832</v>
      </c>
      <c r="B21" s="470">
        <v>1312</v>
      </c>
      <c r="C21" s="1838">
        <v>0</v>
      </c>
      <c r="D21" s="468"/>
      <c r="E21" s="468"/>
      <c r="F21" s="468"/>
      <c r="G21" s="468"/>
      <c r="H21" s="468"/>
      <c r="I21" s="468"/>
      <c r="J21" s="468"/>
      <c r="K21" s="468"/>
    </row>
    <row r="22" spans="1:11" ht="12.75" customHeight="1" x14ac:dyDescent="0.2">
      <c r="A22" s="463" t="s">
        <v>1074</v>
      </c>
      <c r="B22" s="470">
        <v>1313</v>
      </c>
      <c r="C22" s="1838">
        <v>0</v>
      </c>
      <c r="D22" s="468"/>
      <c r="E22" s="468"/>
      <c r="F22" s="468"/>
      <c r="G22" s="468"/>
      <c r="H22" s="468"/>
      <c r="I22" s="468"/>
      <c r="J22" s="468"/>
      <c r="K22" s="468"/>
    </row>
    <row r="23" spans="1:11" ht="12.75" customHeight="1" x14ac:dyDescent="0.2">
      <c r="A23" s="463" t="s">
        <v>1075</v>
      </c>
      <c r="B23" s="470">
        <v>1314</v>
      </c>
      <c r="C23" s="1838">
        <v>0</v>
      </c>
      <c r="D23" s="468"/>
      <c r="E23" s="468"/>
      <c r="F23" s="468"/>
      <c r="G23" s="468"/>
      <c r="H23" s="468"/>
      <c r="I23" s="468"/>
      <c r="J23" s="468"/>
      <c r="K23" s="468"/>
    </row>
    <row r="24" spans="1:11" ht="12.75" customHeight="1" x14ac:dyDescent="0.2">
      <c r="A24" s="463" t="s">
        <v>1027</v>
      </c>
      <c r="B24" s="470">
        <v>1321</v>
      </c>
      <c r="C24" s="1838">
        <v>0</v>
      </c>
      <c r="D24" s="468"/>
      <c r="E24" s="468"/>
      <c r="F24" s="468"/>
      <c r="G24" s="468"/>
      <c r="H24" s="468"/>
      <c r="I24" s="468"/>
      <c r="J24" s="468"/>
      <c r="K24" s="468"/>
    </row>
    <row r="25" spans="1:11" ht="12.75" customHeight="1" x14ac:dyDescent="0.2">
      <c r="A25" s="463" t="s">
        <v>833</v>
      </c>
      <c r="B25" s="470">
        <v>1322</v>
      </c>
      <c r="C25" s="1838">
        <v>0</v>
      </c>
      <c r="D25" s="468"/>
      <c r="E25" s="468"/>
      <c r="F25" s="468"/>
      <c r="G25" s="468"/>
      <c r="H25" s="468"/>
      <c r="I25" s="468"/>
      <c r="J25" s="468"/>
      <c r="K25" s="468"/>
    </row>
    <row r="26" spans="1:11" ht="12.75" customHeight="1" x14ac:dyDescent="0.2">
      <c r="A26" s="463" t="s">
        <v>1101</v>
      </c>
      <c r="B26" s="470">
        <v>1323</v>
      </c>
      <c r="C26" s="1838">
        <v>0</v>
      </c>
      <c r="D26" s="468"/>
      <c r="E26" s="468"/>
      <c r="F26" s="468"/>
      <c r="G26" s="468"/>
      <c r="H26" s="468"/>
      <c r="I26" s="468"/>
      <c r="J26" s="468"/>
      <c r="K26" s="468"/>
    </row>
    <row r="27" spans="1:11" ht="12.75" customHeight="1" x14ac:dyDescent="0.2">
      <c r="A27" s="463" t="s">
        <v>1023</v>
      </c>
      <c r="B27" s="470">
        <v>1324</v>
      </c>
      <c r="C27" s="1838">
        <v>0</v>
      </c>
      <c r="D27" s="468"/>
      <c r="E27" s="468"/>
      <c r="F27" s="468"/>
      <c r="G27" s="468"/>
      <c r="H27" s="468"/>
      <c r="I27" s="468"/>
      <c r="J27" s="468"/>
      <c r="K27" s="468"/>
    </row>
    <row r="28" spans="1:11" ht="12.75" customHeight="1" x14ac:dyDescent="0.2">
      <c r="A28" s="463" t="s">
        <v>1024</v>
      </c>
      <c r="B28" s="470">
        <v>1331</v>
      </c>
      <c r="C28" s="1838">
        <v>0</v>
      </c>
      <c r="D28" s="468"/>
      <c r="E28" s="468"/>
      <c r="F28" s="468"/>
      <c r="G28" s="468"/>
      <c r="H28" s="468"/>
      <c r="I28" s="468"/>
      <c r="J28" s="468"/>
      <c r="K28" s="468"/>
    </row>
    <row r="29" spans="1:11" ht="12.75" customHeight="1" x14ac:dyDescent="0.2">
      <c r="A29" s="463" t="s">
        <v>834</v>
      </c>
      <c r="B29" s="470">
        <v>1332</v>
      </c>
      <c r="C29" s="1838">
        <v>0</v>
      </c>
      <c r="D29" s="468"/>
      <c r="E29" s="468"/>
      <c r="F29" s="468"/>
      <c r="G29" s="468"/>
      <c r="H29" s="468"/>
      <c r="I29" s="468"/>
      <c r="J29" s="468"/>
      <c r="K29" s="468"/>
    </row>
    <row r="30" spans="1:11" ht="12.75" customHeight="1" x14ac:dyDescent="0.2">
      <c r="A30" s="463" t="s">
        <v>1026</v>
      </c>
      <c r="B30" s="470">
        <v>1333</v>
      </c>
      <c r="C30" s="1838">
        <v>0</v>
      </c>
      <c r="D30" s="468"/>
      <c r="E30" s="468"/>
      <c r="F30" s="468"/>
      <c r="G30" s="468"/>
      <c r="H30" s="468"/>
      <c r="I30" s="468"/>
      <c r="J30" s="468"/>
      <c r="K30" s="468"/>
    </row>
    <row r="31" spans="1:11" ht="12.75" customHeight="1" x14ac:dyDescent="0.2">
      <c r="A31" s="463" t="s">
        <v>1025</v>
      </c>
      <c r="B31" s="470">
        <v>1334</v>
      </c>
      <c r="C31" s="1838">
        <v>0</v>
      </c>
      <c r="D31" s="468"/>
      <c r="E31" s="468"/>
      <c r="F31" s="468"/>
      <c r="G31" s="468"/>
      <c r="H31" s="468"/>
      <c r="I31" s="468"/>
      <c r="J31" s="468"/>
      <c r="K31" s="468"/>
    </row>
    <row r="32" spans="1:11" ht="12.75" customHeight="1" x14ac:dyDescent="0.2">
      <c r="A32" s="463" t="s">
        <v>494</v>
      </c>
      <c r="B32" s="470">
        <v>1341</v>
      </c>
      <c r="C32" s="1838">
        <v>0</v>
      </c>
      <c r="D32" s="468"/>
      <c r="E32" s="468"/>
      <c r="F32" s="468"/>
      <c r="G32" s="468"/>
      <c r="H32" s="468"/>
      <c r="I32" s="468"/>
      <c r="J32" s="468"/>
      <c r="K32" s="468"/>
    </row>
    <row r="33" spans="1:11" ht="12.75" customHeight="1" x14ac:dyDescent="0.2">
      <c r="A33" s="463" t="s">
        <v>835</v>
      </c>
      <c r="B33" s="470">
        <v>1342</v>
      </c>
      <c r="C33" s="1838">
        <v>0</v>
      </c>
      <c r="D33" s="468"/>
      <c r="E33" s="468"/>
      <c r="F33" s="468"/>
      <c r="G33" s="468"/>
      <c r="H33" s="468"/>
      <c r="I33" s="468"/>
      <c r="J33" s="468"/>
      <c r="K33" s="468"/>
    </row>
    <row r="34" spans="1:11" ht="12.75" customHeight="1" x14ac:dyDescent="0.2">
      <c r="A34" s="463" t="s">
        <v>495</v>
      </c>
      <c r="B34" s="470">
        <v>1343</v>
      </c>
      <c r="C34" s="1838">
        <v>0</v>
      </c>
      <c r="D34" s="468"/>
      <c r="E34" s="468"/>
      <c r="F34" s="468"/>
      <c r="G34" s="468"/>
      <c r="H34" s="468"/>
      <c r="I34" s="468"/>
      <c r="J34" s="468"/>
      <c r="K34" s="468"/>
    </row>
    <row r="35" spans="1:11" ht="12.75" customHeight="1" x14ac:dyDescent="0.2">
      <c r="A35" s="463" t="s">
        <v>493</v>
      </c>
      <c r="B35" s="470">
        <v>1344</v>
      </c>
      <c r="C35" s="1838">
        <v>0</v>
      </c>
      <c r="D35" s="468"/>
      <c r="E35" s="468"/>
      <c r="F35" s="468"/>
      <c r="G35" s="468"/>
      <c r="H35" s="468"/>
      <c r="I35" s="468"/>
      <c r="J35" s="468"/>
      <c r="K35" s="468"/>
    </row>
    <row r="36" spans="1:11" ht="12.75" customHeight="1" x14ac:dyDescent="0.2">
      <c r="A36" s="463" t="s">
        <v>831</v>
      </c>
      <c r="B36" s="470">
        <v>1351</v>
      </c>
      <c r="C36" s="1838">
        <v>0</v>
      </c>
      <c r="D36" s="468"/>
      <c r="E36" s="468"/>
      <c r="F36" s="468"/>
      <c r="G36" s="468"/>
      <c r="H36" s="468"/>
      <c r="I36" s="468"/>
      <c r="J36" s="468"/>
      <c r="K36" s="468"/>
    </row>
    <row r="37" spans="1:11" ht="12.75" customHeight="1" x14ac:dyDescent="0.2">
      <c r="A37" s="463" t="s">
        <v>836</v>
      </c>
      <c r="B37" s="470">
        <v>1352</v>
      </c>
      <c r="C37" s="1838">
        <v>0</v>
      </c>
      <c r="D37" s="468"/>
      <c r="E37" s="468"/>
      <c r="F37" s="468"/>
      <c r="G37" s="468"/>
      <c r="H37" s="468"/>
      <c r="I37" s="468"/>
      <c r="J37" s="468"/>
      <c r="K37" s="468"/>
    </row>
    <row r="38" spans="1:11" ht="12.75" customHeight="1" x14ac:dyDescent="0.2">
      <c r="A38" s="463" t="s">
        <v>593</v>
      </c>
      <c r="B38" s="470">
        <v>1353</v>
      </c>
      <c r="C38" s="1838">
        <v>0</v>
      </c>
      <c r="D38" s="468"/>
      <c r="E38" s="468"/>
      <c r="F38" s="468"/>
      <c r="G38" s="468"/>
      <c r="H38" s="468"/>
      <c r="I38" s="468"/>
      <c r="J38" s="468"/>
      <c r="K38" s="468"/>
    </row>
    <row r="39" spans="1:11" ht="12.75" customHeight="1" x14ac:dyDescent="0.2">
      <c r="A39" s="1405" t="s">
        <v>594</v>
      </c>
      <c r="B39" s="554">
        <v>1354</v>
      </c>
      <c r="C39" s="1838">
        <v>0</v>
      </c>
      <c r="D39" s="468"/>
      <c r="E39" s="468"/>
      <c r="F39" s="468"/>
      <c r="G39" s="468"/>
      <c r="H39" s="468"/>
      <c r="I39" s="468"/>
      <c r="J39" s="468"/>
      <c r="K39" s="468"/>
    </row>
    <row r="40" spans="1:11" ht="12.75" customHeight="1" thickBot="1" x14ac:dyDescent="0.25">
      <c r="A40" s="1612" t="s">
        <v>538</v>
      </c>
      <c r="B40" s="1613"/>
      <c r="C40" s="1592">
        <f>SUM(C20:C39)</f>
        <v>0</v>
      </c>
      <c r="D40" s="468"/>
      <c r="E40" s="468"/>
      <c r="F40" s="468"/>
      <c r="G40" s="468"/>
      <c r="H40" s="468"/>
      <c r="I40" s="468"/>
      <c r="J40" s="468"/>
      <c r="K40" s="468"/>
    </row>
    <row r="41" spans="1:11" ht="15.75" customHeight="1" thickTop="1" x14ac:dyDescent="0.2">
      <c r="A41" s="1502" t="s">
        <v>274</v>
      </c>
      <c r="B41" s="1503">
        <v>1400</v>
      </c>
      <c r="C41" s="468"/>
      <c r="D41" s="468"/>
      <c r="E41" s="468"/>
      <c r="F41" s="521"/>
      <c r="G41" s="468"/>
      <c r="H41" s="468"/>
      <c r="I41" s="468"/>
      <c r="J41" s="468"/>
      <c r="K41" s="468"/>
    </row>
    <row r="42" spans="1:11" ht="12.75" customHeight="1" x14ac:dyDescent="0.2">
      <c r="A42" s="463" t="s">
        <v>1076</v>
      </c>
      <c r="B42" s="470">
        <v>1411</v>
      </c>
      <c r="C42" s="468"/>
      <c r="D42" s="468"/>
      <c r="E42" s="468"/>
      <c r="F42" s="1837">
        <v>8188</v>
      </c>
      <c r="G42" s="468"/>
      <c r="H42" s="468"/>
      <c r="I42" s="468"/>
      <c r="J42" s="468"/>
      <c r="K42" s="468"/>
    </row>
    <row r="43" spans="1:11" ht="12.75" customHeight="1" x14ac:dyDescent="0.2">
      <c r="A43" s="463" t="s">
        <v>837</v>
      </c>
      <c r="B43" s="470">
        <v>1412</v>
      </c>
      <c r="C43" s="468"/>
      <c r="D43" s="468"/>
      <c r="E43" s="468"/>
      <c r="F43" s="1837">
        <v>0</v>
      </c>
      <c r="G43" s="468"/>
      <c r="H43" s="468"/>
      <c r="I43" s="468"/>
      <c r="J43" s="468"/>
      <c r="K43" s="468"/>
    </row>
    <row r="44" spans="1:11" ht="12.75" customHeight="1" x14ac:dyDescent="0.2">
      <c r="A44" s="463" t="s">
        <v>384</v>
      </c>
      <c r="B44" s="470">
        <v>1413</v>
      </c>
      <c r="C44" s="468"/>
      <c r="D44" s="468"/>
      <c r="E44" s="468"/>
      <c r="F44" s="1837">
        <v>0</v>
      </c>
      <c r="G44" s="468"/>
      <c r="H44" s="468"/>
      <c r="I44" s="468"/>
      <c r="J44" s="468"/>
      <c r="K44" s="468"/>
    </row>
    <row r="45" spans="1:11" ht="12.75" customHeight="1" x14ac:dyDescent="0.2">
      <c r="A45" s="463" t="s">
        <v>240</v>
      </c>
      <c r="B45" s="470">
        <v>1415</v>
      </c>
      <c r="C45" s="468"/>
      <c r="D45" s="468"/>
      <c r="E45" s="468"/>
      <c r="F45" s="1837">
        <v>0</v>
      </c>
      <c r="G45" s="468"/>
      <c r="H45" s="468"/>
      <c r="I45" s="468"/>
      <c r="J45" s="468"/>
      <c r="K45" s="468"/>
    </row>
    <row r="46" spans="1:11" ht="12.75" customHeight="1" x14ac:dyDescent="0.2">
      <c r="A46" s="463" t="s">
        <v>1174</v>
      </c>
      <c r="B46" s="470">
        <v>1416</v>
      </c>
      <c r="C46" s="468"/>
      <c r="D46" s="468"/>
      <c r="E46" s="468"/>
      <c r="F46" s="1837">
        <v>0</v>
      </c>
      <c r="G46" s="468"/>
      <c r="H46" s="468"/>
      <c r="I46" s="468"/>
      <c r="J46" s="468"/>
      <c r="K46" s="468"/>
    </row>
    <row r="47" spans="1:11" ht="12.75" customHeight="1" x14ac:dyDescent="0.2">
      <c r="A47" s="463" t="s">
        <v>57</v>
      </c>
      <c r="B47" s="470">
        <v>1421</v>
      </c>
      <c r="C47" s="468"/>
      <c r="D47" s="468"/>
      <c r="E47" s="468"/>
      <c r="F47" s="1837">
        <v>0</v>
      </c>
      <c r="G47" s="468"/>
      <c r="H47" s="468"/>
      <c r="I47" s="468"/>
      <c r="J47" s="468"/>
      <c r="K47" s="468"/>
    </row>
    <row r="48" spans="1:11" ht="12.75" customHeight="1" x14ac:dyDescent="0.2">
      <c r="A48" s="463" t="s">
        <v>838</v>
      </c>
      <c r="B48" s="470">
        <v>1422</v>
      </c>
      <c r="C48" s="468"/>
      <c r="D48" s="468"/>
      <c r="E48" s="468"/>
      <c r="F48" s="1837">
        <v>0</v>
      </c>
      <c r="G48" s="468"/>
      <c r="H48" s="468"/>
      <c r="I48" s="468"/>
      <c r="J48" s="468"/>
      <c r="K48" s="468"/>
    </row>
    <row r="49" spans="1:11" ht="12.75" customHeight="1" x14ac:dyDescent="0.2">
      <c r="A49" s="463" t="s">
        <v>58</v>
      </c>
      <c r="B49" s="470">
        <v>1423</v>
      </c>
      <c r="C49" s="468"/>
      <c r="D49" s="468"/>
      <c r="E49" s="468"/>
      <c r="F49" s="1837">
        <v>0</v>
      </c>
      <c r="G49" s="468"/>
      <c r="H49" s="468"/>
      <c r="I49" s="468"/>
      <c r="J49" s="468"/>
      <c r="K49" s="468"/>
    </row>
    <row r="50" spans="1:11" ht="12.75" customHeight="1" x14ac:dyDescent="0.2">
      <c r="A50" s="463" t="s">
        <v>59</v>
      </c>
      <c r="B50" s="470">
        <v>1424</v>
      </c>
      <c r="C50" s="468"/>
      <c r="D50" s="468"/>
      <c r="E50" s="468"/>
      <c r="F50" s="1837">
        <v>0</v>
      </c>
      <c r="G50" s="468"/>
      <c r="H50" s="468"/>
      <c r="I50" s="468"/>
      <c r="J50" s="468"/>
      <c r="K50" s="468"/>
    </row>
    <row r="51" spans="1:11" ht="12.75" customHeight="1" x14ac:dyDescent="0.2">
      <c r="A51" s="1406" t="s">
        <v>60</v>
      </c>
      <c r="B51" s="555">
        <v>1431</v>
      </c>
      <c r="C51" s="468"/>
      <c r="D51" s="468"/>
      <c r="E51" s="468"/>
      <c r="F51" s="1837">
        <v>0</v>
      </c>
      <c r="G51" s="468"/>
      <c r="H51" s="468"/>
      <c r="I51" s="468"/>
      <c r="J51" s="468"/>
      <c r="K51" s="468"/>
    </row>
    <row r="52" spans="1:11" ht="12.75" customHeight="1" x14ac:dyDescent="0.2">
      <c r="A52" s="1406" t="s">
        <v>1106</v>
      </c>
      <c r="B52" s="555">
        <v>1432</v>
      </c>
      <c r="C52" s="468"/>
      <c r="D52" s="468"/>
      <c r="E52" s="468"/>
      <c r="F52" s="1837">
        <v>0</v>
      </c>
      <c r="G52" s="468"/>
      <c r="H52" s="468"/>
      <c r="I52" s="468"/>
      <c r="J52" s="468"/>
      <c r="K52" s="468"/>
    </row>
    <row r="53" spans="1:11" ht="12.75" customHeight="1" x14ac:dyDescent="0.2">
      <c r="A53" s="1406" t="s">
        <v>61</v>
      </c>
      <c r="B53" s="555">
        <v>1433</v>
      </c>
      <c r="C53" s="468"/>
      <c r="D53" s="468"/>
      <c r="E53" s="468"/>
      <c r="F53" s="1837">
        <v>0</v>
      </c>
      <c r="G53" s="468"/>
      <c r="H53" s="468"/>
      <c r="I53" s="468"/>
      <c r="J53" s="468"/>
      <c r="K53" s="468"/>
    </row>
    <row r="54" spans="1:11" ht="12.75" customHeight="1" x14ac:dyDescent="0.2">
      <c r="A54" s="1406" t="s">
        <v>62</v>
      </c>
      <c r="B54" s="555">
        <v>1434</v>
      </c>
      <c r="C54" s="468"/>
      <c r="D54" s="468"/>
      <c r="E54" s="468"/>
      <c r="F54" s="1837">
        <v>0</v>
      </c>
      <c r="G54" s="468"/>
      <c r="H54" s="468"/>
      <c r="I54" s="468"/>
      <c r="J54" s="468"/>
      <c r="K54" s="468"/>
    </row>
    <row r="55" spans="1:11" ht="12.75" customHeight="1" x14ac:dyDescent="0.2">
      <c r="A55" s="1406" t="s">
        <v>63</v>
      </c>
      <c r="B55" s="555">
        <v>1441</v>
      </c>
      <c r="C55" s="468"/>
      <c r="D55" s="468"/>
      <c r="E55" s="468"/>
      <c r="F55" s="1837">
        <v>0</v>
      </c>
      <c r="G55" s="468"/>
      <c r="H55" s="468"/>
      <c r="I55" s="468"/>
      <c r="J55" s="468"/>
      <c r="K55" s="468"/>
    </row>
    <row r="56" spans="1:11" ht="12.75" customHeight="1" x14ac:dyDescent="0.2">
      <c r="A56" s="1406" t="s">
        <v>1107</v>
      </c>
      <c r="B56" s="555">
        <v>1442</v>
      </c>
      <c r="C56" s="468"/>
      <c r="D56" s="468"/>
      <c r="E56" s="468"/>
      <c r="F56" s="1837">
        <v>0</v>
      </c>
      <c r="G56" s="468"/>
      <c r="H56" s="468"/>
      <c r="I56" s="468"/>
      <c r="J56" s="468"/>
      <c r="K56" s="468"/>
    </row>
    <row r="57" spans="1:11" ht="12.75" customHeight="1" x14ac:dyDescent="0.2">
      <c r="A57" s="1406" t="s">
        <v>489</v>
      </c>
      <c r="B57" s="555">
        <v>1443</v>
      </c>
      <c r="C57" s="468"/>
      <c r="D57" s="468"/>
      <c r="E57" s="468"/>
      <c r="F57" s="1837">
        <v>0</v>
      </c>
      <c r="G57" s="468"/>
      <c r="H57" s="468"/>
      <c r="I57" s="468"/>
      <c r="J57" s="468"/>
      <c r="K57" s="468"/>
    </row>
    <row r="58" spans="1:11" ht="12.75" customHeight="1" x14ac:dyDescent="0.2">
      <c r="A58" s="1406" t="s">
        <v>65</v>
      </c>
      <c r="B58" s="555">
        <v>1444</v>
      </c>
      <c r="C58" s="468"/>
      <c r="D58" s="468"/>
      <c r="E58" s="468"/>
      <c r="F58" s="1837">
        <v>0</v>
      </c>
      <c r="G58" s="468"/>
      <c r="H58" s="468"/>
      <c r="I58" s="468"/>
      <c r="J58" s="468"/>
      <c r="K58" s="468"/>
    </row>
    <row r="59" spans="1:11" ht="12.75" customHeight="1" x14ac:dyDescent="0.2">
      <c r="A59" s="1406" t="s">
        <v>878</v>
      </c>
      <c r="B59" s="555">
        <v>1451</v>
      </c>
      <c r="C59" s="468"/>
      <c r="D59" s="468"/>
      <c r="E59" s="468"/>
      <c r="F59" s="1837">
        <v>0</v>
      </c>
      <c r="G59" s="468"/>
      <c r="H59" s="468"/>
      <c r="I59" s="468"/>
      <c r="J59" s="468"/>
      <c r="K59" s="468"/>
    </row>
    <row r="60" spans="1:11" ht="12.75" customHeight="1" x14ac:dyDescent="0.2">
      <c r="A60" s="1406" t="s">
        <v>1108</v>
      </c>
      <c r="B60" s="555">
        <v>1452</v>
      </c>
      <c r="C60" s="468"/>
      <c r="D60" s="468"/>
      <c r="E60" s="468"/>
      <c r="F60" s="1837">
        <v>0</v>
      </c>
      <c r="G60" s="468"/>
      <c r="H60" s="468"/>
      <c r="I60" s="468"/>
      <c r="J60" s="468"/>
      <c r="K60" s="468"/>
    </row>
    <row r="61" spans="1:11" ht="12.75" customHeight="1" x14ac:dyDescent="0.2">
      <c r="A61" s="560" t="s">
        <v>879</v>
      </c>
      <c r="B61" s="555">
        <v>1453</v>
      </c>
      <c r="C61" s="468"/>
      <c r="D61" s="468"/>
      <c r="E61" s="468"/>
      <c r="F61" s="1837">
        <v>0</v>
      </c>
      <c r="G61" s="468"/>
      <c r="H61" s="468"/>
      <c r="I61" s="468"/>
      <c r="J61" s="468"/>
      <c r="K61" s="468"/>
    </row>
    <row r="62" spans="1:11" ht="12.75" customHeight="1" x14ac:dyDescent="0.2">
      <c r="A62" s="1407" t="s">
        <v>880</v>
      </c>
      <c r="B62" s="556">
        <v>1454</v>
      </c>
      <c r="C62" s="468"/>
      <c r="D62" s="468"/>
      <c r="E62" s="468"/>
      <c r="F62" s="1837">
        <v>0</v>
      </c>
      <c r="G62" s="468"/>
      <c r="H62" s="468"/>
      <c r="I62" s="468"/>
      <c r="J62" s="468"/>
      <c r="K62" s="468"/>
    </row>
    <row r="63" spans="1:11" ht="12.75" customHeight="1" thickBot="1" x14ac:dyDescent="0.25">
      <c r="A63" s="1612" t="s">
        <v>485</v>
      </c>
      <c r="B63" s="1613"/>
      <c r="C63" s="468"/>
      <c r="D63" s="468"/>
      <c r="E63" s="468"/>
      <c r="F63" s="1592">
        <f>SUM(F42:F62)</f>
        <v>8188</v>
      </c>
      <c r="G63" s="468"/>
      <c r="H63" s="468"/>
      <c r="I63" s="468"/>
      <c r="J63" s="468"/>
      <c r="K63" s="468"/>
    </row>
    <row r="64" spans="1:11" ht="15.75" customHeight="1" thickTop="1" x14ac:dyDescent="0.2">
      <c r="A64" s="1502" t="s">
        <v>454</v>
      </c>
      <c r="B64" s="1503">
        <v>1500</v>
      </c>
      <c r="C64" s="468"/>
      <c r="D64" s="468"/>
      <c r="E64" s="468"/>
      <c r="F64" s="468"/>
      <c r="G64" s="468"/>
      <c r="H64" s="468"/>
      <c r="I64" s="468"/>
      <c r="J64" s="468"/>
      <c r="K64" s="468"/>
    </row>
    <row r="65" spans="1:11" ht="12.75" customHeight="1" x14ac:dyDescent="0.2">
      <c r="A65" s="463" t="s">
        <v>547</v>
      </c>
      <c r="B65" s="470">
        <v>1510</v>
      </c>
      <c r="C65" s="1838">
        <v>20346</v>
      </c>
      <c r="D65" s="1838">
        <v>6687</v>
      </c>
      <c r="E65" s="1837">
        <v>6207</v>
      </c>
      <c r="F65" s="1837">
        <v>1480</v>
      </c>
      <c r="G65" s="1837">
        <v>1204</v>
      </c>
      <c r="H65" s="1837">
        <v>152274</v>
      </c>
      <c r="I65" s="1837">
        <v>976</v>
      </c>
      <c r="J65" s="1837">
        <v>0</v>
      </c>
      <c r="K65" s="1837">
        <v>0</v>
      </c>
    </row>
    <row r="66" spans="1:11" ht="12.75" customHeight="1" x14ac:dyDescent="0.2">
      <c r="A66" s="463" t="s">
        <v>679</v>
      </c>
      <c r="B66" s="470">
        <v>1520</v>
      </c>
      <c r="C66" s="1838">
        <v>0</v>
      </c>
      <c r="D66" s="1838">
        <v>0</v>
      </c>
      <c r="E66" s="1837">
        <v>0</v>
      </c>
      <c r="F66" s="1837">
        <v>0</v>
      </c>
      <c r="G66" s="1837">
        <v>0</v>
      </c>
      <c r="H66" s="1837">
        <v>0</v>
      </c>
      <c r="I66" s="1837">
        <v>0</v>
      </c>
      <c r="J66" s="1837">
        <v>0</v>
      </c>
      <c r="K66" s="1837">
        <v>0</v>
      </c>
    </row>
    <row r="67" spans="1:11" ht="12.75" customHeight="1" thickBot="1" x14ac:dyDescent="0.25">
      <c r="A67" s="1612" t="s">
        <v>486</v>
      </c>
      <c r="B67" s="1613"/>
      <c r="C67" s="1592">
        <f>SUM(C65:C66)</f>
        <v>20346</v>
      </c>
      <c r="D67" s="1592">
        <f t="shared" ref="D67:K67" si="2">SUM(D65:D66)</f>
        <v>6687</v>
      </c>
      <c r="E67" s="1592">
        <f t="shared" si="2"/>
        <v>6207</v>
      </c>
      <c r="F67" s="1592">
        <f t="shared" si="2"/>
        <v>1480</v>
      </c>
      <c r="G67" s="1592">
        <f t="shared" si="2"/>
        <v>1204</v>
      </c>
      <c r="H67" s="1592">
        <f t="shared" si="2"/>
        <v>152274</v>
      </c>
      <c r="I67" s="1592">
        <f t="shared" si="2"/>
        <v>976</v>
      </c>
      <c r="J67" s="1592">
        <f t="shared" si="2"/>
        <v>0</v>
      </c>
      <c r="K67" s="1592">
        <f t="shared" si="2"/>
        <v>0</v>
      </c>
    </row>
    <row r="68" spans="1:11" ht="15.75" customHeight="1" thickTop="1" x14ac:dyDescent="0.2">
      <c r="A68" s="1502" t="s">
        <v>455</v>
      </c>
      <c r="B68" s="1504">
        <v>1600</v>
      </c>
      <c r="C68" s="551"/>
      <c r="D68" s="468"/>
      <c r="E68" s="468"/>
      <c r="F68" s="468"/>
      <c r="G68" s="468"/>
      <c r="H68" s="468"/>
      <c r="I68" s="468"/>
      <c r="J68" s="468"/>
      <c r="K68" s="468"/>
    </row>
    <row r="69" spans="1:11" ht="12.75" customHeight="1" x14ac:dyDescent="0.2">
      <c r="A69" s="463" t="s">
        <v>666</v>
      </c>
      <c r="B69" s="470">
        <v>1611</v>
      </c>
      <c r="C69" s="1838">
        <v>53708</v>
      </c>
      <c r="D69" s="468"/>
      <c r="E69" s="468"/>
      <c r="F69" s="468"/>
      <c r="G69" s="468"/>
      <c r="H69" s="468"/>
      <c r="I69" s="468"/>
      <c r="J69" s="468"/>
      <c r="K69" s="468"/>
    </row>
    <row r="70" spans="1:11" ht="12.75" customHeight="1" x14ac:dyDescent="0.2">
      <c r="A70" s="463" t="s">
        <v>997</v>
      </c>
      <c r="B70" s="470">
        <v>1612</v>
      </c>
      <c r="C70" s="1838">
        <v>4160</v>
      </c>
      <c r="D70" s="468"/>
      <c r="E70" s="468"/>
      <c r="F70" s="468"/>
      <c r="G70" s="468"/>
      <c r="H70" s="468"/>
      <c r="I70" s="468"/>
      <c r="J70" s="468"/>
      <c r="K70" s="468"/>
    </row>
    <row r="71" spans="1:11" ht="12.75" customHeight="1" x14ac:dyDescent="0.2">
      <c r="A71" s="463" t="s">
        <v>273</v>
      </c>
      <c r="B71" s="470">
        <v>1613</v>
      </c>
      <c r="C71" s="1838">
        <v>0</v>
      </c>
      <c r="D71" s="468"/>
      <c r="E71" s="468"/>
      <c r="F71" s="468"/>
      <c r="G71" s="468"/>
      <c r="H71" s="468"/>
      <c r="I71" s="468"/>
      <c r="J71" s="468"/>
      <c r="K71" s="468"/>
    </row>
    <row r="72" spans="1:11" ht="12.75" customHeight="1" x14ac:dyDescent="0.2">
      <c r="A72" s="463" t="s">
        <v>24</v>
      </c>
      <c r="B72" s="470">
        <v>1614</v>
      </c>
      <c r="C72" s="1838">
        <v>0</v>
      </c>
      <c r="D72" s="468"/>
      <c r="E72" s="468"/>
      <c r="F72" s="468"/>
      <c r="G72" s="468"/>
      <c r="H72" s="468"/>
      <c r="I72" s="468"/>
      <c r="J72" s="468"/>
      <c r="K72" s="468"/>
    </row>
    <row r="73" spans="1:11" ht="12.75" customHeight="1" x14ac:dyDescent="0.2">
      <c r="A73" s="463" t="s">
        <v>998</v>
      </c>
      <c r="B73" s="470">
        <v>1620</v>
      </c>
      <c r="C73" s="1838">
        <v>1039</v>
      </c>
      <c r="D73" s="468"/>
      <c r="E73" s="468"/>
      <c r="F73" s="468"/>
      <c r="G73" s="468"/>
      <c r="H73" s="468"/>
      <c r="I73" s="468"/>
      <c r="J73" s="468"/>
      <c r="K73" s="468"/>
    </row>
    <row r="74" spans="1:11" ht="12.75" customHeight="1" x14ac:dyDescent="0.2">
      <c r="A74" s="463" t="s">
        <v>25</v>
      </c>
      <c r="B74" s="470">
        <v>1690</v>
      </c>
      <c r="C74" s="1838">
        <v>0</v>
      </c>
      <c r="D74" s="468"/>
      <c r="E74" s="468"/>
      <c r="F74" s="468"/>
      <c r="G74" s="468"/>
      <c r="H74" s="468"/>
      <c r="I74" s="468"/>
      <c r="J74" s="468"/>
      <c r="K74" s="468"/>
    </row>
    <row r="75" spans="1:11" ht="12.75" customHeight="1" thickBot="1" x14ac:dyDescent="0.25">
      <c r="A75" s="1612" t="s">
        <v>548</v>
      </c>
      <c r="B75" s="1613"/>
      <c r="C75" s="1592">
        <f>SUM(C69:C74)</f>
        <v>58907</v>
      </c>
      <c r="D75" s="468"/>
      <c r="E75" s="468"/>
      <c r="F75" s="468"/>
      <c r="G75" s="468"/>
      <c r="H75" s="468"/>
      <c r="I75" s="468"/>
      <c r="J75" s="468"/>
      <c r="K75" s="468"/>
    </row>
    <row r="76" spans="1:11" ht="15.75" customHeight="1" thickTop="1" x14ac:dyDescent="0.2">
      <c r="A76" s="1502" t="s">
        <v>881</v>
      </c>
      <c r="B76" s="1504">
        <v>1700</v>
      </c>
      <c r="C76" s="551"/>
      <c r="D76" s="468"/>
      <c r="E76" s="468"/>
      <c r="F76" s="468"/>
      <c r="G76" s="468"/>
      <c r="H76" s="468"/>
      <c r="I76" s="468"/>
      <c r="J76" s="468"/>
      <c r="K76" s="468"/>
    </row>
    <row r="77" spans="1:11" ht="12.75" customHeight="1" x14ac:dyDescent="0.2">
      <c r="A77" s="463" t="s">
        <v>549</v>
      </c>
      <c r="B77" s="470">
        <v>1711</v>
      </c>
      <c r="C77" s="1838">
        <v>0</v>
      </c>
      <c r="D77" s="1838">
        <v>0</v>
      </c>
      <c r="E77" s="468"/>
      <c r="F77" s="468"/>
      <c r="G77" s="468"/>
      <c r="H77" s="468"/>
      <c r="I77" s="468"/>
      <c r="J77" s="468"/>
      <c r="K77" s="468"/>
    </row>
    <row r="78" spans="1:11" ht="12.75" customHeight="1" x14ac:dyDescent="0.2">
      <c r="A78" s="463" t="s">
        <v>76</v>
      </c>
      <c r="B78" s="470">
        <v>1719</v>
      </c>
      <c r="C78" s="1838">
        <v>0</v>
      </c>
      <c r="D78" s="1838">
        <v>0</v>
      </c>
      <c r="E78" s="468"/>
      <c r="F78" s="468"/>
      <c r="G78" s="468"/>
      <c r="H78" s="468"/>
      <c r="I78" s="468"/>
      <c r="J78" s="468"/>
      <c r="K78" s="468"/>
    </row>
    <row r="79" spans="1:11" ht="12.75" customHeight="1" x14ac:dyDescent="0.2">
      <c r="A79" s="463" t="s">
        <v>550</v>
      </c>
      <c r="B79" s="470">
        <v>1720</v>
      </c>
      <c r="C79" s="1838">
        <v>56823</v>
      </c>
      <c r="D79" s="1838">
        <v>0</v>
      </c>
      <c r="E79" s="468"/>
      <c r="F79" s="468"/>
      <c r="G79" s="468"/>
      <c r="H79" s="468"/>
      <c r="I79" s="468"/>
      <c r="J79" s="468"/>
      <c r="K79" s="468"/>
    </row>
    <row r="80" spans="1:11" ht="12.75" customHeight="1" x14ac:dyDescent="0.2">
      <c r="A80" s="463" t="s">
        <v>551</v>
      </c>
      <c r="B80" s="470">
        <v>1730</v>
      </c>
      <c r="C80" s="1838">
        <v>0</v>
      </c>
      <c r="D80" s="1838">
        <v>0</v>
      </c>
      <c r="E80" s="468"/>
      <c r="F80" s="468"/>
      <c r="G80" s="468"/>
      <c r="H80" s="468"/>
      <c r="I80" s="468"/>
      <c r="J80" s="468"/>
      <c r="K80" s="468"/>
    </row>
    <row r="81" spans="1:11" ht="12.75" customHeight="1" x14ac:dyDescent="0.2">
      <c r="A81" s="463" t="s">
        <v>26</v>
      </c>
      <c r="B81" s="470">
        <v>1790</v>
      </c>
      <c r="C81" s="1838">
        <v>0</v>
      </c>
      <c r="D81" s="1838">
        <v>0</v>
      </c>
      <c r="E81" s="468"/>
      <c r="F81" s="468"/>
      <c r="G81" s="468"/>
      <c r="H81" s="468"/>
      <c r="I81" s="468"/>
      <c r="J81" s="468"/>
      <c r="K81" s="468"/>
    </row>
    <row r="82" spans="1:11" ht="12.75" customHeight="1" thickBot="1" x14ac:dyDescent="0.25">
      <c r="A82" s="1612" t="s">
        <v>241</v>
      </c>
      <c r="B82" s="1613"/>
      <c r="C82" s="1611">
        <f>SUM(C77:C81)</f>
        <v>56823</v>
      </c>
      <c r="D82" s="1592">
        <f>SUM(D77:D81)</f>
        <v>0</v>
      </c>
      <c r="E82" s="468"/>
      <c r="F82" s="468"/>
      <c r="G82" s="468"/>
      <c r="H82" s="468"/>
      <c r="I82" s="468"/>
      <c r="J82" s="468"/>
      <c r="K82" s="468"/>
    </row>
    <row r="83" spans="1:11" ht="15.75" customHeight="1" thickTop="1" x14ac:dyDescent="0.2">
      <c r="A83" s="1502" t="s">
        <v>242</v>
      </c>
      <c r="B83" s="1504">
        <v>1800</v>
      </c>
      <c r="C83" s="551"/>
      <c r="D83" s="468"/>
      <c r="E83" s="468"/>
      <c r="F83" s="468"/>
      <c r="G83" s="468"/>
      <c r="H83" s="468"/>
      <c r="I83" s="468"/>
      <c r="J83" s="468"/>
      <c r="K83" s="468"/>
    </row>
    <row r="84" spans="1:11" ht="12.75" customHeight="1" x14ac:dyDescent="0.2">
      <c r="A84" s="463" t="s">
        <v>552</v>
      </c>
      <c r="B84" s="470">
        <v>1811</v>
      </c>
      <c r="C84" s="1838">
        <v>0</v>
      </c>
      <c r="D84" s="468"/>
      <c r="E84" s="468"/>
      <c r="F84" s="468"/>
      <c r="G84" s="468"/>
      <c r="H84" s="468"/>
      <c r="I84" s="468"/>
      <c r="J84" s="468"/>
      <c r="K84" s="468"/>
    </row>
    <row r="85" spans="1:11" ht="12.75" customHeight="1" x14ac:dyDescent="0.2">
      <c r="A85" s="463" t="s">
        <v>553</v>
      </c>
      <c r="B85" s="470">
        <v>1812</v>
      </c>
      <c r="C85" s="1838">
        <v>0</v>
      </c>
      <c r="D85" s="468"/>
      <c r="E85" s="468"/>
      <c r="F85" s="468"/>
      <c r="G85" s="468"/>
      <c r="H85" s="468"/>
      <c r="I85" s="468"/>
      <c r="J85" s="468"/>
      <c r="K85" s="468"/>
    </row>
    <row r="86" spans="1:11" ht="12.75" customHeight="1" x14ac:dyDescent="0.2">
      <c r="A86" s="463" t="s">
        <v>999</v>
      </c>
      <c r="B86" s="470">
        <v>1813</v>
      </c>
      <c r="C86" s="1838">
        <v>0</v>
      </c>
      <c r="D86" s="468"/>
      <c r="E86" s="468"/>
      <c r="F86" s="468"/>
      <c r="G86" s="468"/>
      <c r="H86" s="468"/>
      <c r="I86" s="468"/>
      <c r="J86" s="468"/>
      <c r="K86" s="468"/>
    </row>
    <row r="87" spans="1:11" ht="12.75" customHeight="1" x14ac:dyDescent="0.2">
      <c r="A87" s="463" t="s">
        <v>77</v>
      </c>
      <c r="B87" s="470">
        <v>1819</v>
      </c>
      <c r="C87" s="1838">
        <v>0</v>
      </c>
      <c r="D87" s="468"/>
      <c r="E87" s="468"/>
      <c r="F87" s="468"/>
      <c r="G87" s="468"/>
      <c r="H87" s="468"/>
      <c r="I87" s="468"/>
      <c r="J87" s="468"/>
      <c r="K87" s="468"/>
    </row>
    <row r="88" spans="1:11" ht="12.75" customHeight="1" x14ac:dyDescent="0.2">
      <c r="A88" s="463" t="s">
        <v>554</v>
      </c>
      <c r="B88" s="470">
        <v>1821</v>
      </c>
      <c r="C88" s="1838">
        <v>0</v>
      </c>
      <c r="D88" s="468"/>
      <c r="E88" s="468"/>
      <c r="F88" s="468"/>
      <c r="G88" s="468"/>
      <c r="H88" s="468"/>
      <c r="I88" s="468"/>
      <c r="J88" s="468"/>
      <c r="K88" s="468"/>
    </row>
    <row r="89" spans="1:11" ht="12.75" customHeight="1" x14ac:dyDescent="0.2">
      <c r="A89" s="463" t="s">
        <v>714</v>
      </c>
      <c r="B89" s="470">
        <v>1822</v>
      </c>
      <c r="C89" s="1838">
        <v>0</v>
      </c>
      <c r="D89" s="468"/>
      <c r="E89" s="468"/>
      <c r="F89" s="468"/>
      <c r="G89" s="468"/>
      <c r="H89" s="468"/>
      <c r="I89" s="468"/>
      <c r="J89" s="468"/>
      <c r="K89" s="468"/>
    </row>
    <row r="90" spans="1:11" ht="12.75" customHeight="1" x14ac:dyDescent="0.2">
      <c r="A90" s="463" t="s">
        <v>139</v>
      </c>
      <c r="B90" s="470">
        <v>1823</v>
      </c>
      <c r="C90" s="1838">
        <v>0</v>
      </c>
      <c r="D90" s="468"/>
      <c r="E90" s="468"/>
      <c r="F90" s="468"/>
      <c r="G90" s="468"/>
      <c r="H90" s="468"/>
      <c r="I90" s="468"/>
      <c r="J90" s="468"/>
      <c r="K90" s="468"/>
    </row>
    <row r="91" spans="1:11" ht="12.75" customHeight="1" x14ac:dyDescent="0.2">
      <c r="A91" s="463" t="s">
        <v>27</v>
      </c>
      <c r="B91" s="470">
        <v>1829</v>
      </c>
      <c r="C91" s="1838">
        <v>0</v>
      </c>
      <c r="D91" s="468"/>
      <c r="E91" s="468"/>
      <c r="F91" s="468"/>
      <c r="G91" s="468"/>
      <c r="H91" s="468"/>
      <c r="I91" s="468"/>
      <c r="J91" s="468"/>
      <c r="K91" s="468"/>
    </row>
    <row r="92" spans="1:11" ht="12.75" customHeight="1" x14ac:dyDescent="0.2">
      <c r="A92" s="463" t="s">
        <v>762</v>
      </c>
      <c r="B92" s="470">
        <v>1890</v>
      </c>
      <c r="C92" s="1838">
        <v>0</v>
      </c>
      <c r="D92" s="468"/>
      <c r="E92" s="468"/>
      <c r="F92" s="468"/>
      <c r="G92" s="468"/>
      <c r="H92" s="468"/>
      <c r="I92" s="468"/>
      <c r="J92" s="468"/>
      <c r="K92" s="468"/>
    </row>
    <row r="93" spans="1:11" ht="12.75" customHeight="1" thickBot="1" x14ac:dyDescent="0.25">
      <c r="A93" s="1612" t="s">
        <v>243</v>
      </c>
      <c r="B93" s="1613"/>
      <c r="C93" s="1592">
        <f>SUM(C84:C92)</f>
        <v>0</v>
      </c>
      <c r="D93" s="468"/>
      <c r="E93" s="468"/>
      <c r="F93" s="468"/>
      <c r="G93" s="468"/>
      <c r="H93" s="468"/>
      <c r="I93" s="468"/>
      <c r="J93" s="468"/>
      <c r="K93" s="468"/>
    </row>
    <row r="94" spans="1:11" ht="15.75" customHeight="1" thickTop="1" x14ac:dyDescent="0.2">
      <c r="A94" s="1502" t="s">
        <v>1137</v>
      </c>
      <c r="B94" s="1504">
        <v>1900</v>
      </c>
      <c r="C94" s="551"/>
      <c r="D94" s="521"/>
      <c r="E94" s="468"/>
      <c r="F94" s="468"/>
      <c r="G94" s="468"/>
      <c r="H94" s="468"/>
      <c r="I94" s="468"/>
      <c r="J94" s="468"/>
      <c r="K94" s="468"/>
    </row>
    <row r="95" spans="1:11" ht="12.75" customHeight="1" x14ac:dyDescent="0.2">
      <c r="A95" s="463" t="s">
        <v>1064</v>
      </c>
      <c r="B95" s="470">
        <v>1910</v>
      </c>
      <c r="C95" s="1838">
        <v>0</v>
      </c>
      <c r="D95" s="1838">
        <v>246375</v>
      </c>
      <c r="E95" s="666"/>
      <c r="F95" s="666"/>
      <c r="G95" s="666"/>
      <c r="H95" s="666"/>
      <c r="I95" s="666"/>
      <c r="J95" s="666"/>
      <c r="K95" s="666"/>
    </row>
    <row r="96" spans="1:11" ht="12.75" customHeight="1" x14ac:dyDescent="0.2">
      <c r="A96" s="463" t="s">
        <v>391</v>
      </c>
      <c r="B96" s="470">
        <v>1920</v>
      </c>
      <c r="C96" s="1838">
        <v>0</v>
      </c>
      <c r="D96" s="1838">
        <v>0</v>
      </c>
      <c r="E96" s="1837">
        <v>0</v>
      </c>
      <c r="F96" s="1837">
        <v>0</v>
      </c>
      <c r="G96" s="1837">
        <v>0</v>
      </c>
      <c r="H96" s="1837">
        <v>0</v>
      </c>
      <c r="I96" s="1837">
        <v>0</v>
      </c>
      <c r="J96" s="1837">
        <v>0</v>
      </c>
      <c r="K96" s="1837">
        <v>0</v>
      </c>
    </row>
    <row r="97" spans="1:12" ht="12.75" customHeight="1" x14ac:dyDescent="0.2">
      <c r="A97" s="1405" t="s">
        <v>244</v>
      </c>
      <c r="B97" s="557">
        <v>1930</v>
      </c>
      <c r="C97" s="1838">
        <v>0</v>
      </c>
      <c r="D97" s="1838">
        <v>0</v>
      </c>
      <c r="E97" s="1837">
        <v>0</v>
      </c>
      <c r="F97" s="1837">
        <v>0</v>
      </c>
      <c r="G97" s="1837">
        <v>0</v>
      </c>
      <c r="H97" s="1837">
        <v>0</v>
      </c>
      <c r="I97" s="1837">
        <v>0</v>
      </c>
      <c r="J97" s="1837">
        <v>0</v>
      </c>
      <c r="K97" s="1837">
        <v>0</v>
      </c>
    </row>
    <row r="98" spans="1:12" ht="12.75" customHeight="1" x14ac:dyDescent="0.2">
      <c r="A98" s="463" t="s">
        <v>189</v>
      </c>
      <c r="B98" s="470">
        <v>1940</v>
      </c>
      <c r="C98" s="1838">
        <v>0</v>
      </c>
      <c r="D98" s="1838">
        <v>0</v>
      </c>
      <c r="E98" s="1844"/>
      <c r="F98" s="1837">
        <v>0</v>
      </c>
      <c r="G98" s="1844"/>
      <c r="H98" s="1844"/>
      <c r="I98" s="1845"/>
      <c r="J98" s="1844"/>
      <c r="K98" s="1844"/>
    </row>
    <row r="99" spans="1:12" ht="12.75" customHeight="1" x14ac:dyDescent="0.2">
      <c r="A99" s="463" t="s">
        <v>821</v>
      </c>
      <c r="B99" s="470">
        <v>1950</v>
      </c>
      <c r="C99" s="1838">
        <v>72679</v>
      </c>
      <c r="D99" s="1838">
        <v>0</v>
      </c>
      <c r="E99" s="1837">
        <v>0</v>
      </c>
      <c r="F99" s="1837">
        <v>0</v>
      </c>
      <c r="G99" s="1837">
        <v>0</v>
      </c>
      <c r="H99" s="1837">
        <v>0</v>
      </c>
      <c r="I99" s="1846"/>
      <c r="J99" s="1837">
        <v>0</v>
      </c>
      <c r="K99" s="1837">
        <v>0</v>
      </c>
    </row>
    <row r="100" spans="1:12" ht="12.75" customHeight="1" x14ac:dyDescent="0.2">
      <c r="A100" s="463" t="s">
        <v>245</v>
      </c>
      <c r="B100" s="470">
        <v>1960</v>
      </c>
      <c r="C100" s="1838">
        <v>0</v>
      </c>
      <c r="D100" s="1838">
        <v>0</v>
      </c>
      <c r="E100" s="1837">
        <v>0</v>
      </c>
      <c r="F100" s="1837">
        <v>0</v>
      </c>
      <c r="G100" s="1837">
        <v>0</v>
      </c>
      <c r="H100" s="1837">
        <v>0</v>
      </c>
      <c r="I100" s="1837">
        <v>0</v>
      </c>
      <c r="J100" s="1837">
        <v>0</v>
      </c>
      <c r="K100" s="1837">
        <v>0</v>
      </c>
    </row>
    <row r="101" spans="1:12" ht="12.75" customHeight="1" x14ac:dyDescent="0.2">
      <c r="A101" s="463" t="s">
        <v>246</v>
      </c>
      <c r="B101" s="470">
        <v>1970</v>
      </c>
      <c r="C101" s="1838">
        <v>0</v>
      </c>
      <c r="D101" s="1847"/>
      <c r="E101" s="1848"/>
      <c r="F101" s="1847"/>
      <c r="G101" s="1841"/>
      <c r="H101" s="1847"/>
      <c r="I101" s="1846"/>
      <c r="J101" s="1841"/>
      <c r="K101" s="1841"/>
    </row>
    <row r="102" spans="1:12" ht="12.75" customHeight="1" x14ac:dyDescent="0.2">
      <c r="A102" s="463" t="s">
        <v>247</v>
      </c>
      <c r="B102" s="470">
        <v>1980</v>
      </c>
      <c r="C102" s="1838">
        <v>0</v>
      </c>
      <c r="D102" s="1838">
        <v>0</v>
      </c>
      <c r="E102" s="1837">
        <v>0</v>
      </c>
      <c r="F102" s="1837">
        <v>0</v>
      </c>
      <c r="G102" s="1837">
        <v>0</v>
      </c>
      <c r="H102" s="1837">
        <v>0</v>
      </c>
      <c r="I102" s="1837">
        <v>0</v>
      </c>
      <c r="J102" s="1837">
        <v>0</v>
      </c>
      <c r="K102" s="1837">
        <v>0</v>
      </c>
    </row>
    <row r="103" spans="1:12" ht="12.75" customHeight="1" x14ac:dyDescent="0.2">
      <c r="A103" s="463" t="s">
        <v>345</v>
      </c>
      <c r="B103" s="470">
        <v>1983</v>
      </c>
      <c r="C103" s="1846"/>
      <c r="D103" s="1846"/>
      <c r="E103" s="1837">
        <v>0</v>
      </c>
      <c r="F103" s="1846"/>
      <c r="G103" s="1846"/>
      <c r="H103" s="1837">
        <v>0</v>
      </c>
      <c r="I103" s="1846"/>
      <c r="J103" s="1845"/>
      <c r="K103" s="1845"/>
    </row>
    <row r="104" spans="1:12" ht="12.75" customHeight="1" x14ac:dyDescent="0.2">
      <c r="A104" s="463" t="s">
        <v>830</v>
      </c>
      <c r="B104" s="470">
        <v>1991</v>
      </c>
      <c r="C104" s="1838">
        <v>0</v>
      </c>
      <c r="D104" s="1838">
        <v>0</v>
      </c>
      <c r="E104" s="1837">
        <v>0</v>
      </c>
      <c r="F104" s="1837">
        <v>0</v>
      </c>
      <c r="G104" s="1837">
        <v>0</v>
      </c>
      <c r="H104" s="1837">
        <v>0</v>
      </c>
      <c r="I104" s="1846"/>
      <c r="J104" s="1846"/>
      <c r="K104" s="1846"/>
    </row>
    <row r="105" spans="1:12" ht="12.75" customHeight="1" x14ac:dyDescent="0.2">
      <c r="A105" s="463" t="s">
        <v>822</v>
      </c>
      <c r="B105" s="470">
        <v>1992</v>
      </c>
      <c r="C105" s="1838">
        <v>0</v>
      </c>
      <c r="D105" s="1849"/>
      <c r="E105" s="1846"/>
      <c r="F105" s="1846"/>
      <c r="G105" s="1846"/>
      <c r="H105" s="1845"/>
      <c r="I105" s="1846"/>
      <c r="J105" s="1846"/>
      <c r="K105" s="1846"/>
    </row>
    <row r="106" spans="1:12" ht="12.75" customHeight="1" x14ac:dyDescent="0.2">
      <c r="A106" s="463" t="s">
        <v>1428</v>
      </c>
      <c r="B106" s="470">
        <v>1993</v>
      </c>
      <c r="C106" s="1838">
        <v>55260</v>
      </c>
      <c r="D106" s="1838">
        <v>0</v>
      </c>
      <c r="E106" s="1837">
        <v>0</v>
      </c>
      <c r="F106" s="1837">
        <v>0</v>
      </c>
      <c r="G106" s="1837">
        <v>0</v>
      </c>
      <c r="H106" s="1837">
        <v>0</v>
      </c>
      <c r="I106" s="1850"/>
      <c r="J106" s="1837">
        <v>0</v>
      </c>
      <c r="K106" s="1837">
        <v>0</v>
      </c>
    </row>
    <row r="107" spans="1:12" ht="12.75" customHeight="1" x14ac:dyDescent="0.2">
      <c r="A107" s="463" t="s">
        <v>78</v>
      </c>
      <c r="B107" s="470">
        <v>1999</v>
      </c>
      <c r="C107" s="1838">
        <v>77773</v>
      </c>
      <c r="D107" s="1838">
        <v>0</v>
      </c>
      <c r="E107" s="1837">
        <v>0</v>
      </c>
      <c r="F107" s="1837">
        <v>12256</v>
      </c>
      <c r="G107" s="1837">
        <v>0</v>
      </c>
      <c r="H107" s="1837">
        <v>0</v>
      </c>
      <c r="I107" s="1837">
        <v>0</v>
      </c>
      <c r="J107" s="1837">
        <v>0</v>
      </c>
      <c r="K107" s="1837">
        <v>0</v>
      </c>
    </row>
    <row r="108" spans="1:12" ht="12.75" customHeight="1" thickBot="1" x14ac:dyDescent="0.25">
      <c r="A108" s="1612" t="s">
        <v>487</v>
      </c>
      <c r="B108" s="1616"/>
      <c r="C108" s="1611">
        <f>SUM(C95:C107)</f>
        <v>205712</v>
      </c>
      <c r="D108" s="1611">
        <f t="shared" ref="D108:K108" si="3">SUM(D95:D107)</f>
        <v>246375</v>
      </c>
      <c r="E108" s="1611">
        <f t="shared" si="3"/>
        <v>0</v>
      </c>
      <c r="F108" s="1611">
        <f t="shared" si="3"/>
        <v>12256</v>
      </c>
      <c r="G108" s="1611">
        <f t="shared" si="3"/>
        <v>0</v>
      </c>
      <c r="H108" s="1611">
        <f t="shared" si="3"/>
        <v>0</v>
      </c>
      <c r="I108" s="1611">
        <f t="shared" si="3"/>
        <v>0</v>
      </c>
      <c r="J108" s="1611">
        <f t="shared" si="3"/>
        <v>0</v>
      </c>
      <c r="K108" s="1592">
        <f t="shared" si="3"/>
        <v>0</v>
      </c>
    </row>
    <row r="109" spans="1:12" ht="14.25" thickTop="1" thickBot="1" x14ac:dyDescent="0.25">
      <c r="A109" s="1617" t="s">
        <v>248</v>
      </c>
      <c r="B109" s="1618" t="s">
        <v>570</v>
      </c>
      <c r="C109" s="1619">
        <f t="shared" ref="C109:K109" si="4">SUM(C12,C18,C40,C63,C67,C75,C82,C93,C108,)</f>
        <v>8037841</v>
      </c>
      <c r="D109" s="1619">
        <f t="shared" si="4"/>
        <v>1428480</v>
      </c>
      <c r="E109" s="1619">
        <f t="shared" si="4"/>
        <v>1720209</v>
      </c>
      <c r="F109" s="1619">
        <f t="shared" si="4"/>
        <v>496289</v>
      </c>
      <c r="G109" s="1619">
        <f t="shared" si="4"/>
        <v>165866</v>
      </c>
      <c r="H109" s="1619">
        <f t="shared" si="4"/>
        <v>152274</v>
      </c>
      <c r="I109" s="1619">
        <f t="shared" si="4"/>
        <v>976</v>
      </c>
      <c r="J109" s="1619">
        <f t="shared" si="4"/>
        <v>0</v>
      </c>
      <c r="K109" s="1606">
        <f t="shared" si="4"/>
        <v>0</v>
      </c>
    </row>
    <row r="110" spans="1:12" ht="30" customHeight="1" thickTop="1" x14ac:dyDescent="0.2">
      <c r="A110" s="1495" t="s">
        <v>346</v>
      </c>
      <c r="B110" s="1496"/>
      <c r="C110" s="1481"/>
      <c r="D110" s="1481"/>
      <c r="E110" s="1481"/>
      <c r="F110" s="1481"/>
      <c r="G110" s="1481"/>
      <c r="H110" s="1481"/>
      <c r="I110" s="1481"/>
      <c r="J110" s="1481"/>
      <c r="K110" s="1482"/>
    </row>
    <row r="111" spans="1:12" ht="12.75" customHeight="1" x14ac:dyDescent="0.2">
      <c r="A111" s="493" t="s">
        <v>823</v>
      </c>
      <c r="B111" s="491">
        <v>2100</v>
      </c>
      <c r="C111" s="1838">
        <v>0</v>
      </c>
      <c r="D111" s="1838">
        <v>0</v>
      </c>
      <c r="E111" s="1849"/>
      <c r="F111" s="1837">
        <v>0</v>
      </c>
      <c r="G111" s="1837">
        <v>0</v>
      </c>
      <c r="H111" s="558"/>
      <c r="I111" s="468"/>
      <c r="J111" s="468"/>
      <c r="K111" s="468"/>
    </row>
    <row r="112" spans="1:12" ht="12.75" customHeight="1" x14ac:dyDescent="0.2">
      <c r="A112" s="463" t="s">
        <v>824</v>
      </c>
      <c r="B112" s="470">
        <v>2200</v>
      </c>
      <c r="C112" s="1838">
        <v>0</v>
      </c>
      <c r="D112" s="1838">
        <v>0</v>
      </c>
      <c r="E112" s="1849"/>
      <c r="F112" s="1837">
        <v>0</v>
      </c>
      <c r="G112" s="1837">
        <v>0</v>
      </c>
      <c r="H112" s="558"/>
      <c r="I112" s="468"/>
      <c r="J112" s="468"/>
      <c r="K112" s="468"/>
      <c r="L112" s="550"/>
    </row>
    <row r="113" spans="1:11" ht="12.75" customHeight="1" x14ac:dyDescent="0.2">
      <c r="A113" s="463" t="s">
        <v>28</v>
      </c>
      <c r="B113" s="470">
        <v>2300</v>
      </c>
      <c r="C113" s="1838">
        <v>0</v>
      </c>
      <c r="D113" s="1838">
        <v>0</v>
      </c>
      <c r="E113" s="1849"/>
      <c r="F113" s="1837">
        <v>0</v>
      </c>
      <c r="G113" s="1837">
        <v>0</v>
      </c>
      <c r="H113" s="558"/>
      <c r="I113" s="468"/>
      <c r="J113" s="468"/>
      <c r="K113" s="468"/>
    </row>
    <row r="114" spans="1:11" ht="13.5" thickBot="1" x14ac:dyDescent="0.25">
      <c r="A114" s="1620" t="s">
        <v>806</v>
      </c>
      <c r="B114" s="1621" t="s">
        <v>569</v>
      </c>
      <c r="C114" s="1622">
        <f>SUM(C111:C113)</f>
        <v>0</v>
      </c>
      <c r="D114" s="1622">
        <f>SUM(D111:D113)</f>
        <v>0</v>
      </c>
      <c r="E114" s="558" t="s">
        <v>1169</v>
      </c>
      <c r="F114" s="1622">
        <f>SUM(F111:F113)</f>
        <v>0</v>
      </c>
      <c r="G114" s="1622">
        <f>SUM(G111:G113)</f>
        <v>0</v>
      </c>
      <c r="H114" s="558"/>
      <c r="I114" s="468"/>
      <c r="J114" s="468"/>
      <c r="K114" s="468"/>
    </row>
    <row r="115" spans="1:11" ht="16.7" customHeight="1" thickTop="1" x14ac:dyDescent="0.2">
      <c r="A115" s="1497" t="s">
        <v>803</v>
      </c>
      <c r="B115" s="1498"/>
      <c r="C115" s="1480"/>
      <c r="D115" s="1481"/>
      <c r="E115" s="1481"/>
      <c r="F115" s="1481"/>
      <c r="G115" s="1481"/>
      <c r="H115" s="1481"/>
      <c r="I115" s="1481"/>
      <c r="J115" s="1481"/>
      <c r="K115" s="1482"/>
    </row>
    <row r="116" spans="1:11" ht="18" customHeight="1" x14ac:dyDescent="0.2">
      <c r="A116" s="1505" t="s">
        <v>1489</v>
      </c>
      <c r="B116" s="1506"/>
      <c r="C116" s="522"/>
      <c r="D116" s="521"/>
      <c r="E116" s="558"/>
      <c r="F116" s="521"/>
      <c r="G116" s="521"/>
      <c r="H116" s="558"/>
      <c r="I116" s="468"/>
      <c r="J116" s="521"/>
      <c r="K116" s="521"/>
    </row>
    <row r="117" spans="1:11" ht="12.75" customHeight="1" x14ac:dyDescent="0.2">
      <c r="A117" s="463" t="s">
        <v>1661</v>
      </c>
      <c r="B117" s="559">
        <v>3001</v>
      </c>
      <c r="C117" s="1838">
        <v>482444</v>
      </c>
      <c r="D117" s="1838">
        <v>0</v>
      </c>
      <c r="E117" s="1837">
        <v>0</v>
      </c>
      <c r="F117" s="1837">
        <v>0</v>
      </c>
      <c r="G117" s="1837">
        <v>0</v>
      </c>
      <c r="H117" s="1837">
        <v>0</v>
      </c>
      <c r="I117" s="1846"/>
      <c r="J117" s="1837">
        <v>0</v>
      </c>
      <c r="K117" s="1837">
        <v>0</v>
      </c>
    </row>
    <row r="118" spans="1:11" ht="12.75" customHeight="1" x14ac:dyDescent="0.2">
      <c r="A118" s="463" t="s">
        <v>1774</v>
      </c>
      <c r="B118" s="559">
        <v>3002</v>
      </c>
      <c r="C118" s="1838">
        <v>0</v>
      </c>
      <c r="D118" s="1838">
        <v>0</v>
      </c>
      <c r="E118" s="1837">
        <v>0</v>
      </c>
      <c r="F118" s="1837">
        <v>0</v>
      </c>
      <c r="G118" s="1837">
        <v>0</v>
      </c>
      <c r="H118" s="1837">
        <v>0</v>
      </c>
      <c r="I118" s="1846"/>
      <c r="J118" s="1837">
        <v>0</v>
      </c>
      <c r="K118" s="1837">
        <v>0</v>
      </c>
    </row>
    <row r="119" spans="1:11" ht="12.75" customHeight="1" x14ac:dyDescent="0.2">
      <c r="A119" s="463" t="s">
        <v>1775</v>
      </c>
      <c r="B119" s="559">
        <v>3005</v>
      </c>
      <c r="C119" s="1838">
        <v>0</v>
      </c>
      <c r="D119" s="1838">
        <v>0</v>
      </c>
      <c r="E119" s="1837">
        <v>0</v>
      </c>
      <c r="F119" s="1837">
        <v>0</v>
      </c>
      <c r="G119" s="1837">
        <v>0</v>
      </c>
      <c r="H119" s="1837">
        <v>0</v>
      </c>
      <c r="I119" s="1846"/>
      <c r="J119" s="1837">
        <v>0</v>
      </c>
      <c r="K119" s="1837">
        <v>0</v>
      </c>
    </row>
    <row r="120" spans="1:11" ht="12.75" customHeight="1" x14ac:dyDescent="0.2">
      <c r="A120" s="1832" t="s">
        <v>1910</v>
      </c>
      <c r="B120" s="559">
        <v>3030</v>
      </c>
      <c r="C120" s="1838">
        <v>0</v>
      </c>
      <c r="D120" s="1838">
        <v>0</v>
      </c>
      <c r="E120" s="1837">
        <v>0</v>
      </c>
      <c r="F120" s="1837">
        <v>0</v>
      </c>
      <c r="G120" s="1837">
        <v>0</v>
      </c>
      <c r="H120" s="1837">
        <v>0</v>
      </c>
      <c r="I120" s="1846"/>
      <c r="J120" s="1837">
        <v>0</v>
      </c>
      <c r="K120" s="1837">
        <v>0</v>
      </c>
    </row>
    <row r="121" spans="1:11" x14ac:dyDescent="0.2">
      <c r="A121" s="1406" t="s">
        <v>1776</v>
      </c>
      <c r="B121" s="561">
        <v>3099</v>
      </c>
      <c r="C121" s="1838">
        <v>0</v>
      </c>
      <c r="D121" s="1838">
        <v>0</v>
      </c>
      <c r="E121" s="1837">
        <v>0</v>
      </c>
      <c r="F121" s="1837">
        <v>0</v>
      </c>
      <c r="G121" s="1837">
        <v>0</v>
      </c>
      <c r="H121" s="1837">
        <v>0</v>
      </c>
      <c r="I121" s="1846"/>
      <c r="J121" s="1837">
        <v>0</v>
      </c>
      <c r="K121" s="1837">
        <v>0</v>
      </c>
    </row>
    <row r="122" spans="1:11" ht="12.6" customHeight="1" thickBot="1" x14ac:dyDescent="0.25">
      <c r="A122" s="1612" t="s">
        <v>488</v>
      </c>
      <c r="B122" s="1623"/>
      <c r="C122" s="1611">
        <f t="shared" ref="C122:H122" si="5">SUM(C117:C121)</f>
        <v>482444</v>
      </c>
      <c r="D122" s="1611">
        <f t="shared" si="5"/>
        <v>0</v>
      </c>
      <c r="E122" s="1611">
        <f t="shared" si="5"/>
        <v>0</v>
      </c>
      <c r="F122" s="1611">
        <f t="shared" si="5"/>
        <v>0</v>
      </c>
      <c r="G122" s="1611">
        <f t="shared" si="5"/>
        <v>0</v>
      </c>
      <c r="H122" s="1611">
        <f t="shared" si="5"/>
        <v>0</v>
      </c>
      <c r="I122" s="468"/>
      <c r="J122" s="1611">
        <f>SUM(J117:J121)</f>
        <v>0</v>
      </c>
      <c r="K122" s="1592">
        <f>SUM(K117:K121)</f>
        <v>0</v>
      </c>
    </row>
    <row r="123" spans="1:11" ht="15.75" customHeight="1" thickTop="1" x14ac:dyDescent="0.2">
      <c r="A123" s="1502" t="s">
        <v>1488</v>
      </c>
      <c r="B123" s="1507"/>
      <c r="C123" s="562"/>
      <c r="D123" s="509"/>
      <c r="E123" s="468"/>
      <c r="F123" s="563"/>
      <c r="G123" s="468"/>
      <c r="H123" s="468"/>
      <c r="I123" s="468"/>
      <c r="J123" s="468"/>
      <c r="K123" s="468"/>
    </row>
    <row r="124" spans="1:11" ht="15" customHeight="1" x14ac:dyDescent="0.2">
      <c r="A124" s="1508" t="s">
        <v>667</v>
      </c>
      <c r="B124" s="1509"/>
      <c r="C124" s="521"/>
      <c r="D124" s="509"/>
      <c r="E124" s="468"/>
      <c r="F124" s="521"/>
      <c r="G124" s="468"/>
      <c r="H124" s="468"/>
      <c r="I124" s="468"/>
      <c r="J124" s="468"/>
      <c r="K124" s="468"/>
    </row>
    <row r="125" spans="1:11" ht="12.75" customHeight="1" x14ac:dyDescent="0.2">
      <c r="A125" s="463" t="s">
        <v>866</v>
      </c>
      <c r="B125" s="564">
        <v>3100</v>
      </c>
      <c r="C125" s="1838">
        <v>0</v>
      </c>
      <c r="D125" s="1849"/>
      <c r="E125" s="1846"/>
      <c r="F125" s="1837">
        <v>0</v>
      </c>
      <c r="G125" s="468"/>
      <c r="H125" s="468"/>
      <c r="I125" s="468"/>
      <c r="J125" s="468"/>
      <c r="K125" s="468"/>
    </row>
    <row r="126" spans="1:11" ht="12.75" customHeight="1" x14ac:dyDescent="0.2">
      <c r="A126" s="463" t="s">
        <v>1444</v>
      </c>
      <c r="B126" s="559">
        <v>3105</v>
      </c>
      <c r="C126" s="1838">
        <v>0</v>
      </c>
      <c r="D126" s="1849"/>
      <c r="E126" s="1846"/>
      <c r="F126" s="1837">
        <v>0</v>
      </c>
      <c r="G126" s="468"/>
      <c r="H126" s="468"/>
      <c r="I126" s="468"/>
      <c r="J126" s="468"/>
      <c r="K126" s="468"/>
    </row>
    <row r="127" spans="1:11" ht="12.75" customHeight="1" x14ac:dyDescent="0.2">
      <c r="A127" s="463" t="s">
        <v>867</v>
      </c>
      <c r="B127" s="559">
        <v>3110</v>
      </c>
      <c r="C127" s="1838">
        <v>0</v>
      </c>
      <c r="D127" s="1838">
        <v>0</v>
      </c>
      <c r="E127" s="1846"/>
      <c r="F127" s="1837">
        <v>0</v>
      </c>
      <c r="G127" s="468"/>
      <c r="H127" s="468"/>
      <c r="I127" s="468"/>
      <c r="J127" s="468"/>
      <c r="K127" s="468"/>
    </row>
    <row r="128" spans="1:11" ht="12.75" customHeight="1" x14ac:dyDescent="0.2">
      <c r="A128" s="463" t="s">
        <v>105</v>
      </c>
      <c r="B128" s="559">
        <v>3120</v>
      </c>
      <c r="C128" s="1838">
        <v>0</v>
      </c>
      <c r="D128" s="1849"/>
      <c r="E128" s="1846"/>
      <c r="F128" s="1837">
        <v>0</v>
      </c>
      <c r="G128" s="468"/>
      <c r="H128" s="468"/>
      <c r="I128" s="468"/>
      <c r="J128" s="468"/>
      <c r="K128" s="468"/>
    </row>
    <row r="129" spans="1:11" ht="12.75" customHeight="1" x14ac:dyDescent="0.2">
      <c r="A129" s="463" t="s">
        <v>1445</v>
      </c>
      <c r="B129" s="559">
        <v>3130</v>
      </c>
      <c r="C129" s="1838">
        <v>0</v>
      </c>
      <c r="D129" s="1849"/>
      <c r="E129" s="1846"/>
      <c r="F129" s="1837">
        <v>0</v>
      </c>
      <c r="G129" s="468"/>
      <c r="H129" s="468"/>
      <c r="I129" s="468"/>
      <c r="J129" s="468"/>
      <c r="K129" s="468"/>
    </row>
    <row r="130" spans="1:11" ht="12.75" customHeight="1" x14ac:dyDescent="0.2">
      <c r="A130" s="463" t="s">
        <v>137</v>
      </c>
      <c r="B130" s="559">
        <v>3145</v>
      </c>
      <c r="C130" s="1838">
        <v>0</v>
      </c>
      <c r="D130" s="1849"/>
      <c r="E130" s="1846"/>
      <c r="F130" s="1837">
        <v>0</v>
      </c>
      <c r="G130" s="468"/>
      <c r="H130" s="468"/>
      <c r="I130" s="468"/>
      <c r="J130" s="468"/>
      <c r="K130" s="468"/>
    </row>
    <row r="131" spans="1:11" ht="12.75" customHeight="1" x14ac:dyDescent="0.2">
      <c r="A131" s="463" t="s">
        <v>66</v>
      </c>
      <c r="B131" s="559">
        <v>3199</v>
      </c>
      <c r="C131" s="1838">
        <v>0</v>
      </c>
      <c r="D131" s="1838">
        <v>0</v>
      </c>
      <c r="E131" s="1846"/>
      <c r="F131" s="1837">
        <v>0</v>
      </c>
      <c r="G131" s="468"/>
      <c r="H131" s="468"/>
      <c r="I131" s="468"/>
      <c r="J131" s="468"/>
      <c r="K131" s="468"/>
    </row>
    <row r="132" spans="1:11" ht="12.75" customHeight="1" thickBot="1" x14ac:dyDescent="0.25">
      <c r="A132" s="1612" t="s">
        <v>1032</v>
      </c>
      <c r="B132" s="1624"/>
      <c r="C132" s="1611">
        <f>SUM(C125:C131)</f>
        <v>0</v>
      </c>
      <c r="D132" s="1611">
        <f>SUM(D125:D131)</f>
        <v>0</v>
      </c>
      <c r="E132" s="469" t="s">
        <v>1169</v>
      </c>
      <c r="F132" s="1611">
        <f>SUM(F125:F131)</f>
        <v>0</v>
      </c>
      <c r="G132" s="468" t="s">
        <v>1169</v>
      </c>
      <c r="H132" s="468" t="s">
        <v>1169</v>
      </c>
      <c r="I132" s="468" t="s">
        <v>1169</v>
      </c>
      <c r="J132" s="468" t="s">
        <v>1169</v>
      </c>
      <c r="K132" s="468" t="s">
        <v>1169</v>
      </c>
    </row>
    <row r="133" spans="1:11" ht="15.75" customHeight="1" thickTop="1" x14ac:dyDescent="0.2">
      <c r="A133" s="1510" t="s">
        <v>250</v>
      </c>
      <c r="B133" s="1511"/>
      <c r="C133" s="551"/>
      <c r="D133" s="551"/>
      <c r="E133" s="509"/>
      <c r="F133" s="551"/>
      <c r="G133" s="468"/>
      <c r="H133" s="468"/>
      <c r="I133" s="468"/>
      <c r="J133" s="468"/>
      <c r="K133" s="468"/>
    </row>
    <row r="134" spans="1:11" x14ac:dyDescent="0.2">
      <c r="A134" s="463" t="s">
        <v>599</v>
      </c>
      <c r="B134" s="559">
        <v>3200</v>
      </c>
      <c r="C134" s="1838">
        <v>0</v>
      </c>
      <c r="D134" s="1838">
        <v>0</v>
      </c>
      <c r="E134" s="1849"/>
      <c r="F134" s="1846"/>
      <c r="G134" s="1837">
        <v>0</v>
      </c>
      <c r="H134" s="468"/>
      <c r="I134" s="468"/>
      <c r="J134" s="468"/>
      <c r="K134" s="468"/>
    </row>
    <row r="135" spans="1:11" ht="12.75" customHeight="1" x14ac:dyDescent="0.2">
      <c r="A135" s="463" t="s">
        <v>669</v>
      </c>
      <c r="B135" s="559">
        <v>3220</v>
      </c>
      <c r="C135" s="1838">
        <v>0</v>
      </c>
      <c r="D135" s="1838">
        <v>0</v>
      </c>
      <c r="E135" s="1849"/>
      <c r="F135" s="1846"/>
      <c r="G135" s="1837">
        <v>0</v>
      </c>
      <c r="H135" s="468"/>
      <c r="I135" s="468"/>
      <c r="J135" s="468"/>
      <c r="K135" s="468"/>
    </row>
    <row r="136" spans="1:11" ht="12.75" customHeight="1" x14ac:dyDescent="0.2">
      <c r="A136" s="463" t="s">
        <v>249</v>
      </c>
      <c r="B136" s="559">
        <v>3225</v>
      </c>
      <c r="C136" s="1838">
        <v>0</v>
      </c>
      <c r="D136" s="1838">
        <v>0</v>
      </c>
      <c r="E136" s="1849"/>
      <c r="F136" s="1846"/>
      <c r="G136" s="1837">
        <v>0</v>
      </c>
      <c r="H136" s="468"/>
      <c r="I136" s="468"/>
      <c r="J136" s="468"/>
      <c r="K136" s="468"/>
    </row>
    <row r="137" spans="1:11" ht="12.75" customHeight="1" x14ac:dyDescent="0.2">
      <c r="A137" s="463" t="s">
        <v>600</v>
      </c>
      <c r="B137" s="559">
        <v>3235</v>
      </c>
      <c r="C137" s="1838">
        <v>0</v>
      </c>
      <c r="D137" s="1838">
        <v>0</v>
      </c>
      <c r="E137" s="1849"/>
      <c r="F137" s="1846"/>
      <c r="G137" s="1837">
        <v>0</v>
      </c>
      <c r="H137" s="468"/>
      <c r="I137" s="468"/>
      <c r="J137" s="468"/>
      <c r="K137" s="468"/>
    </row>
    <row r="138" spans="1:11" ht="12.75" customHeight="1" x14ac:dyDescent="0.2">
      <c r="A138" s="463" t="s">
        <v>601</v>
      </c>
      <c r="B138" s="559">
        <v>3240</v>
      </c>
      <c r="C138" s="1838">
        <v>0</v>
      </c>
      <c r="D138" s="1838">
        <v>0</v>
      </c>
      <c r="E138" s="1849"/>
      <c r="F138" s="1846"/>
      <c r="G138" s="1837">
        <v>0</v>
      </c>
      <c r="H138" s="468"/>
      <c r="I138" s="468"/>
      <c r="J138" s="468"/>
      <c r="K138" s="468"/>
    </row>
    <row r="139" spans="1:11" ht="12.75" customHeight="1" x14ac:dyDescent="0.2">
      <c r="A139" s="463" t="s">
        <v>602</v>
      </c>
      <c r="B139" s="559">
        <v>3270</v>
      </c>
      <c r="C139" s="1838">
        <v>0</v>
      </c>
      <c r="D139" s="1838">
        <v>0</v>
      </c>
      <c r="E139" s="1849"/>
      <c r="F139" s="1846"/>
      <c r="G139" s="1837">
        <v>0</v>
      </c>
      <c r="H139" s="468"/>
      <c r="I139" s="468"/>
      <c r="J139" s="468"/>
      <c r="K139" s="468"/>
    </row>
    <row r="140" spans="1:11" ht="12.75" customHeight="1" x14ac:dyDescent="0.2">
      <c r="A140" s="463" t="s">
        <v>67</v>
      </c>
      <c r="B140" s="559">
        <v>3299</v>
      </c>
      <c r="C140" s="1838">
        <v>0</v>
      </c>
      <c r="D140" s="1838">
        <v>0</v>
      </c>
      <c r="E140" s="1849"/>
      <c r="F140" s="1851"/>
      <c r="G140" s="1837">
        <v>0</v>
      </c>
      <c r="H140" s="468"/>
      <c r="I140" s="468"/>
      <c r="J140" s="468"/>
      <c r="K140" s="468"/>
    </row>
    <row r="141" spans="1:11" ht="12.75" customHeight="1" thickBot="1" x14ac:dyDescent="0.25">
      <c r="A141" s="1612" t="s">
        <v>603</v>
      </c>
      <c r="B141" s="1624"/>
      <c r="C141" s="1611">
        <f>SUM(C134:C140)</f>
        <v>0</v>
      </c>
      <c r="D141" s="1611">
        <f>SUM(D134:D140)</f>
        <v>0</v>
      </c>
      <c r="E141" s="558" t="s">
        <v>1169</v>
      </c>
      <c r="F141" s="477"/>
      <c r="G141" s="1611">
        <f>SUM(G134:G140)</f>
        <v>0</v>
      </c>
      <c r="H141" s="468" t="s">
        <v>1169</v>
      </c>
      <c r="I141" s="468" t="s">
        <v>1169</v>
      </c>
      <c r="J141" s="468" t="s">
        <v>1169</v>
      </c>
      <c r="K141" s="468" t="s">
        <v>1169</v>
      </c>
    </row>
    <row r="142" spans="1:11" ht="15.75" customHeight="1" thickTop="1" x14ac:dyDescent="0.2">
      <c r="A142" s="1510" t="s">
        <v>670</v>
      </c>
      <c r="B142" s="1511"/>
      <c r="C142" s="551"/>
      <c r="D142" s="563"/>
      <c r="E142" s="558"/>
      <c r="F142" s="551"/>
      <c r="G142" s="551"/>
      <c r="H142" s="468"/>
      <c r="I142" s="468"/>
      <c r="J142" s="468"/>
      <c r="K142" s="468"/>
    </row>
    <row r="143" spans="1:11" ht="12.75" customHeight="1" x14ac:dyDescent="0.2">
      <c r="A143" s="463" t="s">
        <v>604</v>
      </c>
      <c r="B143" s="559">
        <v>3305</v>
      </c>
      <c r="C143" s="1838">
        <v>0</v>
      </c>
      <c r="D143" s="1846"/>
      <c r="E143" s="1849"/>
      <c r="F143" s="1846"/>
      <c r="G143" s="1837">
        <v>0</v>
      </c>
      <c r="H143" s="468"/>
      <c r="I143" s="468"/>
      <c r="J143" s="468"/>
      <c r="K143" s="468"/>
    </row>
    <row r="144" spans="1:11" ht="12.75" customHeight="1" x14ac:dyDescent="0.2">
      <c r="A144" s="463" t="s">
        <v>347</v>
      </c>
      <c r="B144" s="559">
        <v>3310</v>
      </c>
      <c r="C144" s="1838">
        <v>0</v>
      </c>
      <c r="D144" s="1846"/>
      <c r="E144" s="1849"/>
      <c r="F144" s="1846"/>
      <c r="G144" s="1837">
        <v>0</v>
      </c>
      <c r="H144" s="468"/>
      <c r="I144" s="468"/>
      <c r="J144" s="468"/>
      <c r="K144" s="468"/>
    </row>
    <row r="145" spans="1:11" s="202" customFormat="1" ht="13.5" thickBot="1" x14ac:dyDescent="0.25">
      <c r="A145" s="1612" t="s">
        <v>396</v>
      </c>
      <c r="B145" s="1624"/>
      <c r="C145" s="1592">
        <f>SUM(C143:C144)</f>
        <v>0</v>
      </c>
      <c r="D145" s="468"/>
      <c r="E145" s="509"/>
      <c r="F145" s="468"/>
      <c r="G145" s="1625">
        <f>SUM(G143:G144)</f>
        <v>0</v>
      </c>
      <c r="H145" s="468"/>
      <c r="I145" s="468"/>
      <c r="J145" s="468"/>
      <c r="K145" s="468"/>
    </row>
    <row r="146" spans="1:11" s="202" customFormat="1" ht="12.75" customHeight="1" thickTop="1" x14ac:dyDescent="0.2">
      <c r="A146" s="1408" t="s">
        <v>1056</v>
      </c>
      <c r="B146" s="565">
        <v>3360</v>
      </c>
      <c r="C146" s="1838">
        <v>1163</v>
      </c>
      <c r="D146" s="1846"/>
      <c r="E146" s="1849"/>
      <c r="F146" s="1846"/>
      <c r="G146" s="1846"/>
      <c r="H146" s="1846"/>
      <c r="I146" s="1846"/>
      <c r="J146" s="1846"/>
      <c r="K146" s="1846"/>
    </row>
    <row r="147" spans="1:11" ht="12.75" customHeight="1" thickBot="1" x14ac:dyDescent="0.25">
      <c r="A147" s="1409" t="s">
        <v>922</v>
      </c>
      <c r="B147" s="567">
        <v>3365</v>
      </c>
      <c r="C147" s="1838">
        <v>0</v>
      </c>
      <c r="D147" s="1838">
        <v>0</v>
      </c>
      <c r="E147" s="1849"/>
      <c r="F147" s="1846"/>
      <c r="G147" s="1837">
        <v>0</v>
      </c>
      <c r="H147" s="1846"/>
      <c r="I147" s="1846"/>
      <c r="J147" s="1846"/>
      <c r="K147" s="1846"/>
    </row>
    <row r="148" spans="1:11" ht="12.75" customHeight="1" thickTop="1" thickBot="1" x14ac:dyDescent="0.25">
      <c r="A148" s="1410" t="s">
        <v>138</v>
      </c>
      <c r="B148" s="568">
        <v>3370</v>
      </c>
      <c r="C148" s="1838">
        <v>0</v>
      </c>
      <c r="D148" s="1838">
        <v>0</v>
      </c>
      <c r="E148" s="1849"/>
      <c r="F148" s="1846"/>
      <c r="G148" s="1846"/>
      <c r="H148" s="1846"/>
      <c r="I148" s="1846"/>
      <c r="J148" s="1846"/>
      <c r="K148" s="1846"/>
    </row>
    <row r="149" spans="1:11" ht="12.75" customHeight="1" thickTop="1" thickBot="1" x14ac:dyDescent="0.25">
      <c r="A149" s="1410" t="s">
        <v>767</v>
      </c>
      <c r="B149" s="568">
        <v>3410</v>
      </c>
      <c r="C149" s="1838">
        <v>0</v>
      </c>
      <c r="D149" s="1838">
        <v>0</v>
      </c>
      <c r="E149" s="1837">
        <v>0</v>
      </c>
      <c r="F149" s="1837">
        <v>0</v>
      </c>
      <c r="G149" s="1837">
        <v>0</v>
      </c>
      <c r="H149" s="1837">
        <v>0</v>
      </c>
      <c r="I149" s="1837">
        <v>0</v>
      </c>
      <c r="J149" s="1837">
        <v>0</v>
      </c>
      <c r="K149" s="1837">
        <v>0</v>
      </c>
    </row>
    <row r="150" spans="1:11" ht="12.75" customHeight="1" thickTop="1" thickBot="1" x14ac:dyDescent="0.25">
      <c r="A150" s="1410" t="s">
        <v>68</v>
      </c>
      <c r="B150" s="568">
        <v>3499</v>
      </c>
      <c r="C150" s="1838">
        <v>0</v>
      </c>
      <c r="D150" s="1838">
        <v>0</v>
      </c>
      <c r="E150" s="1837">
        <v>0</v>
      </c>
      <c r="F150" s="1837">
        <v>0</v>
      </c>
      <c r="G150" s="1837">
        <v>0</v>
      </c>
      <c r="H150" s="1837">
        <v>0</v>
      </c>
      <c r="I150" s="1837">
        <v>0</v>
      </c>
      <c r="J150" s="1837">
        <v>0</v>
      </c>
      <c r="K150" s="1837">
        <v>0</v>
      </c>
    </row>
    <row r="151" spans="1:11" ht="15.75" customHeight="1" thickTop="1" x14ac:dyDescent="0.2">
      <c r="A151" s="1510" t="s">
        <v>453</v>
      </c>
      <c r="B151" s="1512"/>
      <c r="C151" s="551"/>
      <c r="D151" s="468"/>
      <c r="E151" s="558"/>
      <c r="F151" s="468"/>
      <c r="G151" s="468"/>
      <c r="H151" s="468"/>
      <c r="I151" s="468"/>
      <c r="J151" s="468"/>
      <c r="K151" s="468"/>
    </row>
    <row r="152" spans="1:11" ht="12.75" customHeight="1" x14ac:dyDescent="0.2">
      <c r="A152" s="463" t="s">
        <v>1446</v>
      </c>
      <c r="B152" s="559">
        <v>3500</v>
      </c>
      <c r="C152" s="1838">
        <v>0</v>
      </c>
      <c r="D152" s="1838">
        <v>0</v>
      </c>
      <c r="E152" s="1849"/>
      <c r="F152" s="1837">
        <v>3759</v>
      </c>
      <c r="G152" s="1837">
        <v>0</v>
      </c>
      <c r="H152" s="468"/>
      <c r="I152" s="468"/>
      <c r="J152" s="468"/>
      <c r="K152" s="468"/>
    </row>
    <row r="153" spans="1:11" ht="12.75" customHeight="1" x14ac:dyDescent="0.2">
      <c r="A153" s="463" t="s">
        <v>1057</v>
      </c>
      <c r="B153" s="559">
        <v>3510</v>
      </c>
      <c r="C153" s="1838">
        <v>0</v>
      </c>
      <c r="D153" s="1838">
        <v>0</v>
      </c>
      <c r="E153" s="1849"/>
      <c r="F153" s="1837">
        <v>215419</v>
      </c>
      <c r="G153" s="1837">
        <v>0</v>
      </c>
      <c r="H153" s="468"/>
      <c r="I153" s="468"/>
      <c r="J153" s="468"/>
      <c r="K153" s="468"/>
    </row>
    <row r="154" spans="1:11" ht="12.75" customHeight="1" x14ac:dyDescent="0.2">
      <c r="A154" s="463" t="s">
        <v>69</v>
      </c>
      <c r="B154" s="559">
        <v>3599</v>
      </c>
      <c r="C154" s="1838">
        <v>0</v>
      </c>
      <c r="D154" s="1838">
        <v>0</v>
      </c>
      <c r="E154" s="1849"/>
      <c r="F154" s="1837">
        <v>0</v>
      </c>
      <c r="G154" s="1837">
        <v>0</v>
      </c>
      <c r="H154" s="468"/>
      <c r="I154" s="468"/>
      <c r="J154" s="468"/>
      <c r="K154" s="468"/>
    </row>
    <row r="155" spans="1:11" ht="12.75" customHeight="1" thickBot="1" x14ac:dyDescent="0.25">
      <c r="A155" s="1612" t="s">
        <v>94</v>
      </c>
      <c r="B155" s="1624"/>
      <c r="C155" s="1611">
        <f>SUM(C152:C154)</f>
        <v>0</v>
      </c>
      <c r="D155" s="1611">
        <f>SUM(D152:D154)</f>
        <v>0</v>
      </c>
      <c r="E155" s="558"/>
      <c r="F155" s="1611">
        <f>SUM(F152:F154)</f>
        <v>219178</v>
      </c>
      <c r="G155" s="1611">
        <f>SUM(G152:G154)</f>
        <v>0</v>
      </c>
      <c r="H155" s="468"/>
      <c r="I155" s="468"/>
      <c r="J155" s="468"/>
      <c r="K155" s="468"/>
    </row>
    <row r="156" spans="1:11" ht="12.75" customHeight="1" thickTop="1" thickBot="1" x14ac:dyDescent="0.25">
      <c r="A156" s="1410" t="s">
        <v>380</v>
      </c>
      <c r="B156" s="568">
        <v>3610</v>
      </c>
      <c r="C156" s="1838">
        <v>0</v>
      </c>
      <c r="D156" s="1846"/>
      <c r="E156" s="1849"/>
      <c r="F156" s="1846"/>
      <c r="G156" s="1846"/>
      <c r="H156" s="468"/>
      <c r="I156" s="468"/>
      <c r="J156" s="468"/>
      <c r="K156" s="468"/>
    </row>
    <row r="157" spans="1:11" ht="12.75" customHeight="1" thickTop="1" thickBot="1" x14ac:dyDescent="0.25">
      <c r="A157" s="1410" t="s">
        <v>50</v>
      </c>
      <c r="B157" s="568">
        <v>3660</v>
      </c>
      <c r="C157" s="1838">
        <v>0</v>
      </c>
      <c r="D157" s="1838">
        <v>0</v>
      </c>
      <c r="E157" s="1849"/>
      <c r="F157" s="1837">
        <v>0</v>
      </c>
      <c r="G157" s="1837">
        <v>0</v>
      </c>
      <c r="H157" s="468"/>
      <c r="I157" s="468"/>
      <c r="J157" s="468"/>
      <c r="K157" s="468"/>
    </row>
    <row r="158" spans="1:11" ht="12.75" customHeight="1" thickTop="1" thickBot="1" x14ac:dyDescent="0.25">
      <c r="A158" s="1410" t="s">
        <v>1000</v>
      </c>
      <c r="B158" s="568">
        <v>3695</v>
      </c>
      <c r="C158" s="1838">
        <v>0</v>
      </c>
      <c r="D158" s="1846"/>
      <c r="E158" s="1849"/>
      <c r="F158" s="1837">
        <v>0</v>
      </c>
      <c r="G158" s="1837">
        <v>0</v>
      </c>
      <c r="H158" s="468"/>
      <c r="I158" s="468"/>
      <c r="J158" s="468"/>
      <c r="K158" s="468"/>
    </row>
    <row r="159" spans="1:11" ht="12.75" customHeight="1" thickTop="1" thickBot="1" x14ac:dyDescent="0.25">
      <c r="A159" s="1410" t="s">
        <v>1051</v>
      </c>
      <c r="B159" s="568">
        <v>3705</v>
      </c>
      <c r="C159" s="1838">
        <v>0</v>
      </c>
      <c r="D159" s="1838">
        <v>0</v>
      </c>
      <c r="E159" s="1849"/>
      <c r="F159" s="1837">
        <v>0</v>
      </c>
      <c r="G159" s="1837">
        <v>0</v>
      </c>
      <c r="H159" s="468"/>
      <c r="I159" s="468"/>
      <c r="J159" s="468"/>
      <c r="K159" s="468"/>
    </row>
    <row r="160" spans="1:11" ht="12.75" customHeight="1" thickTop="1" thickBot="1" x14ac:dyDescent="0.25">
      <c r="A160" s="1410" t="s">
        <v>39</v>
      </c>
      <c r="B160" s="568">
        <v>3766</v>
      </c>
      <c r="C160" s="1838">
        <v>0</v>
      </c>
      <c r="D160" s="1838">
        <v>0</v>
      </c>
      <c r="E160" s="1849"/>
      <c r="F160" s="1837">
        <v>0</v>
      </c>
      <c r="G160" s="1837">
        <v>0</v>
      </c>
      <c r="H160" s="1846"/>
      <c r="I160" s="1846"/>
      <c r="J160" s="1846"/>
      <c r="K160" s="1846"/>
    </row>
    <row r="161" spans="1:11" ht="12.75" customHeight="1" thickTop="1" thickBot="1" x14ac:dyDescent="0.25">
      <c r="A161" s="1410" t="s">
        <v>985</v>
      </c>
      <c r="B161" s="568">
        <v>3767</v>
      </c>
      <c r="C161" s="1838">
        <v>0</v>
      </c>
      <c r="D161" s="1838">
        <v>0</v>
      </c>
      <c r="E161" s="1849"/>
      <c r="F161" s="1837">
        <v>0</v>
      </c>
      <c r="G161" s="1837">
        <v>0</v>
      </c>
      <c r="H161" s="1846"/>
      <c r="I161" s="1846"/>
      <c r="J161" s="1846"/>
      <c r="K161" s="1846"/>
    </row>
    <row r="162" spans="1:11" ht="12.75" customHeight="1" thickTop="1" thickBot="1" x14ac:dyDescent="0.25">
      <c r="A162" s="1410" t="s">
        <v>986</v>
      </c>
      <c r="B162" s="568">
        <v>3775</v>
      </c>
      <c r="C162" s="1838">
        <v>0</v>
      </c>
      <c r="D162" s="1838">
        <v>0</v>
      </c>
      <c r="E162" s="1837">
        <v>0</v>
      </c>
      <c r="F162" s="1837">
        <v>0</v>
      </c>
      <c r="G162" s="1837">
        <v>0</v>
      </c>
      <c r="H162" s="1837">
        <v>0</v>
      </c>
      <c r="I162" s="1846"/>
      <c r="J162" s="1846"/>
      <c r="K162" s="1837">
        <v>0</v>
      </c>
    </row>
    <row r="163" spans="1:11" ht="12.75" customHeight="1" thickTop="1" thickBot="1" x14ac:dyDescent="0.25">
      <c r="A163" s="1410" t="s">
        <v>1447</v>
      </c>
      <c r="B163" s="568">
        <v>3780</v>
      </c>
      <c r="C163" s="1838">
        <v>0</v>
      </c>
      <c r="D163" s="1838">
        <v>0</v>
      </c>
      <c r="E163" s="1837">
        <v>0</v>
      </c>
      <c r="F163" s="1837">
        <v>0</v>
      </c>
      <c r="G163" s="1837">
        <v>0</v>
      </c>
      <c r="H163" s="1837">
        <v>0</v>
      </c>
      <c r="I163" s="1846"/>
      <c r="J163" s="1846"/>
      <c r="K163" s="1837">
        <v>0</v>
      </c>
    </row>
    <row r="164" spans="1:11" ht="12.75" customHeight="1" thickTop="1" thickBot="1" x14ac:dyDescent="0.25">
      <c r="A164" s="1410" t="s">
        <v>858</v>
      </c>
      <c r="B164" s="568">
        <v>3815</v>
      </c>
      <c r="C164" s="1838">
        <v>0</v>
      </c>
      <c r="D164" s="1846"/>
      <c r="E164" s="1849"/>
      <c r="F164" s="1837">
        <v>0</v>
      </c>
      <c r="G164" s="1846"/>
      <c r="H164" s="1846"/>
      <c r="I164" s="1846"/>
      <c r="J164" s="1846"/>
      <c r="K164" s="1846"/>
    </row>
    <row r="165" spans="1:11" ht="12.75" customHeight="1" thickTop="1" thickBot="1" x14ac:dyDescent="0.25">
      <c r="A165" s="1410" t="s">
        <v>397</v>
      </c>
      <c r="B165" s="568">
        <v>3825</v>
      </c>
      <c r="C165" s="1838">
        <v>0</v>
      </c>
      <c r="D165" s="1846"/>
      <c r="E165" s="1849"/>
      <c r="F165" s="1837">
        <v>0</v>
      </c>
      <c r="G165" s="1846"/>
      <c r="H165" s="1846"/>
      <c r="I165" s="1846"/>
      <c r="J165" s="1846"/>
      <c r="K165" s="1846"/>
    </row>
    <row r="166" spans="1:11" ht="12.75" customHeight="1" thickTop="1" thickBot="1" x14ac:dyDescent="0.25">
      <c r="A166" s="1410" t="s">
        <v>348</v>
      </c>
      <c r="B166" s="568">
        <v>3920</v>
      </c>
      <c r="C166" s="1852"/>
      <c r="D166" s="1838">
        <v>0</v>
      </c>
      <c r="E166" s="1846"/>
      <c r="F166" s="1852"/>
      <c r="G166" s="1846"/>
      <c r="H166" s="1837">
        <v>0</v>
      </c>
      <c r="I166" s="1846"/>
      <c r="J166" s="1846"/>
      <c r="K166" s="1846"/>
    </row>
    <row r="167" spans="1:11" ht="12.75" customHeight="1" thickTop="1" thickBot="1" x14ac:dyDescent="0.25">
      <c r="A167" s="1410" t="s">
        <v>349</v>
      </c>
      <c r="B167" s="568">
        <v>3925</v>
      </c>
      <c r="C167" s="1850"/>
      <c r="D167" s="1838">
        <v>0</v>
      </c>
      <c r="E167" s="1850"/>
      <c r="F167" s="1850"/>
      <c r="G167" s="1846"/>
      <c r="H167" s="1837">
        <v>0</v>
      </c>
      <c r="I167" s="1846"/>
      <c r="J167" s="1846"/>
      <c r="K167" s="1837">
        <v>0</v>
      </c>
    </row>
    <row r="168" spans="1:11" ht="14.25" thickTop="1" thickBot="1" x14ac:dyDescent="0.25">
      <c r="A168" s="1410" t="s">
        <v>70</v>
      </c>
      <c r="B168" s="568">
        <v>3999</v>
      </c>
      <c r="C168" s="1838">
        <v>750</v>
      </c>
      <c r="D168" s="1838">
        <v>0</v>
      </c>
      <c r="E168" s="1837">
        <v>0</v>
      </c>
      <c r="F168" s="1837">
        <v>0</v>
      </c>
      <c r="G168" s="1837">
        <v>0</v>
      </c>
      <c r="H168" s="1837">
        <v>0</v>
      </c>
      <c r="I168" s="1837">
        <v>0</v>
      </c>
      <c r="J168" s="1837">
        <v>0</v>
      </c>
      <c r="K168" s="1837">
        <v>0</v>
      </c>
    </row>
    <row r="169" spans="1:11" ht="12.75" customHeight="1" thickTop="1" thickBot="1" x14ac:dyDescent="0.25">
      <c r="A169" s="2144" t="s">
        <v>398</v>
      </c>
      <c r="B169" s="2145"/>
      <c r="C169" s="1626">
        <f t="shared" ref="C169:K169" si="6">SUM(C132,C141,C145,C146:C150,C155,C156:C167,C168)</f>
        <v>1913</v>
      </c>
      <c r="D169" s="1626">
        <f t="shared" si="6"/>
        <v>0</v>
      </c>
      <c r="E169" s="1626">
        <f t="shared" si="6"/>
        <v>0</v>
      </c>
      <c r="F169" s="1626">
        <f t="shared" si="6"/>
        <v>219178</v>
      </c>
      <c r="G169" s="1626">
        <f t="shared" si="6"/>
        <v>0</v>
      </c>
      <c r="H169" s="1626">
        <f t="shared" si="6"/>
        <v>0</v>
      </c>
      <c r="I169" s="1626">
        <f t="shared" si="6"/>
        <v>0</v>
      </c>
      <c r="J169" s="1626">
        <f t="shared" si="6"/>
        <v>0</v>
      </c>
      <c r="K169" s="1607">
        <f t="shared" si="6"/>
        <v>0</v>
      </c>
    </row>
    <row r="170" spans="1:11" ht="12.75" customHeight="1" thickTop="1" thickBot="1" x14ac:dyDescent="0.25">
      <c r="A170" s="1612" t="s">
        <v>399</v>
      </c>
      <c r="B170" s="1618" t="s">
        <v>575</v>
      </c>
      <c r="C170" s="1619">
        <f t="shared" ref="C170:K170" si="7">SUM(C122,C169)</f>
        <v>484357</v>
      </c>
      <c r="D170" s="1619">
        <f t="shared" si="7"/>
        <v>0</v>
      </c>
      <c r="E170" s="1619">
        <f t="shared" si="7"/>
        <v>0</v>
      </c>
      <c r="F170" s="1619">
        <f t="shared" si="7"/>
        <v>219178</v>
      </c>
      <c r="G170" s="1619">
        <f t="shared" si="7"/>
        <v>0</v>
      </c>
      <c r="H170" s="1619">
        <f t="shared" si="7"/>
        <v>0</v>
      </c>
      <c r="I170" s="1619">
        <f t="shared" si="7"/>
        <v>0</v>
      </c>
      <c r="J170" s="1619">
        <f t="shared" si="7"/>
        <v>0</v>
      </c>
      <c r="K170" s="1606">
        <f t="shared" si="7"/>
        <v>0</v>
      </c>
    </row>
    <row r="171" spans="1:11" ht="16.7" customHeight="1" thickTop="1" x14ac:dyDescent="0.2">
      <c r="A171" s="1499" t="s">
        <v>804</v>
      </c>
      <c r="B171" s="1477"/>
      <c r="C171" s="1480"/>
      <c r="D171" s="1481"/>
      <c r="E171" s="1481"/>
      <c r="F171" s="1481"/>
      <c r="G171" s="1481"/>
      <c r="H171" s="1481"/>
      <c r="I171" s="1481"/>
      <c r="J171" s="1481"/>
      <c r="K171" s="1482"/>
    </row>
    <row r="172" spans="1:11" ht="15.75" customHeight="1" x14ac:dyDescent="0.2">
      <c r="A172" s="2146" t="s">
        <v>1490</v>
      </c>
      <c r="B172" s="2147"/>
      <c r="C172" s="520"/>
      <c r="D172" s="520"/>
      <c r="E172" s="509"/>
      <c r="F172" s="468"/>
      <c r="G172" s="468"/>
      <c r="H172" s="468"/>
      <c r="I172" s="468"/>
      <c r="J172" s="468"/>
      <c r="K172" s="468"/>
    </row>
    <row r="173" spans="1:11" ht="12.6" customHeight="1" x14ac:dyDescent="0.2">
      <c r="A173" s="493" t="s">
        <v>1044</v>
      </c>
      <c r="B173" s="491">
        <v>4001</v>
      </c>
      <c r="C173" s="1838">
        <v>0</v>
      </c>
      <c r="D173" s="1838">
        <v>0</v>
      </c>
      <c r="E173" s="1837">
        <v>0</v>
      </c>
      <c r="F173" s="1837">
        <v>0</v>
      </c>
      <c r="G173" s="1837">
        <v>0</v>
      </c>
      <c r="H173" s="1837">
        <v>0</v>
      </c>
      <c r="I173" s="1837">
        <v>0</v>
      </c>
      <c r="J173" s="1837">
        <v>0</v>
      </c>
      <c r="K173" s="1837">
        <v>0</v>
      </c>
    </row>
    <row r="174" spans="1:11" ht="22.5" x14ac:dyDescent="0.2">
      <c r="A174" s="560" t="s">
        <v>805</v>
      </c>
      <c r="B174" s="570">
        <v>4009</v>
      </c>
      <c r="C174" s="1838">
        <v>0</v>
      </c>
      <c r="D174" s="1838">
        <v>0</v>
      </c>
      <c r="E174" s="1837">
        <v>0</v>
      </c>
      <c r="F174" s="1837">
        <v>0</v>
      </c>
      <c r="G174" s="1837">
        <v>0</v>
      </c>
      <c r="H174" s="1837">
        <v>0</v>
      </c>
      <c r="I174" s="1837">
        <v>0</v>
      </c>
      <c r="J174" s="1837">
        <v>0</v>
      </c>
      <c r="K174" s="1837">
        <v>0</v>
      </c>
    </row>
    <row r="175" spans="1:11" ht="13.5" thickBot="1" x14ac:dyDescent="0.25">
      <c r="A175" s="2150" t="s">
        <v>1659</v>
      </c>
      <c r="B175" s="2151"/>
      <c r="C175" s="1611">
        <f>SUM(C173:C174)</f>
        <v>0</v>
      </c>
      <c r="D175" s="1611">
        <f t="shared" ref="D175:K175" si="8">SUM(D173:D174)</f>
        <v>0</v>
      </c>
      <c r="E175" s="1611">
        <f t="shared" si="8"/>
        <v>0</v>
      </c>
      <c r="F175" s="1611">
        <f t="shared" si="8"/>
        <v>0</v>
      </c>
      <c r="G175" s="1611">
        <f t="shared" si="8"/>
        <v>0</v>
      </c>
      <c r="H175" s="1611">
        <f t="shared" si="8"/>
        <v>0</v>
      </c>
      <c r="I175" s="1611">
        <f t="shared" si="8"/>
        <v>0</v>
      </c>
      <c r="J175" s="1611">
        <f t="shared" si="8"/>
        <v>0</v>
      </c>
      <c r="K175" s="1592">
        <f t="shared" si="8"/>
        <v>0</v>
      </c>
    </row>
    <row r="176" spans="1:11" s="457" customFormat="1" ht="15.75" customHeight="1" thickTop="1" x14ac:dyDescent="0.2">
      <c r="A176" s="2154" t="s">
        <v>1658</v>
      </c>
      <c r="B176" s="2155"/>
      <c r="C176" s="581"/>
      <c r="D176" s="582"/>
      <c r="E176" s="583"/>
      <c r="F176" s="584"/>
      <c r="G176" s="584"/>
      <c r="H176" s="584"/>
      <c r="I176" s="584"/>
      <c r="J176" s="584"/>
      <c r="K176" s="584"/>
    </row>
    <row r="177" spans="1:11" ht="12.75" customHeight="1" x14ac:dyDescent="0.2">
      <c r="A177" s="463" t="s">
        <v>1045</v>
      </c>
      <c r="B177" s="470">
        <v>4045</v>
      </c>
      <c r="C177" s="1838">
        <v>0</v>
      </c>
      <c r="D177" s="1846"/>
      <c r="E177" s="1849"/>
      <c r="F177" s="1846"/>
      <c r="G177" s="1846"/>
      <c r="H177" s="1846"/>
      <c r="I177" s="1846"/>
      <c r="J177" s="1846"/>
      <c r="K177" s="1846"/>
    </row>
    <row r="178" spans="1:11" ht="12.75" customHeight="1" x14ac:dyDescent="0.2">
      <c r="A178" s="463" t="s">
        <v>1046</v>
      </c>
      <c r="B178" s="470">
        <v>4050</v>
      </c>
      <c r="C178" s="1838">
        <v>0</v>
      </c>
      <c r="D178" s="1838">
        <v>0</v>
      </c>
      <c r="E178" s="1849"/>
      <c r="F178" s="1846"/>
      <c r="G178" s="1846"/>
      <c r="H178" s="1837">
        <v>0</v>
      </c>
      <c r="I178" s="1846"/>
      <c r="J178" s="1846"/>
      <c r="K178" s="1846"/>
    </row>
    <row r="179" spans="1:11" ht="12.75" customHeight="1" x14ac:dyDescent="0.2">
      <c r="A179" s="463" t="s">
        <v>260</v>
      </c>
      <c r="B179" s="470">
        <v>4060</v>
      </c>
      <c r="C179" s="1838">
        <v>0</v>
      </c>
      <c r="D179" s="1838">
        <v>0</v>
      </c>
      <c r="E179" s="1846"/>
      <c r="F179" s="1837">
        <v>0</v>
      </c>
      <c r="G179" s="1837">
        <v>0</v>
      </c>
      <c r="H179" s="1837">
        <v>0</v>
      </c>
      <c r="I179" s="1846"/>
      <c r="J179" s="1846"/>
      <c r="K179" s="1850"/>
    </row>
    <row r="180" spans="1:11" ht="22.5" x14ac:dyDescent="0.2">
      <c r="A180" s="560" t="s">
        <v>786</v>
      </c>
      <c r="B180" s="570">
        <v>4090</v>
      </c>
      <c r="C180" s="1838">
        <v>0</v>
      </c>
      <c r="D180" s="1838">
        <v>0</v>
      </c>
      <c r="E180" s="1846"/>
      <c r="F180" s="1837">
        <v>0</v>
      </c>
      <c r="G180" s="1837">
        <v>0</v>
      </c>
      <c r="H180" s="1837">
        <v>0</v>
      </c>
      <c r="I180" s="1846"/>
      <c r="J180" s="1846"/>
      <c r="K180" s="1837">
        <v>0</v>
      </c>
    </row>
    <row r="181" spans="1:11" ht="13.5" thickBot="1" x14ac:dyDescent="0.25">
      <c r="A181" s="2152" t="s">
        <v>785</v>
      </c>
      <c r="B181" s="2153"/>
      <c r="C181" s="1611">
        <f>SUM(C177:C180)</f>
        <v>0</v>
      </c>
      <c r="D181" s="1611">
        <f>SUM(D177:D180)</f>
        <v>0</v>
      </c>
      <c r="E181" s="468"/>
      <c r="F181" s="1611">
        <f>SUM(F177:F180)</f>
        <v>0</v>
      </c>
      <c r="G181" s="1611">
        <f>SUM(G177:G180)</f>
        <v>0</v>
      </c>
      <c r="H181" s="1611">
        <f>SUM(H177:H180)</f>
        <v>0</v>
      </c>
      <c r="I181" s="468"/>
      <c r="J181" s="468"/>
      <c r="K181" s="1592">
        <f>SUM(K177:K180)</f>
        <v>0</v>
      </c>
    </row>
    <row r="182" spans="1:11" ht="22.5" customHeight="1" thickTop="1" x14ac:dyDescent="0.2">
      <c r="A182" s="2148" t="s">
        <v>1778</v>
      </c>
      <c r="B182" s="2149"/>
      <c r="C182" s="571"/>
      <c r="D182" s="563"/>
      <c r="E182" s="509"/>
      <c r="F182" s="563"/>
      <c r="G182" s="563"/>
      <c r="H182" s="468"/>
      <c r="I182" s="468"/>
      <c r="J182" s="468"/>
      <c r="K182" s="468"/>
    </row>
    <row r="183" spans="1:11" ht="15.75" customHeight="1" x14ac:dyDescent="0.2">
      <c r="A183" s="1513" t="s">
        <v>1596</v>
      </c>
      <c r="B183" s="1514"/>
      <c r="C183" s="522"/>
      <c r="D183" s="521"/>
      <c r="E183" s="509"/>
      <c r="F183" s="521"/>
      <c r="G183" s="521"/>
      <c r="H183" s="468"/>
      <c r="I183" s="468"/>
      <c r="J183" s="468"/>
      <c r="K183" s="468"/>
    </row>
    <row r="184" spans="1:11" ht="12.75" customHeight="1" x14ac:dyDescent="0.2">
      <c r="A184" s="463" t="s">
        <v>1597</v>
      </c>
      <c r="B184" s="470">
        <v>4100</v>
      </c>
      <c r="C184" s="1838">
        <v>0</v>
      </c>
      <c r="D184" s="1838">
        <v>0</v>
      </c>
      <c r="E184" s="1849"/>
      <c r="F184" s="1837">
        <v>0</v>
      </c>
      <c r="G184" s="1837">
        <v>0</v>
      </c>
      <c r="H184" s="468"/>
      <c r="I184" s="468"/>
      <c r="J184" s="468"/>
      <c r="K184" s="468"/>
    </row>
    <row r="185" spans="1:11" ht="12.75" customHeight="1" x14ac:dyDescent="0.2">
      <c r="A185" s="463" t="s">
        <v>1598</v>
      </c>
      <c r="B185" s="470">
        <v>4105</v>
      </c>
      <c r="C185" s="1838">
        <v>0</v>
      </c>
      <c r="D185" s="1838">
        <v>0</v>
      </c>
      <c r="E185" s="1849"/>
      <c r="F185" s="1837">
        <v>0</v>
      </c>
      <c r="G185" s="1837">
        <v>0</v>
      </c>
      <c r="H185" s="468"/>
      <c r="I185" s="468"/>
      <c r="J185" s="468"/>
      <c r="K185" s="468"/>
    </row>
    <row r="186" spans="1:11" ht="12.75" customHeight="1" x14ac:dyDescent="0.2">
      <c r="A186" s="463" t="s">
        <v>1600</v>
      </c>
      <c r="B186" s="470">
        <v>4107</v>
      </c>
      <c r="C186" s="1838">
        <v>0</v>
      </c>
      <c r="D186" s="1838">
        <v>0</v>
      </c>
      <c r="E186" s="1849"/>
      <c r="F186" s="1837">
        <v>0</v>
      </c>
      <c r="G186" s="1837">
        <v>0</v>
      </c>
      <c r="H186" s="468"/>
      <c r="I186" s="468"/>
      <c r="J186" s="468"/>
      <c r="K186" s="468"/>
    </row>
    <row r="187" spans="1:11" ht="12.75" customHeight="1" x14ac:dyDescent="0.2">
      <c r="A187" s="463" t="s">
        <v>1599</v>
      </c>
      <c r="B187" s="470">
        <v>4199</v>
      </c>
      <c r="C187" s="1838">
        <v>0</v>
      </c>
      <c r="D187" s="1838">
        <v>0</v>
      </c>
      <c r="E187" s="1849"/>
      <c r="F187" s="1837">
        <v>0</v>
      </c>
      <c r="G187" s="1837">
        <v>0</v>
      </c>
      <c r="H187" s="468"/>
      <c r="I187" s="468"/>
      <c r="J187" s="468"/>
      <c r="K187" s="468"/>
    </row>
    <row r="188" spans="1:11" ht="12.75" customHeight="1" thickBot="1" x14ac:dyDescent="0.25">
      <c r="A188" s="1612" t="s">
        <v>1601</v>
      </c>
      <c r="B188" s="1613"/>
      <c r="C188" s="1611">
        <f>SUM(C184:C187)</f>
        <v>0</v>
      </c>
      <c r="D188" s="1611">
        <f>SUM(D184:D187)</f>
        <v>0</v>
      </c>
      <c r="E188" s="558"/>
      <c r="F188" s="1611">
        <f>SUM(F184:F187)</f>
        <v>0</v>
      </c>
      <c r="G188" s="1611">
        <f>SUM(G184:G187)</f>
        <v>0</v>
      </c>
      <c r="H188" s="468"/>
      <c r="I188" s="468"/>
      <c r="J188" s="468"/>
      <c r="K188" s="468"/>
    </row>
    <row r="189" spans="1:11" ht="15.75" customHeight="1" thickTop="1" x14ac:dyDescent="0.2">
      <c r="A189" s="1510" t="s">
        <v>455</v>
      </c>
      <c r="B189" s="1515"/>
      <c r="C189" s="551"/>
      <c r="D189" s="563"/>
      <c r="E189" s="558"/>
      <c r="F189" s="551"/>
      <c r="G189" s="551"/>
      <c r="H189" s="468"/>
      <c r="I189" s="468"/>
      <c r="J189" s="468"/>
      <c r="K189" s="468"/>
    </row>
    <row r="190" spans="1:11" x14ac:dyDescent="0.2">
      <c r="A190" s="463" t="s">
        <v>1448</v>
      </c>
      <c r="B190" s="470">
        <v>4200</v>
      </c>
      <c r="C190" s="1838">
        <v>0</v>
      </c>
      <c r="D190" s="1846"/>
      <c r="E190" s="1849"/>
      <c r="F190" s="1853"/>
      <c r="G190" s="1837">
        <v>0</v>
      </c>
      <c r="H190" s="468"/>
      <c r="I190" s="468"/>
      <c r="J190" s="468"/>
      <c r="K190" s="468"/>
    </row>
    <row r="191" spans="1:11" ht="12.75" customHeight="1" x14ac:dyDescent="0.2">
      <c r="A191" s="463" t="s">
        <v>1058</v>
      </c>
      <c r="B191" s="470">
        <v>4210</v>
      </c>
      <c r="C191" s="1838">
        <v>68056</v>
      </c>
      <c r="D191" s="1846"/>
      <c r="E191" s="1849"/>
      <c r="F191" s="1846"/>
      <c r="G191" s="1837">
        <v>0</v>
      </c>
      <c r="H191" s="468"/>
      <c r="I191" s="468"/>
      <c r="J191" s="468"/>
      <c r="K191" s="468"/>
    </row>
    <row r="192" spans="1:11" ht="12.75" customHeight="1" x14ac:dyDescent="0.2">
      <c r="A192" s="463" t="s">
        <v>1047</v>
      </c>
      <c r="B192" s="470">
        <v>4215</v>
      </c>
      <c r="C192" s="1838">
        <v>0</v>
      </c>
      <c r="D192" s="1846"/>
      <c r="E192" s="1849"/>
      <c r="F192" s="1846"/>
      <c r="G192" s="1837">
        <v>0</v>
      </c>
      <c r="H192" s="468"/>
      <c r="I192" s="468"/>
      <c r="J192" s="468"/>
      <c r="K192" s="468"/>
    </row>
    <row r="193" spans="1:11" ht="12.75" customHeight="1" x14ac:dyDescent="0.2">
      <c r="A193" s="463" t="s">
        <v>1059</v>
      </c>
      <c r="B193" s="470">
        <v>4220</v>
      </c>
      <c r="C193" s="1838">
        <v>0</v>
      </c>
      <c r="D193" s="1846"/>
      <c r="E193" s="1849"/>
      <c r="F193" s="1846"/>
      <c r="G193" s="1837">
        <v>0</v>
      </c>
      <c r="H193" s="468"/>
      <c r="I193" s="468"/>
      <c r="J193" s="468"/>
      <c r="K193" s="468"/>
    </row>
    <row r="194" spans="1:11" ht="12.75" customHeight="1" x14ac:dyDescent="0.2">
      <c r="A194" s="463" t="s">
        <v>1449</v>
      </c>
      <c r="B194" s="470">
        <v>4225</v>
      </c>
      <c r="C194" s="1838">
        <v>0</v>
      </c>
      <c r="D194" s="1846"/>
      <c r="E194" s="1849"/>
      <c r="F194" s="1846"/>
      <c r="G194" s="1837">
        <v>0</v>
      </c>
      <c r="H194" s="468"/>
      <c r="I194" s="468"/>
      <c r="J194" s="468"/>
      <c r="K194" s="468"/>
    </row>
    <row r="195" spans="1:11" ht="12.75" customHeight="1" x14ac:dyDescent="0.2">
      <c r="A195" s="463" t="s">
        <v>1450</v>
      </c>
      <c r="B195" s="470">
        <v>4226</v>
      </c>
      <c r="C195" s="1838">
        <v>0</v>
      </c>
      <c r="D195" s="1846"/>
      <c r="E195" s="1849"/>
      <c r="F195" s="1846"/>
      <c r="G195" s="1837">
        <v>0</v>
      </c>
      <c r="H195" s="468"/>
      <c r="I195" s="468"/>
      <c r="J195" s="468"/>
      <c r="K195" s="468"/>
    </row>
    <row r="196" spans="1:11" ht="12.75" customHeight="1" x14ac:dyDescent="0.2">
      <c r="A196" s="463" t="s">
        <v>792</v>
      </c>
      <c r="B196" s="470">
        <v>4240</v>
      </c>
      <c r="C196" s="1838">
        <v>0</v>
      </c>
      <c r="D196" s="1846"/>
      <c r="E196" s="1849"/>
      <c r="F196" s="1846"/>
      <c r="G196" s="1854"/>
      <c r="H196" s="468"/>
      <c r="I196" s="468"/>
      <c r="J196" s="468"/>
      <c r="K196" s="468"/>
    </row>
    <row r="197" spans="1:11" ht="12.75" customHeight="1" x14ac:dyDescent="0.2">
      <c r="A197" s="463" t="s">
        <v>71</v>
      </c>
      <c r="B197" s="470">
        <v>4299</v>
      </c>
      <c r="C197" s="1838">
        <v>2831</v>
      </c>
      <c r="D197" s="1846"/>
      <c r="E197" s="1849"/>
      <c r="F197" s="1846"/>
      <c r="G197" s="1837">
        <v>0</v>
      </c>
      <c r="H197" s="468"/>
      <c r="I197" s="468"/>
      <c r="J197" s="468"/>
      <c r="K197" s="468"/>
    </row>
    <row r="198" spans="1:11" ht="12.75" customHeight="1" thickBot="1" x14ac:dyDescent="0.25">
      <c r="A198" s="1612" t="s">
        <v>548</v>
      </c>
      <c r="B198" s="1613"/>
      <c r="C198" s="1592">
        <f>SUM(C190:C197)</f>
        <v>70887</v>
      </c>
      <c r="D198" s="468"/>
      <c r="E198" s="468"/>
      <c r="F198" s="468"/>
      <c r="G198" s="1592">
        <f>SUM(G190:G197)</f>
        <v>0</v>
      </c>
      <c r="H198" s="468"/>
      <c r="I198" s="468"/>
      <c r="J198" s="468"/>
      <c r="K198" s="468"/>
    </row>
    <row r="199" spans="1:11" ht="15.75" customHeight="1" thickTop="1" x14ac:dyDescent="0.2">
      <c r="A199" s="1510" t="s">
        <v>1138</v>
      </c>
      <c r="B199" s="1515"/>
      <c r="C199" s="551"/>
      <c r="D199" s="468"/>
      <c r="E199" s="468"/>
      <c r="F199" s="468"/>
      <c r="G199" s="468"/>
      <c r="H199" s="468"/>
      <c r="I199" s="468"/>
      <c r="J199" s="468"/>
      <c r="K199" s="468"/>
    </row>
    <row r="200" spans="1:11" ht="12.75" customHeight="1" x14ac:dyDescent="0.2">
      <c r="A200" s="463" t="s">
        <v>918</v>
      </c>
      <c r="B200" s="470">
        <v>4300</v>
      </c>
      <c r="C200" s="1838">
        <v>59758</v>
      </c>
      <c r="D200" s="1838">
        <v>0</v>
      </c>
      <c r="E200" s="1846"/>
      <c r="F200" s="1837">
        <v>0</v>
      </c>
      <c r="G200" s="1837">
        <v>0</v>
      </c>
      <c r="H200" s="468"/>
      <c r="I200" s="468"/>
      <c r="J200" s="468"/>
      <c r="K200" s="468"/>
    </row>
    <row r="201" spans="1:11" ht="12.75" customHeight="1" x14ac:dyDescent="0.2">
      <c r="A201" s="463" t="s">
        <v>919</v>
      </c>
      <c r="B201" s="470">
        <v>4305</v>
      </c>
      <c r="C201" s="1838">
        <v>0</v>
      </c>
      <c r="D201" s="1838">
        <v>0</v>
      </c>
      <c r="E201" s="1846"/>
      <c r="F201" s="1837">
        <v>0</v>
      </c>
      <c r="G201" s="1837">
        <v>0</v>
      </c>
      <c r="H201" s="468"/>
      <c r="I201" s="468"/>
      <c r="J201" s="468"/>
      <c r="K201" s="468"/>
    </row>
    <row r="202" spans="1:11" ht="12.75" customHeight="1" x14ac:dyDescent="0.2">
      <c r="A202" s="463" t="s">
        <v>1031</v>
      </c>
      <c r="B202" s="470">
        <v>4340</v>
      </c>
      <c r="C202" s="1838">
        <v>0</v>
      </c>
      <c r="D202" s="1838">
        <v>0</v>
      </c>
      <c r="E202" s="1846"/>
      <c r="F202" s="1837">
        <v>0</v>
      </c>
      <c r="G202" s="1837">
        <v>0</v>
      </c>
      <c r="H202" s="468"/>
      <c r="I202" s="468"/>
      <c r="J202" s="468"/>
      <c r="K202" s="468"/>
    </row>
    <row r="203" spans="1:11" ht="12.75" customHeight="1" x14ac:dyDescent="0.2">
      <c r="A203" s="463" t="s">
        <v>72</v>
      </c>
      <c r="B203" s="470">
        <v>4399</v>
      </c>
      <c r="C203" s="1838">
        <v>0</v>
      </c>
      <c r="D203" s="1838">
        <v>0</v>
      </c>
      <c r="E203" s="1846"/>
      <c r="F203" s="1837">
        <v>0</v>
      </c>
      <c r="G203" s="1837">
        <v>0</v>
      </c>
      <c r="H203" s="468"/>
      <c r="I203" s="468"/>
      <c r="J203" s="468"/>
      <c r="K203" s="468"/>
    </row>
    <row r="204" spans="1:11" ht="12.75" customHeight="1" thickBot="1" x14ac:dyDescent="0.25">
      <c r="A204" s="1612" t="s">
        <v>400</v>
      </c>
      <c r="B204" s="1613"/>
      <c r="C204" s="1611">
        <f>SUM(C200:C203)</f>
        <v>59758</v>
      </c>
      <c r="D204" s="1611">
        <f>SUM(D200:D203)</f>
        <v>0</v>
      </c>
      <c r="E204" s="468"/>
      <c r="F204" s="1611">
        <f>SUM(F200:F203)</f>
        <v>0</v>
      </c>
      <c r="G204" s="1611">
        <f>SUM(G200:G203)</f>
        <v>0</v>
      </c>
      <c r="H204" s="468"/>
      <c r="I204" s="468"/>
      <c r="J204" s="468"/>
      <c r="K204" s="468"/>
    </row>
    <row r="205" spans="1:11" ht="15.75" customHeight="1" thickTop="1" x14ac:dyDescent="0.2">
      <c r="A205" s="1510" t="s">
        <v>1139</v>
      </c>
      <c r="B205" s="1515"/>
      <c r="C205" s="551"/>
      <c r="D205" s="551"/>
      <c r="E205" s="468"/>
      <c r="F205" s="551"/>
      <c r="G205" s="551"/>
      <c r="H205" s="468"/>
      <c r="I205" s="468"/>
      <c r="J205" s="468"/>
      <c r="K205" s="468"/>
    </row>
    <row r="206" spans="1:11" ht="12.75" customHeight="1" x14ac:dyDescent="0.2">
      <c r="A206" s="463" t="s">
        <v>759</v>
      </c>
      <c r="B206" s="470">
        <v>4400</v>
      </c>
      <c r="C206" s="1838">
        <v>0</v>
      </c>
      <c r="D206" s="1838">
        <v>0</v>
      </c>
      <c r="E206" s="1846"/>
      <c r="F206" s="1837">
        <v>0</v>
      </c>
      <c r="G206" s="1837">
        <v>0</v>
      </c>
      <c r="H206" s="468"/>
      <c r="I206" s="468"/>
      <c r="J206" s="468"/>
      <c r="K206" s="468"/>
    </row>
    <row r="207" spans="1:11" ht="12.75" customHeight="1" x14ac:dyDescent="0.2">
      <c r="A207" s="463" t="s">
        <v>1451</v>
      </c>
      <c r="B207" s="470">
        <v>4421</v>
      </c>
      <c r="C207" s="1838">
        <v>0</v>
      </c>
      <c r="D207" s="1838">
        <v>0</v>
      </c>
      <c r="E207" s="1846"/>
      <c r="F207" s="1837">
        <v>0</v>
      </c>
      <c r="G207" s="1837">
        <v>0</v>
      </c>
      <c r="H207" s="468"/>
      <c r="I207" s="468"/>
      <c r="J207" s="468"/>
      <c r="K207" s="468"/>
    </row>
    <row r="208" spans="1:11" ht="12.75" customHeight="1" x14ac:dyDescent="0.2">
      <c r="A208" s="463" t="s">
        <v>73</v>
      </c>
      <c r="B208" s="470">
        <v>4499</v>
      </c>
      <c r="C208" s="1838">
        <v>0</v>
      </c>
      <c r="D208" s="1838">
        <v>0</v>
      </c>
      <c r="E208" s="1846"/>
      <c r="F208" s="1837">
        <v>0</v>
      </c>
      <c r="G208" s="1837">
        <v>0</v>
      </c>
      <c r="H208" s="468"/>
      <c r="I208" s="468"/>
      <c r="J208" s="468"/>
      <c r="K208" s="468"/>
    </row>
    <row r="209" spans="1:11" ht="12.75" customHeight="1" thickBot="1" x14ac:dyDescent="0.25">
      <c r="A209" s="1612" t="s">
        <v>889</v>
      </c>
      <c r="B209" s="1613"/>
      <c r="C209" s="1611">
        <f>SUM(C206:C208)</f>
        <v>0</v>
      </c>
      <c r="D209" s="1611">
        <f>SUM(D206:D208)</f>
        <v>0</v>
      </c>
      <c r="E209" s="468" t="s">
        <v>1169</v>
      </c>
      <c r="F209" s="1611">
        <f>SUM(F206:F208)</f>
        <v>0</v>
      </c>
      <c r="G209" s="1611">
        <f>SUM(G206:G208)</f>
        <v>0</v>
      </c>
      <c r="H209" s="468"/>
      <c r="I209" s="468"/>
      <c r="J209" s="468"/>
      <c r="K209" s="468"/>
    </row>
    <row r="210" spans="1:11" ht="15.75" customHeight="1" thickTop="1" x14ac:dyDescent="0.2">
      <c r="A210" s="1510" t="s">
        <v>1092</v>
      </c>
      <c r="B210" s="1515"/>
      <c r="C210" s="551"/>
      <c r="D210" s="551"/>
      <c r="E210" s="468"/>
      <c r="F210" s="551"/>
      <c r="G210" s="551"/>
      <c r="H210" s="468"/>
      <c r="I210" s="468"/>
      <c r="J210" s="468"/>
      <c r="K210" s="468"/>
    </row>
    <row r="211" spans="1:11" ht="12.75" customHeight="1" x14ac:dyDescent="0.2">
      <c r="A211" s="463" t="s">
        <v>1052</v>
      </c>
      <c r="B211" s="470">
        <v>4600</v>
      </c>
      <c r="C211" s="1838">
        <v>5015</v>
      </c>
      <c r="D211" s="1838">
        <v>0</v>
      </c>
      <c r="E211" s="1846"/>
      <c r="F211" s="1837">
        <v>0</v>
      </c>
      <c r="G211" s="1837">
        <v>0</v>
      </c>
      <c r="H211" s="468"/>
      <c r="I211" s="468"/>
      <c r="J211" s="468"/>
      <c r="K211" s="468"/>
    </row>
    <row r="212" spans="1:11" ht="12.75" customHeight="1" x14ac:dyDescent="0.2">
      <c r="A212" s="463" t="s">
        <v>1053</v>
      </c>
      <c r="B212" s="470">
        <v>4605</v>
      </c>
      <c r="C212" s="1838">
        <v>0</v>
      </c>
      <c r="D212" s="1838">
        <v>0</v>
      </c>
      <c r="E212" s="1846"/>
      <c r="F212" s="1837">
        <v>0</v>
      </c>
      <c r="G212" s="1837">
        <v>0</v>
      </c>
      <c r="H212" s="468"/>
      <c r="I212" s="468"/>
      <c r="J212" s="468"/>
      <c r="K212" s="468"/>
    </row>
    <row r="213" spans="1:11" ht="12.75" customHeight="1" x14ac:dyDescent="0.2">
      <c r="A213" s="463" t="s">
        <v>1452</v>
      </c>
      <c r="B213" s="555">
        <v>4620</v>
      </c>
      <c r="C213" s="1838">
        <v>202046</v>
      </c>
      <c r="D213" s="1838">
        <v>0</v>
      </c>
      <c r="E213" s="1846"/>
      <c r="F213" s="1837">
        <v>0</v>
      </c>
      <c r="G213" s="1837">
        <v>0</v>
      </c>
      <c r="H213" s="468"/>
      <c r="I213" s="468"/>
      <c r="J213" s="468"/>
      <c r="K213" s="468"/>
    </row>
    <row r="214" spans="1:11" ht="12.75" customHeight="1" x14ac:dyDescent="0.2">
      <c r="A214" s="463" t="s">
        <v>1054</v>
      </c>
      <c r="B214" s="470">
        <v>4625</v>
      </c>
      <c r="C214" s="1838">
        <v>0</v>
      </c>
      <c r="D214" s="1838">
        <v>0</v>
      </c>
      <c r="E214" s="1846"/>
      <c r="F214" s="1837">
        <v>0</v>
      </c>
      <c r="G214" s="1837">
        <v>0</v>
      </c>
      <c r="H214" s="468"/>
      <c r="I214" s="468"/>
      <c r="J214" s="468"/>
      <c r="K214" s="468"/>
    </row>
    <row r="215" spans="1:11" ht="12.75" customHeight="1" x14ac:dyDescent="0.2">
      <c r="A215" s="463" t="s">
        <v>1055</v>
      </c>
      <c r="B215" s="470">
        <v>4630</v>
      </c>
      <c r="C215" s="1838">
        <v>0</v>
      </c>
      <c r="D215" s="1838">
        <v>0</v>
      </c>
      <c r="E215" s="1846"/>
      <c r="F215" s="1837">
        <v>0</v>
      </c>
      <c r="G215" s="1837">
        <v>0</v>
      </c>
      <c r="H215" s="468"/>
      <c r="I215" s="468"/>
      <c r="J215" s="468"/>
      <c r="K215" s="468"/>
    </row>
    <row r="216" spans="1:11" ht="12.75" customHeight="1" x14ac:dyDescent="0.2">
      <c r="A216" s="1411" t="s">
        <v>74</v>
      </c>
      <c r="B216" s="555">
        <v>4699</v>
      </c>
      <c r="C216" s="1838">
        <v>0</v>
      </c>
      <c r="D216" s="1838">
        <v>0</v>
      </c>
      <c r="E216" s="1846"/>
      <c r="F216" s="1837">
        <v>0</v>
      </c>
      <c r="G216" s="1837">
        <v>0</v>
      </c>
      <c r="H216" s="468"/>
      <c r="I216" s="468"/>
      <c r="J216" s="468"/>
      <c r="K216" s="468"/>
    </row>
    <row r="217" spans="1:11" ht="12.75" customHeight="1" thickBot="1" x14ac:dyDescent="0.25">
      <c r="A217" s="1612" t="s">
        <v>447</v>
      </c>
      <c r="B217" s="1613"/>
      <c r="C217" s="1611">
        <f>SUM(C211:C216)</f>
        <v>207061</v>
      </c>
      <c r="D217" s="1611">
        <f>SUM(D211:D216)</f>
        <v>0</v>
      </c>
      <c r="E217" s="468"/>
      <c r="F217" s="1611">
        <f>SUM(F211:F216)</f>
        <v>0</v>
      </c>
      <c r="G217" s="1611">
        <f>SUM(G211:G216)</f>
        <v>0</v>
      </c>
      <c r="H217" s="468"/>
      <c r="I217" s="468"/>
      <c r="J217" s="468"/>
      <c r="K217" s="468"/>
    </row>
    <row r="218" spans="1:11" ht="15.75" customHeight="1" thickTop="1" x14ac:dyDescent="0.2">
      <c r="A218" s="1510" t="s">
        <v>1093</v>
      </c>
      <c r="B218" s="1515"/>
      <c r="C218" s="551"/>
      <c r="D218" s="551"/>
      <c r="E218" s="468"/>
      <c r="F218" s="551"/>
      <c r="G218" s="551"/>
      <c r="H218" s="468"/>
      <c r="I218" s="468"/>
      <c r="J218" s="468"/>
      <c r="K218" s="468"/>
    </row>
    <row r="219" spans="1:11" ht="12.75" customHeight="1" x14ac:dyDescent="0.2">
      <c r="A219" s="463" t="s">
        <v>787</v>
      </c>
      <c r="B219" s="470">
        <v>4770</v>
      </c>
      <c r="C219" s="1838">
        <v>0</v>
      </c>
      <c r="D219" s="1838">
        <v>0</v>
      </c>
      <c r="E219" s="1846"/>
      <c r="F219" s="1846"/>
      <c r="G219" s="1837">
        <v>0</v>
      </c>
      <c r="H219" s="468"/>
      <c r="I219" s="468"/>
      <c r="J219" s="468"/>
      <c r="K219" s="468"/>
    </row>
    <row r="220" spans="1:11" ht="12.75" customHeight="1" x14ac:dyDescent="0.2">
      <c r="A220" s="463" t="s">
        <v>67</v>
      </c>
      <c r="B220" s="470">
        <v>4799</v>
      </c>
      <c r="C220" s="1838">
        <v>0</v>
      </c>
      <c r="D220" s="1838">
        <v>0</v>
      </c>
      <c r="E220" s="1846"/>
      <c r="F220" s="1846"/>
      <c r="G220" s="1837">
        <v>0</v>
      </c>
      <c r="H220" s="468"/>
      <c r="I220" s="468"/>
      <c r="J220" s="468"/>
      <c r="K220" s="468"/>
    </row>
    <row r="221" spans="1:11" ht="12.75" customHeight="1" thickBot="1" x14ac:dyDescent="0.25">
      <c r="A221" s="1627" t="s">
        <v>1085</v>
      </c>
      <c r="B221" s="1628"/>
      <c r="C221" s="1611">
        <f>SUM(C219:C220)</f>
        <v>0</v>
      </c>
      <c r="D221" s="1611">
        <f>SUM(D219:D220)</f>
        <v>0</v>
      </c>
      <c r="E221" s="468"/>
      <c r="F221" s="468"/>
      <c r="G221" s="1611">
        <f>SUM(G219:G220)</f>
        <v>0</v>
      </c>
      <c r="H221" s="468"/>
      <c r="I221" s="468"/>
      <c r="J221" s="468"/>
      <c r="K221" s="468"/>
    </row>
    <row r="222" spans="1:11" ht="12.75" customHeight="1" thickTop="1" x14ac:dyDescent="0.2">
      <c r="A222" s="493" t="s">
        <v>757</v>
      </c>
      <c r="B222" s="491">
        <v>4810</v>
      </c>
      <c r="C222" s="1838">
        <v>0</v>
      </c>
      <c r="D222" s="1838">
        <v>0</v>
      </c>
      <c r="E222" s="1846"/>
      <c r="F222" s="1846"/>
      <c r="G222" s="1837">
        <v>0</v>
      </c>
      <c r="H222" s="1846"/>
      <c r="I222" s="1846"/>
      <c r="J222" s="1846"/>
      <c r="K222" s="1846"/>
    </row>
    <row r="223" spans="1:11" ht="12.75" customHeight="1" x14ac:dyDescent="0.2">
      <c r="A223" s="493" t="s">
        <v>350</v>
      </c>
      <c r="B223" s="491">
        <v>4850</v>
      </c>
      <c r="C223" s="1838">
        <v>0</v>
      </c>
      <c r="D223" s="1838">
        <v>0</v>
      </c>
      <c r="E223" s="1837">
        <v>0</v>
      </c>
      <c r="F223" s="1837">
        <v>0</v>
      </c>
      <c r="G223" s="1837">
        <v>0</v>
      </c>
      <c r="H223" s="1837">
        <v>0</v>
      </c>
      <c r="I223" s="1846"/>
      <c r="J223" s="1837">
        <v>0</v>
      </c>
      <c r="K223" s="1837">
        <v>0</v>
      </c>
    </row>
    <row r="224" spans="1:11" ht="12.75" customHeight="1" x14ac:dyDescent="0.2">
      <c r="A224" s="493" t="s">
        <v>351</v>
      </c>
      <c r="B224" s="491">
        <v>4851</v>
      </c>
      <c r="C224" s="1838">
        <v>0</v>
      </c>
      <c r="D224" s="1838">
        <v>0</v>
      </c>
      <c r="E224" s="1846"/>
      <c r="F224" s="1855">
        <v>0</v>
      </c>
      <c r="G224" s="1838">
        <v>0</v>
      </c>
      <c r="H224" s="1846"/>
      <c r="I224" s="1846"/>
      <c r="J224" s="1846"/>
      <c r="K224" s="1846"/>
    </row>
    <row r="225" spans="1:11" ht="12.75" customHeight="1" x14ac:dyDescent="0.2">
      <c r="A225" s="493" t="s">
        <v>352</v>
      </c>
      <c r="B225" s="491">
        <v>4852</v>
      </c>
      <c r="C225" s="1838">
        <v>0</v>
      </c>
      <c r="D225" s="1838">
        <v>0</v>
      </c>
      <c r="E225" s="1837">
        <v>0</v>
      </c>
      <c r="F225" s="1837">
        <v>0</v>
      </c>
      <c r="G225" s="1837">
        <v>0</v>
      </c>
      <c r="H225" s="1837">
        <v>0</v>
      </c>
      <c r="I225" s="1846"/>
      <c r="J225" s="1837">
        <v>0</v>
      </c>
      <c r="K225" s="1837">
        <v>0</v>
      </c>
    </row>
    <row r="226" spans="1:11" ht="12.75" customHeight="1" x14ac:dyDescent="0.2">
      <c r="A226" s="493" t="s">
        <v>353</v>
      </c>
      <c r="B226" s="491">
        <v>4853</v>
      </c>
      <c r="C226" s="1838">
        <v>0</v>
      </c>
      <c r="D226" s="1838">
        <v>0</v>
      </c>
      <c r="E226" s="1837">
        <v>0</v>
      </c>
      <c r="F226" s="1837">
        <v>0</v>
      </c>
      <c r="G226" s="1837">
        <v>0</v>
      </c>
      <c r="H226" s="1837">
        <v>0</v>
      </c>
      <c r="I226" s="1846"/>
      <c r="J226" s="1837">
        <v>0</v>
      </c>
      <c r="K226" s="1837">
        <v>0</v>
      </c>
    </row>
    <row r="227" spans="1:11" ht="12.75" customHeight="1" x14ac:dyDescent="0.2">
      <c r="A227" s="493" t="s">
        <v>354</v>
      </c>
      <c r="B227" s="491">
        <v>4854</v>
      </c>
      <c r="C227" s="1838">
        <v>0</v>
      </c>
      <c r="D227" s="1838">
        <v>0</v>
      </c>
      <c r="E227" s="1837">
        <v>0</v>
      </c>
      <c r="F227" s="1837">
        <v>0</v>
      </c>
      <c r="G227" s="1837">
        <v>0</v>
      </c>
      <c r="H227" s="1837">
        <v>0</v>
      </c>
      <c r="I227" s="1846"/>
      <c r="J227" s="1837">
        <v>0</v>
      </c>
      <c r="K227" s="1837">
        <v>0</v>
      </c>
    </row>
    <row r="228" spans="1:11" ht="12.75" customHeight="1" x14ac:dyDescent="0.2">
      <c r="A228" s="493" t="s">
        <v>464</v>
      </c>
      <c r="B228" s="491">
        <v>4855</v>
      </c>
      <c r="C228" s="1838">
        <v>0</v>
      </c>
      <c r="D228" s="1838">
        <v>0</v>
      </c>
      <c r="E228" s="1837">
        <v>0</v>
      </c>
      <c r="F228" s="1837">
        <v>0</v>
      </c>
      <c r="G228" s="1837">
        <v>0</v>
      </c>
      <c r="H228" s="1837">
        <v>0</v>
      </c>
      <c r="I228" s="1846"/>
      <c r="J228" s="1837">
        <v>0</v>
      </c>
      <c r="K228" s="1837">
        <v>0</v>
      </c>
    </row>
    <row r="229" spans="1:11" ht="12.75" customHeight="1" x14ac:dyDescent="0.2">
      <c r="A229" s="493" t="s">
        <v>355</v>
      </c>
      <c r="B229" s="491">
        <v>4856</v>
      </c>
      <c r="C229" s="1838">
        <v>0</v>
      </c>
      <c r="D229" s="1838">
        <v>0</v>
      </c>
      <c r="E229" s="1837">
        <v>0</v>
      </c>
      <c r="F229" s="1837">
        <v>0</v>
      </c>
      <c r="G229" s="1837">
        <v>0</v>
      </c>
      <c r="H229" s="1837">
        <v>0</v>
      </c>
      <c r="I229" s="1846"/>
      <c r="J229" s="1837">
        <v>0</v>
      </c>
      <c r="K229" s="1837">
        <v>0</v>
      </c>
    </row>
    <row r="230" spans="1:11" ht="12.75" customHeight="1" x14ac:dyDescent="0.2">
      <c r="A230" s="493" t="s">
        <v>356</v>
      </c>
      <c r="B230" s="491">
        <v>4857</v>
      </c>
      <c r="C230" s="1838">
        <v>0</v>
      </c>
      <c r="D230" s="1838">
        <v>0</v>
      </c>
      <c r="E230" s="1837">
        <v>0</v>
      </c>
      <c r="F230" s="1837">
        <v>0</v>
      </c>
      <c r="G230" s="1837">
        <v>0</v>
      </c>
      <c r="H230" s="1837">
        <v>0</v>
      </c>
      <c r="I230" s="1846"/>
      <c r="J230" s="1837">
        <v>0</v>
      </c>
      <c r="K230" s="1837">
        <v>0</v>
      </c>
    </row>
    <row r="231" spans="1:11" ht="12.75" customHeight="1" x14ac:dyDescent="0.2">
      <c r="A231" s="493" t="s">
        <v>357</v>
      </c>
      <c r="B231" s="491">
        <v>4860</v>
      </c>
      <c r="C231" s="1838">
        <v>0</v>
      </c>
      <c r="D231" s="1838">
        <v>0</v>
      </c>
      <c r="E231" s="1837">
        <v>0</v>
      </c>
      <c r="F231" s="1837">
        <v>0</v>
      </c>
      <c r="G231" s="1837">
        <v>0</v>
      </c>
      <c r="H231" s="1837">
        <v>0</v>
      </c>
      <c r="I231" s="1846"/>
      <c r="J231" s="1837">
        <v>0</v>
      </c>
      <c r="K231" s="1837">
        <v>0</v>
      </c>
    </row>
    <row r="232" spans="1:11" ht="12.75" customHeight="1" x14ac:dyDescent="0.2">
      <c r="A232" s="493" t="s">
        <v>358</v>
      </c>
      <c r="B232" s="491">
        <v>4861</v>
      </c>
      <c r="C232" s="1838">
        <v>0</v>
      </c>
      <c r="D232" s="1838">
        <v>0</v>
      </c>
      <c r="E232" s="1837">
        <v>0</v>
      </c>
      <c r="F232" s="1837">
        <v>0</v>
      </c>
      <c r="G232" s="1837">
        <v>0</v>
      </c>
      <c r="H232" s="1837">
        <v>0</v>
      </c>
      <c r="I232" s="1846"/>
      <c r="J232" s="1837">
        <v>0</v>
      </c>
      <c r="K232" s="1837">
        <v>0</v>
      </c>
    </row>
    <row r="233" spans="1:11" ht="12.75" customHeight="1" x14ac:dyDescent="0.2">
      <c r="A233" s="493" t="s">
        <v>359</v>
      </c>
      <c r="B233" s="491">
        <v>4862</v>
      </c>
      <c r="C233" s="1838">
        <v>0</v>
      </c>
      <c r="D233" s="1838">
        <v>0</v>
      </c>
      <c r="E233" s="1841"/>
      <c r="F233" s="1837">
        <v>0</v>
      </c>
      <c r="G233" s="1837">
        <v>0</v>
      </c>
      <c r="H233" s="1841"/>
      <c r="I233" s="1846"/>
      <c r="J233" s="1841"/>
      <c r="K233" s="1841"/>
    </row>
    <row r="234" spans="1:11" ht="12.75" customHeight="1" x14ac:dyDescent="0.2">
      <c r="A234" s="493" t="s">
        <v>360</v>
      </c>
      <c r="B234" s="491">
        <v>4863</v>
      </c>
      <c r="C234" s="1838">
        <v>0</v>
      </c>
      <c r="D234" s="1838">
        <v>0</v>
      </c>
      <c r="E234" s="1846"/>
      <c r="F234" s="1841"/>
      <c r="G234" s="1847"/>
      <c r="H234" s="1846"/>
      <c r="I234" s="1846"/>
      <c r="J234" s="1846"/>
      <c r="K234" s="1846"/>
    </row>
    <row r="235" spans="1:11" ht="12.75" customHeight="1" x14ac:dyDescent="0.2">
      <c r="A235" s="493" t="s">
        <v>469</v>
      </c>
      <c r="B235" s="491">
        <v>4864</v>
      </c>
      <c r="C235" s="1838">
        <v>0</v>
      </c>
      <c r="D235" s="1838">
        <v>0</v>
      </c>
      <c r="E235" s="1837">
        <v>0</v>
      </c>
      <c r="F235" s="1837">
        <v>0</v>
      </c>
      <c r="G235" s="1837">
        <v>0</v>
      </c>
      <c r="H235" s="1837">
        <v>0</v>
      </c>
      <c r="I235" s="1846"/>
      <c r="J235" s="1837">
        <v>0</v>
      </c>
      <c r="K235" s="1837">
        <v>0</v>
      </c>
    </row>
    <row r="236" spans="1:11" ht="12.75" customHeight="1" x14ac:dyDescent="0.2">
      <c r="A236" s="493" t="s">
        <v>470</v>
      </c>
      <c r="B236" s="491">
        <v>4865</v>
      </c>
      <c r="C236" s="1838">
        <v>0</v>
      </c>
      <c r="D236" s="1838">
        <v>0</v>
      </c>
      <c r="E236" s="1837">
        <v>0</v>
      </c>
      <c r="F236" s="1837">
        <v>0</v>
      </c>
      <c r="G236" s="1837">
        <v>0</v>
      </c>
      <c r="H236" s="1837">
        <v>0</v>
      </c>
      <c r="I236" s="1846"/>
      <c r="J236" s="1837">
        <v>0</v>
      </c>
      <c r="K236" s="1837">
        <v>0</v>
      </c>
    </row>
    <row r="237" spans="1:11" ht="12.75" customHeight="1" x14ac:dyDescent="0.2">
      <c r="A237" s="493" t="s">
        <v>468</v>
      </c>
      <c r="B237" s="491">
        <v>4866</v>
      </c>
      <c r="C237" s="1838">
        <v>0</v>
      </c>
      <c r="D237" s="1838">
        <v>0</v>
      </c>
      <c r="E237" s="1837">
        <v>0</v>
      </c>
      <c r="F237" s="1837">
        <v>0</v>
      </c>
      <c r="G237" s="1837">
        <v>0</v>
      </c>
      <c r="H237" s="1837">
        <v>0</v>
      </c>
      <c r="I237" s="1846"/>
      <c r="J237" s="1837">
        <v>0</v>
      </c>
      <c r="K237" s="1837">
        <v>0</v>
      </c>
    </row>
    <row r="238" spans="1:11" ht="12.75" customHeight="1" x14ac:dyDescent="0.2">
      <c r="A238" s="493" t="s">
        <v>467</v>
      </c>
      <c r="B238" s="491">
        <v>4867</v>
      </c>
      <c r="C238" s="1838">
        <v>0</v>
      </c>
      <c r="D238" s="1838">
        <v>0</v>
      </c>
      <c r="E238" s="1837">
        <v>0</v>
      </c>
      <c r="F238" s="1837">
        <v>0</v>
      </c>
      <c r="G238" s="1837">
        <v>0</v>
      </c>
      <c r="H238" s="1837">
        <v>0</v>
      </c>
      <c r="I238" s="1846"/>
      <c r="J238" s="1837">
        <v>0</v>
      </c>
      <c r="K238" s="1837">
        <v>0</v>
      </c>
    </row>
    <row r="239" spans="1:11" ht="12.75" customHeight="1" x14ac:dyDescent="0.2">
      <c r="A239" s="493" t="s">
        <v>466</v>
      </c>
      <c r="B239" s="491">
        <v>4868</v>
      </c>
      <c r="C239" s="1838">
        <v>0</v>
      </c>
      <c r="D239" s="1838">
        <v>0</v>
      </c>
      <c r="E239" s="1837">
        <v>0</v>
      </c>
      <c r="F239" s="1837">
        <v>0</v>
      </c>
      <c r="G239" s="1837">
        <v>0</v>
      </c>
      <c r="H239" s="1837">
        <v>0</v>
      </c>
      <c r="I239" s="1846"/>
      <c r="J239" s="1837">
        <v>0</v>
      </c>
      <c r="K239" s="1837">
        <v>0</v>
      </c>
    </row>
    <row r="240" spans="1:11" ht="12.75" customHeight="1" x14ac:dyDescent="0.2">
      <c r="A240" s="493" t="s">
        <v>465</v>
      </c>
      <c r="B240" s="491">
        <v>4869</v>
      </c>
      <c r="C240" s="1838">
        <v>0</v>
      </c>
      <c r="D240" s="1838">
        <v>0</v>
      </c>
      <c r="E240" s="1837">
        <v>0</v>
      </c>
      <c r="F240" s="1837">
        <v>0</v>
      </c>
      <c r="G240" s="1837">
        <v>0</v>
      </c>
      <c r="H240" s="1837">
        <v>0</v>
      </c>
      <c r="I240" s="1846"/>
      <c r="J240" s="1837">
        <v>0</v>
      </c>
      <c r="K240" s="1837">
        <v>0</v>
      </c>
    </row>
    <row r="241" spans="1:11" ht="12.75" customHeight="1" x14ac:dyDescent="0.2">
      <c r="A241" s="493" t="s">
        <v>1128</v>
      </c>
      <c r="B241" s="491">
        <v>4870</v>
      </c>
      <c r="C241" s="1838">
        <v>0</v>
      </c>
      <c r="D241" s="1838">
        <v>0</v>
      </c>
      <c r="E241" s="1837">
        <v>0</v>
      </c>
      <c r="F241" s="1837">
        <v>0</v>
      </c>
      <c r="G241" s="1837">
        <v>0</v>
      </c>
      <c r="H241" s="1837">
        <v>0</v>
      </c>
      <c r="I241" s="1846"/>
      <c r="J241" s="1837">
        <v>0</v>
      </c>
      <c r="K241" s="1837">
        <v>0</v>
      </c>
    </row>
    <row r="242" spans="1:11" ht="12.75" customHeight="1" x14ac:dyDescent="0.2">
      <c r="A242" s="493" t="s">
        <v>788</v>
      </c>
      <c r="B242" s="491">
        <v>4871</v>
      </c>
      <c r="C242" s="1838">
        <v>0</v>
      </c>
      <c r="D242" s="1838">
        <v>0</v>
      </c>
      <c r="E242" s="1837">
        <v>0</v>
      </c>
      <c r="F242" s="1837">
        <v>0</v>
      </c>
      <c r="G242" s="1837">
        <v>0</v>
      </c>
      <c r="H242" s="1837">
        <v>0</v>
      </c>
      <c r="I242" s="1846"/>
      <c r="J242" s="1837">
        <v>0</v>
      </c>
      <c r="K242" s="1837">
        <v>0</v>
      </c>
    </row>
    <row r="243" spans="1:11" ht="12.75" customHeight="1" x14ac:dyDescent="0.2">
      <c r="A243" s="493" t="s">
        <v>789</v>
      </c>
      <c r="B243" s="491">
        <v>4872</v>
      </c>
      <c r="C243" s="1838">
        <v>0</v>
      </c>
      <c r="D243" s="1838">
        <v>0</v>
      </c>
      <c r="E243" s="1837">
        <v>0</v>
      </c>
      <c r="F243" s="1837">
        <v>0</v>
      </c>
      <c r="G243" s="1837">
        <v>0</v>
      </c>
      <c r="H243" s="1837">
        <v>0</v>
      </c>
      <c r="I243" s="1846"/>
      <c r="J243" s="1837">
        <v>0</v>
      </c>
      <c r="K243" s="1837">
        <v>0</v>
      </c>
    </row>
    <row r="244" spans="1:11" ht="12.75" customHeight="1" x14ac:dyDescent="0.2">
      <c r="A244" s="493" t="s">
        <v>790</v>
      </c>
      <c r="B244" s="491">
        <v>4873</v>
      </c>
      <c r="C244" s="1838">
        <v>0</v>
      </c>
      <c r="D244" s="1838">
        <v>0</v>
      </c>
      <c r="E244" s="1837">
        <v>0</v>
      </c>
      <c r="F244" s="1837">
        <v>0</v>
      </c>
      <c r="G244" s="1837">
        <v>0</v>
      </c>
      <c r="H244" s="1837">
        <v>0</v>
      </c>
      <c r="I244" s="1846"/>
      <c r="J244" s="1837">
        <v>0</v>
      </c>
      <c r="K244" s="1837">
        <v>0</v>
      </c>
    </row>
    <row r="245" spans="1:11" ht="12.75" customHeight="1" x14ac:dyDescent="0.2">
      <c r="A245" s="493" t="s">
        <v>791</v>
      </c>
      <c r="B245" s="491">
        <v>4874</v>
      </c>
      <c r="C245" s="1838">
        <v>0</v>
      </c>
      <c r="D245" s="1838">
        <v>0</v>
      </c>
      <c r="E245" s="1837">
        <v>0</v>
      </c>
      <c r="F245" s="1837">
        <v>0</v>
      </c>
      <c r="G245" s="1837">
        <v>0</v>
      </c>
      <c r="H245" s="1837">
        <v>0</v>
      </c>
      <c r="I245" s="1846"/>
      <c r="J245" s="1837">
        <v>0</v>
      </c>
      <c r="K245" s="1837">
        <v>0</v>
      </c>
    </row>
    <row r="246" spans="1:11" ht="12.75" customHeight="1" x14ac:dyDescent="0.2">
      <c r="A246" s="493" t="s">
        <v>471</v>
      </c>
      <c r="B246" s="491">
        <v>4875</v>
      </c>
      <c r="C246" s="1838">
        <v>0</v>
      </c>
      <c r="D246" s="1838">
        <v>0</v>
      </c>
      <c r="E246" s="1837">
        <v>0</v>
      </c>
      <c r="F246" s="1837">
        <v>0</v>
      </c>
      <c r="G246" s="1837">
        <v>0</v>
      </c>
      <c r="H246" s="1837">
        <v>0</v>
      </c>
      <c r="I246" s="1846"/>
      <c r="J246" s="1837">
        <v>0</v>
      </c>
      <c r="K246" s="1837">
        <v>0</v>
      </c>
    </row>
    <row r="247" spans="1:11" ht="12.75" customHeight="1" x14ac:dyDescent="0.2">
      <c r="A247" s="493" t="s">
        <v>770</v>
      </c>
      <c r="B247" s="491">
        <v>4876</v>
      </c>
      <c r="C247" s="1838">
        <v>0</v>
      </c>
      <c r="D247" s="1838">
        <v>0</v>
      </c>
      <c r="E247" s="1837">
        <v>0</v>
      </c>
      <c r="F247" s="1837">
        <v>0</v>
      </c>
      <c r="G247" s="1837">
        <v>0</v>
      </c>
      <c r="H247" s="1837">
        <v>0</v>
      </c>
      <c r="I247" s="1846"/>
      <c r="J247" s="1837">
        <v>0</v>
      </c>
      <c r="K247" s="1837">
        <v>0</v>
      </c>
    </row>
    <row r="248" spans="1:11" ht="12.75" customHeight="1" x14ac:dyDescent="0.2">
      <c r="A248" s="493" t="s">
        <v>771</v>
      </c>
      <c r="B248" s="491">
        <v>4877</v>
      </c>
      <c r="C248" s="1838">
        <v>0</v>
      </c>
      <c r="D248" s="1838">
        <v>0</v>
      </c>
      <c r="E248" s="1837">
        <v>0</v>
      </c>
      <c r="F248" s="1837">
        <v>0</v>
      </c>
      <c r="G248" s="1837">
        <v>0</v>
      </c>
      <c r="H248" s="1837">
        <v>0</v>
      </c>
      <c r="I248" s="1846"/>
      <c r="J248" s="1837">
        <v>0</v>
      </c>
      <c r="K248" s="1837">
        <v>0</v>
      </c>
    </row>
    <row r="249" spans="1:11" ht="12.75" customHeight="1" x14ac:dyDescent="0.2">
      <c r="A249" s="493" t="s">
        <v>772</v>
      </c>
      <c r="B249" s="491">
        <v>4878</v>
      </c>
      <c r="C249" s="1838">
        <v>0</v>
      </c>
      <c r="D249" s="1838">
        <v>0</v>
      </c>
      <c r="E249" s="1837">
        <v>0</v>
      </c>
      <c r="F249" s="1837">
        <v>0</v>
      </c>
      <c r="G249" s="1837">
        <v>0</v>
      </c>
      <c r="H249" s="1837">
        <v>0</v>
      </c>
      <c r="I249" s="1846"/>
      <c r="J249" s="1837">
        <v>0</v>
      </c>
      <c r="K249" s="1837">
        <v>0</v>
      </c>
    </row>
    <row r="250" spans="1:11" ht="12.75" customHeight="1" x14ac:dyDescent="0.2">
      <c r="A250" s="493" t="s">
        <v>773</v>
      </c>
      <c r="B250" s="491">
        <v>4879</v>
      </c>
      <c r="C250" s="1838">
        <v>0</v>
      </c>
      <c r="D250" s="1838">
        <v>0</v>
      </c>
      <c r="E250" s="1837">
        <v>0</v>
      </c>
      <c r="F250" s="1837">
        <v>0</v>
      </c>
      <c r="G250" s="1837">
        <v>0</v>
      </c>
      <c r="H250" s="1837">
        <v>0</v>
      </c>
      <c r="I250" s="1846"/>
      <c r="J250" s="1837">
        <v>0</v>
      </c>
      <c r="K250" s="1837">
        <v>0</v>
      </c>
    </row>
    <row r="251" spans="1:11" ht="12.75" customHeight="1" x14ac:dyDescent="0.2">
      <c r="A251" s="225" t="s">
        <v>1453</v>
      </c>
      <c r="B251" s="573">
        <v>4880</v>
      </c>
      <c r="C251" s="1838">
        <v>0</v>
      </c>
      <c r="D251" s="1838">
        <v>0</v>
      </c>
      <c r="E251" s="1837">
        <v>0</v>
      </c>
      <c r="F251" s="1837">
        <v>0</v>
      </c>
      <c r="G251" s="1837">
        <v>0</v>
      </c>
      <c r="H251" s="1837">
        <v>0</v>
      </c>
      <c r="I251" s="1846"/>
      <c r="J251" s="1837">
        <v>0</v>
      </c>
      <c r="K251" s="1837">
        <v>0</v>
      </c>
    </row>
    <row r="252" spans="1:11" ht="12.75" customHeight="1" thickBot="1" x14ac:dyDescent="0.25">
      <c r="A252" s="1629" t="s">
        <v>774</v>
      </c>
      <c r="B252" s="1630"/>
      <c r="C252" s="1622">
        <f t="shared" ref="C252:H252" si="9">SUM(C223:C251)</f>
        <v>0</v>
      </c>
      <c r="D252" s="1611">
        <f t="shared" si="9"/>
        <v>0</v>
      </c>
      <c r="E252" s="1611">
        <f t="shared" si="9"/>
        <v>0</v>
      </c>
      <c r="F252" s="1611">
        <f t="shared" si="9"/>
        <v>0</v>
      </c>
      <c r="G252" s="1611">
        <f t="shared" si="9"/>
        <v>0</v>
      </c>
      <c r="H252" s="1611">
        <f t="shared" si="9"/>
        <v>0</v>
      </c>
      <c r="I252" s="551"/>
      <c r="J252" s="1611">
        <f>SUM(J223:J251)</f>
        <v>0</v>
      </c>
      <c r="K252" s="1592">
        <f>SUM(K223:K251)</f>
        <v>0</v>
      </c>
    </row>
    <row r="253" spans="1:11" ht="12.75" customHeight="1" thickTop="1" x14ac:dyDescent="0.2">
      <c r="A253" s="1412" t="s">
        <v>1419</v>
      </c>
      <c r="B253" s="574">
        <v>4901</v>
      </c>
      <c r="C253" s="1838">
        <v>0</v>
      </c>
      <c r="D253" s="1840"/>
      <c r="E253" s="1846"/>
      <c r="F253" s="1846"/>
      <c r="G253" s="1846"/>
      <c r="H253" s="1846"/>
      <c r="I253" s="1846"/>
      <c r="J253" s="1846"/>
      <c r="K253" s="1846"/>
    </row>
    <row r="254" spans="1:11" ht="12.75" customHeight="1" x14ac:dyDescent="0.2">
      <c r="A254" s="1413" t="s">
        <v>1461</v>
      </c>
      <c r="B254" s="575">
        <v>4902</v>
      </c>
      <c r="C254" s="1838">
        <v>0</v>
      </c>
      <c r="D254" s="1838">
        <v>0</v>
      </c>
      <c r="E254" s="1840"/>
      <c r="F254" s="1838">
        <v>0</v>
      </c>
      <c r="G254" s="1838">
        <v>0</v>
      </c>
      <c r="H254" s="1840"/>
      <c r="I254" s="1846"/>
      <c r="J254" s="1840"/>
      <c r="K254" s="1840"/>
    </row>
    <row r="255" spans="1:11" ht="12.75" customHeight="1" thickBot="1" x14ac:dyDescent="0.25">
      <c r="A255" s="463" t="s">
        <v>1454</v>
      </c>
      <c r="B255" s="470">
        <v>4905</v>
      </c>
      <c r="C255" s="1838">
        <v>0</v>
      </c>
      <c r="D255" s="1838">
        <v>0</v>
      </c>
      <c r="E255" s="1840"/>
      <c r="F255" s="1853"/>
      <c r="G255" s="1856">
        <v>0</v>
      </c>
      <c r="H255" s="1840"/>
      <c r="I255" s="1846"/>
      <c r="J255" s="1846"/>
      <c r="K255" s="1846"/>
    </row>
    <row r="256" spans="1:11" ht="12.75" customHeight="1" thickTop="1" x14ac:dyDescent="0.2">
      <c r="A256" s="463" t="s">
        <v>1455</v>
      </c>
      <c r="B256" s="470">
        <v>4909</v>
      </c>
      <c r="C256" s="1838">
        <v>0</v>
      </c>
      <c r="D256" s="1846"/>
      <c r="E256" s="1846"/>
      <c r="F256" s="1837">
        <v>0</v>
      </c>
      <c r="G256" s="1837">
        <v>0</v>
      </c>
      <c r="H256" s="1846"/>
      <c r="I256" s="1846"/>
      <c r="J256" s="1846"/>
      <c r="K256" s="1846"/>
    </row>
    <row r="257" spans="1:11" ht="12.75" customHeight="1" x14ac:dyDescent="0.2">
      <c r="A257" s="463" t="s">
        <v>193</v>
      </c>
      <c r="B257" s="470">
        <v>4920</v>
      </c>
      <c r="C257" s="1838">
        <v>0</v>
      </c>
      <c r="D257" s="1846"/>
      <c r="E257" s="1846"/>
      <c r="F257" s="1837">
        <v>0</v>
      </c>
      <c r="G257" s="1837">
        <v>0</v>
      </c>
      <c r="H257" s="1846"/>
      <c r="I257" s="1846"/>
      <c r="J257" s="1846"/>
      <c r="K257" s="1846"/>
    </row>
    <row r="258" spans="1:11" ht="12.75" customHeight="1" x14ac:dyDescent="0.2">
      <c r="A258" s="463" t="s">
        <v>421</v>
      </c>
      <c r="B258" s="470">
        <v>4930</v>
      </c>
      <c r="C258" s="1838">
        <v>0</v>
      </c>
      <c r="D258" s="1846"/>
      <c r="E258" s="1846"/>
      <c r="F258" s="1837">
        <v>0</v>
      </c>
      <c r="G258" s="1837">
        <v>0</v>
      </c>
      <c r="H258" s="1846"/>
      <c r="I258" s="1846"/>
      <c r="J258" s="1846"/>
      <c r="K258" s="1846"/>
    </row>
    <row r="259" spans="1:11" ht="12.75" customHeight="1" x14ac:dyDescent="0.2">
      <c r="A259" s="463" t="s">
        <v>758</v>
      </c>
      <c r="B259" s="470">
        <v>4932</v>
      </c>
      <c r="C259" s="1838">
        <v>11710</v>
      </c>
      <c r="D259" s="1838">
        <v>0</v>
      </c>
      <c r="E259" s="1846"/>
      <c r="F259" s="1837">
        <v>0</v>
      </c>
      <c r="G259" s="1837">
        <v>0</v>
      </c>
      <c r="H259" s="1846"/>
      <c r="I259" s="1846"/>
      <c r="J259" s="1846"/>
      <c r="K259" s="1846"/>
    </row>
    <row r="260" spans="1:11" ht="12.75" customHeight="1" x14ac:dyDescent="0.2">
      <c r="A260" s="463" t="s">
        <v>890</v>
      </c>
      <c r="B260" s="470">
        <v>4960</v>
      </c>
      <c r="C260" s="1838">
        <v>0</v>
      </c>
      <c r="D260" s="1838">
        <v>0</v>
      </c>
      <c r="E260" s="1846"/>
      <c r="F260" s="1837">
        <v>0</v>
      </c>
      <c r="G260" s="1837">
        <v>0</v>
      </c>
      <c r="H260" s="1846"/>
      <c r="I260" s="1846"/>
      <c r="J260" s="1846"/>
      <c r="K260" s="1846"/>
    </row>
    <row r="261" spans="1:11" ht="12.75" customHeight="1" x14ac:dyDescent="0.2">
      <c r="A261" s="1832" t="s">
        <v>1911</v>
      </c>
      <c r="B261" s="470">
        <v>4981</v>
      </c>
      <c r="C261" s="1838">
        <v>0</v>
      </c>
      <c r="D261" s="1838">
        <v>0</v>
      </c>
      <c r="E261" s="1846"/>
      <c r="F261" s="1837">
        <v>0</v>
      </c>
      <c r="G261" s="1837">
        <v>0</v>
      </c>
      <c r="H261" s="1846"/>
      <c r="I261" s="1846"/>
      <c r="J261" s="1846"/>
      <c r="K261" s="1846"/>
    </row>
    <row r="262" spans="1:11" ht="12.75" customHeight="1" x14ac:dyDescent="0.2">
      <c r="A262" s="1833" t="s">
        <v>1912</v>
      </c>
      <c r="B262" s="470">
        <v>4982</v>
      </c>
      <c r="C262" s="1838">
        <v>0</v>
      </c>
      <c r="D262" s="1838">
        <v>0</v>
      </c>
      <c r="E262" s="1846"/>
      <c r="F262" s="1837">
        <v>0</v>
      </c>
      <c r="G262" s="1837">
        <v>0</v>
      </c>
      <c r="H262" s="1846"/>
      <c r="I262" s="1846"/>
      <c r="J262" s="1846"/>
      <c r="K262" s="1846"/>
    </row>
    <row r="263" spans="1:11" ht="12.75" customHeight="1" x14ac:dyDescent="0.2">
      <c r="A263" s="463" t="s">
        <v>568</v>
      </c>
      <c r="B263" s="470">
        <v>4991</v>
      </c>
      <c r="C263" s="1838">
        <v>15296</v>
      </c>
      <c r="D263" s="1838">
        <v>0</v>
      </c>
      <c r="E263" s="1846"/>
      <c r="F263" s="1837">
        <v>0</v>
      </c>
      <c r="G263" s="1837">
        <v>0</v>
      </c>
      <c r="H263" s="1846"/>
      <c r="I263" s="1846"/>
      <c r="J263" s="1846"/>
      <c r="K263" s="1846"/>
    </row>
    <row r="264" spans="1:11" ht="12.75" customHeight="1" x14ac:dyDescent="0.2">
      <c r="A264" s="463" t="s">
        <v>377</v>
      </c>
      <c r="B264" s="470">
        <v>4992</v>
      </c>
      <c r="C264" s="1838">
        <v>35526</v>
      </c>
      <c r="D264" s="1838">
        <v>0</v>
      </c>
      <c r="E264" s="1846"/>
      <c r="F264" s="1837">
        <v>0</v>
      </c>
      <c r="G264" s="1837">
        <v>0</v>
      </c>
      <c r="H264" s="1846"/>
      <c r="I264" s="1846"/>
      <c r="J264" s="1846"/>
      <c r="K264" s="1846"/>
    </row>
    <row r="265" spans="1:11" s="576" customFormat="1" ht="12.75" customHeight="1" thickBot="1" x14ac:dyDescent="0.25">
      <c r="A265" s="560" t="s">
        <v>75</v>
      </c>
      <c r="B265" s="555">
        <v>4999</v>
      </c>
      <c r="C265" s="1838">
        <v>0</v>
      </c>
      <c r="D265" s="1838">
        <v>0</v>
      </c>
      <c r="E265" s="1846"/>
      <c r="F265" s="1837">
        <v>0</v>
      </c>
      <c r="G265" s="1837">
        <v>0</v>
      </c>
      <c r="H265" s="1837">
        <v>0</v>
      </c>
      <c r="I265" s="1846"/>
      <c r="J265" s="1846"/>
      <c r="K265" s="1837">
        <v>0</v>
      </c>
    </row>
    <row r="266" spans="1:11" ht="14.25" thickTop="1" thickBot="1" x14ac:dyDescent="0.25">
      <c r="A266" s="1612" t="s">
        <v>1660</v>
      </c>
      <c r="B266" s="1631"/>
      <c r="C266" s="1619">
        <f t="shared" ref="C266:H266" si="10">SUM(C188,C198,C204,C209,C217,C221,C222,C252:C265)</f>
        <v>400238</v>
      </c>
      <c r="D266" s="1619">
        <f t="shared" si="10"/>
        <v>0</v>
      </c>
      <c r="E266" s="1619">
        <f t="shared" si="10"/>
        <v>0</v>
      </c>
      <c r="F266" s="1619">
        <f t="shared" si="10"/>
        <v>0</v>
      </c>
      <c r="G266" s="1619">
        <f t="shared" si="10"/>
        <v>0</v>
      </c>
      <c r="H266" s="1619">
        <f t="shared" si="10"/>
        <v>0</v>
      </c>
      <c r="I266" s="468"/>
      <c r="J266" s="1619">
        <f>SUM(J188,J198,J204,J209,J217,J221,J222,J252:J265)</f>
        <v>0</v>
      </c>
      <c r="K266" s="1606">
        <f>SUM(K188,K198,K204,K209,K217,K221,K222,K252:K265)</f>
        <v>0</v>
      </c>
    </row>
    <row r="267" spans="1:11" ht="14.25" thickTop="1" thickBot="1" x14ac:dyDescent="0.25">
      <c r="A267" s="1632" t="s">
        <v>1086</v>
      </c>
      <c r="B267" s="1633" t="s">
        <v>860</v>
      </c>
      <c r="C267" s="1619">
        <f>SUM(C175,C181,C266)</f>
        <v>400238</v>
      </c>
      <c r="D267" s="1619">
        <f>SUM(D175,D181,D266)</f>
        <v>0</v>
      </c>
      <c r="E267" s="1619">
        <f>SUM(E175,E266)</f>
        <v>0</v>
      </c>
      <c r="F267" s="1619">
        <f t="shared" ref="F267:K267" si="11">SUM(F175,F181,F266)</f>
        <v>0</v>
      </c>
      <c r="G267" s="1619">
        <f t="shared" si="11"/>
        <v>0</v>
      </c>
      <c r="H267" s="1619">
        <f t="shared" si="11"/>
        <v>0</v>
      </c>
      <c r="I267" s="1619">
        <f t="shared" si="11"/>
        <v>0</v>
      </c>
      <c r="J267" s="1619">
        <f t="shared" si="11"/>
        <v>0</v>
      </c>
      <c r="K267" s="1606">
        <f t="shared" si="11"/>
        <v>0</v>
      </c>
    </row>
    <row r="268" spans="1:11" ht="14.25" thickTop="1" thickBot="1" x14ac:dyDescent="0.25">
      <c r="A268" s="1634" t="s">
        <v>251</v>
      </c>
      <c r="B268" s="1635"/>
      <c r="C268" s="1619">
        <f t="shared" ref="C268:K268" si="12">SUM(C109,C114,C170,C267)</f>
        <v>8922436</v>
      </c>
      <c r="D268" s="1619">
        <f t="shared" si="12"/>
        <v>1428480</v>
      </c>
      <c r="E268" s="1619">
        <f t="shared" si="12"/>
        <v>1720209</v>
      </c>
      <c r="F268" s="1619">
        <f t="shared" si="12"/>
        <v>715467</v>
      </c>
      <c r="G268" s="1619">
        <f t="shared" si="12"/>
        <v>165866</v>
      </c>
      <c r="H268" s="1619">
        <f t="shared" si="12"/>
        <v>152274</v>
      </c>
      <c r="I268" s="1619">
        <f t="shared" si="12"/>
        <v>976</v>
      </c>
      <c r="J268" s="1619">
        <f t="shared" si="12"/>
        <v>0</v>
      </c>
      <c r="K268" s="1606">
        <f t="shared" si="12"/>
        <v>0</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6"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62" activePane="bottomLeft" state="frozen"/>
      <selection activeCell="D36" sqref="D36"/>
      <selection pane="bottomLeft" activeCell="D36" sqref="D36"/>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24" t="s">
        <v>1777</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56"/>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62" t="s">
        <v>297</v>
      </c>
      <c r="B3" s="2163"/>
      <c r="C3" s="1458"/>
      <c r="D3" s="1458"/>
      <c r="E3" s="1458"/>
      <c r="F3" s="1458"/>
      <c r="G3" s="1458"/>
      <c r="H3" s="1458"/>
      <c r="I3" s="1458"/>
      <c r="J3" s="1458"/>
      <c r="K3" s="1459"/>
      <c r="L3" s="1460"/>
      <c r="M3" s="592"/>
      <c r="N3" s="592"/>
    </row>
    <row r="4" spans="1:14" s="259" customFormat="1" ht="15.75" customHeight="1" x14ac:dyDescent="0.2">
      <c r="A4" s="1516" t="s">
        <v>44</v>
      </c>
      <c r="B4" s="1517" t="s">
        <v>570</v>
      </c>
      <c r="C4" s="593"/>
      <c r="D4" s="593"/>
      <c r="E4" s="593"/>
      <c r="F4" s="593"/>
      <c r="G4" s="593"/>
      <c r="H4" s="593"/>
      <c r="I4" s="594"/>
      <c r="J4" s="593"/>
      <c r="K4" s="595"/>
      <c r="L4" s="593"/>
      <c r="M4" s="596"/>
      <c r="N4" s="596"/>
    </row>
    <row r="5" spans="1:14" x14ac:dyDescent="0.2">
      <c r="A5" s="1414" t="s">
        <v>961</v>
      </c>
      <c r="B5" s="597">
        <v>1100</v>
      </c>
      <c r="C5" s="1838">
        <v>2476198</v>
      </c>
      <c r="D5" s="1838">
        <v>458021</v>
      </c>
      <c r="E5" s="1838">
        <v>13231</v>
      </c>
      <c r="F5" s="1838">
        <v>207053</v>
      </c>
      <c r="G5" s="1838">
        <v>65726</v>
      </c>
      <c r="H5" s="1838">
        <v>0</v>
      </c>
      <c r="I5" s="1838">
        <v>0</v>
      </c>
      <c r="J5" s="1838">
        <v>0</v>
      </c>
      <c r="K5" s="1575">
        <f>SUM(C5:J5)</f>
        <v>3220229</v>
      </c>
      <c r="L5" s="1838">
        <v>3956430</v>
      </c>
    </row>
    <row r="6" spans="1:14" x14ac:dyDescent="0.2">
      <c r="A6" s="1414" t="s">
        <v>1431</v>
      </c>
      <c r="B6" s="597" t="s">
        <v>1429</v>
      </c>
      <c r="C6" s="1851"/>
      <c r="D6" s="1851"/>
      <c r="E6" s="1838">
        <v>0</v>
      </c>
      <c r="F6" s="1851"/>
      <c r="G6" s="1851"/>
      <c r="H6" s="1851"/>
      <c r="I6" s="1851"/>
      <c r="J6" s="1851"/>
      <c r="K6" s="1575">
        <f>SUM(C6,E6)</f>
        <v>0</v>
      </c>
      <c r="L6" s="1838">
        <v>0</v>
      </c>
    </row>
    <row r="7" spans="1:14" x14ac:dyDescent="0.2">
      <c r="A7" s="1414" t="s">
        <v>163</v>
      </c>
      <c r="B7" s="597" t="s">
        <v>967</v>
      </c>
      <c r="C7" s="1838">
        <v>0</v>
      </c>
      <c r="D7" s="1838">
        <v>0</v>
      </c>
      <c r="E7" s="1838">
        <v>0</v>
      </c>
      <c r="F7" s="1838">
        <v>0</v>
      </c>
      <c r="G7" s="1838">
        <v>0</v>
      </c>
      <c r="H7" s="1838">
        <v>0</v>
      </c>
      <c r="I7" s="1838">
        <v>0</v>
      </c>
      <c r="J7" s="1838">
        <v>0</v>
      </c>
      <c r="K7" s="1575">
        <f t="shared" ref="K7:K32" si="0">SUM(C7:J7)</f>
        <v>0</v>
      </c>
      <c r="L7" s="1838">
        <v>0</v>
      </c>
    </row>
    <row r="8" spans="1:14" x14ac:dyDescent="0.2">
      <c r="A8" s="1414" t="s">
        <v>164</v>
      </c>
      <c r="B8" s="597">
        <v>1200</v>
      </c>
      <c r="C8" s="1838">
        <v>439727</v>
      </c>
      <c r="D8" s="1838">
        <v>122485</v>
      </c>
      <c r="E8" s="1838">
        <v>7343</v>
      </c>
      <c r="F8" s="1838">
        <v>5606</v>
      </c>
      <c r="G8" s="1838">
        <v>0</v>
      </c>
      <c r="H8" s="1838">
        <v>0</v>
      </c>
      <c r="I8" s="1838">
        <v>0</v>
      </c>
      <c r="J8" s="1838">
        <v>0</v>
      </c>
      <c r="K8" s="1575">
        <f t="shared" si="0"/>
        <v>575161</v>
      </c>
      <c r="L8" s="1838">
        <v>571890</v>
      </c>
    </row>
    <row r="9" spans="1:14" x14ac:dyDescent="0.2">
      <c r="A9" s="1414" t="s">
        <v>721</v>
      </c>
      <c r="B9" s="597" t="s">
        <v>968</v>
      </c>
      <c r="C9" s="1838">
        <v>75070</v>
      </c>
      <c r="D9" s="1838">
        <v>25504</v>
      </c>
      <c r="E9" s="1838">
        <v>0</v>
      </c>
      <c r="F9" s="1838">
        <v>1020</v>
      </c>
      <c r="G9" s="1838">
        <v>0</v>
      </c>
      <c r="H9" s="1838">
        <v>0</v>
      </c>
      <c r="I9" s="1838">
        <v>0</v>
      </c>
      <c r="J9" s="1838">
        <v>0</v>
      </c>
      <c r="K9" s="1575">
        <f t="shared" si="0"/>
        <v>101594</v>
      </c>
      <c r="L9" s="1838">
        <v>102510</v>
      </c>
    </row>
    <row r="10" spans="1:14" x14ac:dyDescent="0.2">
      <c r="A10" s="1414" t="s">
        <v>722</v>
      </c>
      <c r="B10" s="597">
        <v>1250</v>
      </c>
      <c r="C10" s="1838">
        <v>189069</v>
      </c>
      <c r="D10" s="1838">
        <v>46666</v>
      </c>
      <c r="E10" s="1838">
        <v>0</v>
      </c>
      <c r="F10" s="1838">
        <v>7249</v>
      </c>
      <c r="G10" s="1838">
        <v>0</v>
      </c>
      <c r="H10" s="1838">
        <v>0</v>
      </c>
      <c r="I10" s="1838">
        <v>0</v>
      </c>
      <c r="J10" s="1838">
        <v>0</v>
      </c>
      <c r="K10" s="1575">
        <f t="shared" si="0"/>
        <v>242984</v>
      </c>
      <c r="L10" s="1838">
        <v>259945</v>
      </c>
    </row>
    <row r="11" spans="1:14" x14ac:dyDescent="0.2">
      <c r="A11" s="1414" t="s">
        <v>1130</v>
      </c>
      <c r="B11" s="597" t="s">
        <v>161</v>
      </c>
      <c r="C11" s="1838">
        <v>0</v>
      </c>
      <c r="D11" s="1838">
        <v>0</v>
      </c>
      <c r="E11" s="1838">
        <v>0</v>
      </c>
      <c r="F11" s="1838">
        <v>0</v>
      </c>
      <c r="G11" s="1838">
        <v>0</v>
      </c>
      <c r="H11" s="1838">
        <v>0</v>
      </c>
      <c r="I11" s="1838">
        <v>0</v>
      </c>
      <c r="J11" s="1838">
        <v>0</v>
      </c>
      <c r="K11" s="1575">
        <f t="shared" si="0"/>
        <v>0</v>
      </c>
      <c r="L11" s="1838">
        <v>0</v>
      </c>
    </row>
    <row r="12" spans="1:14" x14ac:dyDescent="0.2">
      <c r="A12" s="1414" t="s">
        <v>962</v>
      </c>
      <c r="B12" s="597">
        <v>1300</v>
      </c>
      <c r="C12" s="1838">
        <v>0</v>
      </c>
      <c r="D12" s="1838">
        <v>0</v>
      </c>
      <c r="E12" s="1838">
        <v>0</v>
      </c>
      <c r="F12" s="1838">
        <v>0</v>
      </c>
      <c r="G12" s="1838">
        <v>0</v>
      </c>
      <c r="H12" s="1838">
        <v>0</v>
      </c>
      <c r="I12" s="1838">
        <v>0</v>
      </c>
      <c r="J12" s="1838">
        <v>0</v>
      </c>
      <c r="K12" s="1575">
        <f t="shared" si="0"/>
        <v>0</v>
      </c>
      <c r="L12" s="1838">
        <v>0</v>
      </c>
    </row>
    <row r="13" spans="1:14" x14ac:dyDescent="0.2">
      <c r="A13" s="1414" t="s">
        <v>723</v>
      </c>
      <c r="B13" s="597">
        <v>1400</v>
      </c>
      <c r="C13" s="1838">
        <v>0</v>
      </c>
      <c r="D13" s="1838">
        <v>0</v>
      </c>
      <c r="E13" s="1838">
        <v>0</v>
      </c>
      <c r="F13" s="1838">
        <v>0</v>
      </c>
      <c r="G13" s="1838">
        <v>0</v>
      </c>
      <c r="H13" s="1838">
        <v>0</v>
      </c>
      <c r="I13" s="1838">
        <v>0</v>
      </c>
      <c r="J13" s="1838">
        <v>0</v>
      </c>
      <c r="K13" s="1575">
        <f t="shared" si="0"/>
        <v>0</v>
      </c>
      <c r="L13" s="1838">
        <v>0</v>
      </c>
    </row>
    <row r="14" spans="1:14" x14ac:dyDescent="0.2">
      <c r="A14" s="1414" t="s">
        <v>963</v>
      </c>
      <c r="B14" s="597">
        <v>1500</v>
      </c>
      <c r="C14" s="1838">
        <v>114576</v>
      </c>
      <c r="D14" s="1838">
        <v>2777</v>
      </c>
      <c r="E14" s="1838">
        <v>2700</v>
      </c>
      <c r="F14" s="1838">
        <v>4629</v>
      </c>
      <c r="G14" s="1838">
        <v>0</v>
      </c>
      <c r="H14" s="1838">
        <v>0</v>
      </c>
      <c r="I14" s="1838">
        <v>0</v>
      </c>
      <c r="J14" s="1838">
        <v>0</v>
      </c>
      <c r="K14" s="1575">
        <f t="shared" si="0"/>
        <v>124682</v>
      </c>
      <c r="L14" s="1838">
        <v>130140</v>
      </c>
    </row>
    <row r="15" spans="1:14" x14ac:dyDescent="0.2">
      <c r="A15" s="1414" t="s">
        <v>964</v>
      </c>
      <c r="B15" s="597">
        <v>1600</v>
      </c>
      <c r="C15" s="1838">
        <v>9401</v>
      </c>
      <c r="D15" s="1838">
        <v>261</v>
      </c>
      <c r="E15" s="1838">
        <v>358</v>
      </c>
      <c r="F15" s="1838">
        <v>0</v>
      </c>
      <c r="G15" s="1838">
        <v>0</v>
      </c>
      <c r="H15" s="1838">
        <v>0</v>
      </c>
      <c r="I15" s="1838">
        <v>0</v>
      </c>
      <c r="J15" s="1838">
        <v>0</v>
      </c>
      <c r="K15" s="1575">
        <f t="shared" si="0"/>
        <v>10020</v>
      </c>
      <c r="L15" s="1838">
        <v>13650</v>
      </c>
    </row>
    <row r="16" spans="1:14" x14ac:dyDescent="0.2">
      <c r="A16" s="1414" t="s">
        <v>987</v>
      </c>
      <c r="B16" s="597" t="s">
        <v>424</v>
      </c>
      <c r="C16" s="1838">
        <v>0</v>
      </c>
      <c r="D16" s="1838">
        <v>0</v>
      </c>
      <c r="E16" s="1838">
        <v>0</v>
      </c>
      <c r="F16" s="1838">
        <v>0</v>
      </c>
      <c r="G16" s="1838">
        <v>0</v>
      </c>
      <c r="H16" s="1838">
        <v>0</v>
      </c>
      <c r="I16" s="1838">
        <v>0</v>
      </c>
      <c r="J16" s="1838">
        <v>0</v>
      </c>
      <c r="K16" s="1575">
        <f t="shared" si="0"/>
        <v>0</v>
      </c>
      <c r="L16" s="1838">
        <v>0</v>
      </c>
    </row>
    <row r="17" spans="1:12" x14ac:dyDescent="0.2">
      <c r="A17" s="1414" t="s">
        <v>724</v>
      </c>
      <c r="B17" s="597" t="s">
        <v>162</v>
      </c>
      <c r="C17" s="1838">
        <v>0</v>
      </c>
      <c r="D17" s="1838">
        <v>0</v>
      </c>
      <c r="E17" s="1838">
        <v>0</v>
      </c>
      <c r="F17" s="1838">
        <v>0</v>
      </c>
      <c r="G17" s="1838">
        <v>0</v>
      </c>
      <c r="H17" s="1838">
        <v>0</v>
      </c>
      <c r="I17" s="1838">
        <v>0</v>
      </c>
      <c r="J17" s="1838">
        <v>0</v>
      </c>
      <c r="K17" s="1575">
        <f t="shared" si="0"/>
        <v>0</v>
      </c>
      <c r="L17" s="1838">
        <v>0</v>
      </c>
    </row>
    <row r="18" spans="1:12" x14ac:dyDescent="0.2">
      <c r="A18" s="1414" t="s">
        <v>1087</v>
      </c>
      <c r="B18" s="597">
        <v>1800</v>
      </c>
      <c r="C18" s="1838">
        <v>92548</v>
      </c>
      <c r="D18" s="1838">
        <v>18967</v>
      </c>
      <c r="E18" s="1838">
        <v>258</v>
      </c>
      <c r="F18" s="1838">
        <v>925</v>
      </c>
      <c r="G18" s="1838">
        <v>0</v>
      </c>
      <c r="H18" s="1838">
        <v>0</v>
      </c>
      <c r="I18" s="1838">
        <v>0</v>
      </c>
      <c r="J18" s="1838">
        <v>0</v>
      </c>
      <c r="K18" s="1575">
        <f t="shared" si="0"/>
        <v>112698</v>
      </c>
      <c r="L18" s="1838">
        <v>111570</v>
      </c>
    </row>
    <row r="19" spans="1:12" x14ac:dyDescent="0.2">
      <c r="A19" s="1414" t="s">
        <v>134</v>
      </c>
      <c r="B19" s="597">
        <v>1900</v>
      </c>
      <c r="C19" s="1838">
        <v>0</v>
      </c>
      <c r="D19" s="1838">
        <v>0</v>
      </c>
      <c r="E19" s="1838">
        <v>0</v>
      </c>
      <c r="F19" s="1838">
        <v>0</v>
      </c>
      <c r="G19" s="1838">
        <v>0</v>
      </c>
      <c r="H19" s="1838">
        <v>0</v>
      </c>
      <c r="I19" s="1838">
        <v>0</v>
      </c>
      <c r="J19" s="1838">
        <v>0</v>
      </c>
      <c r="K19" s="1575">
        <f t="shared" si="0"/>
        <v>0</v>
      </c>
      <c r="L19" s="1838">
        <v>0</v>
      </c>
    </row>
    <row r="20" spans="1:12" x14ac:dyDescent="0.2">
      <c r="A20" s="1415" t="s">
        <v>738</v>
      </c>
      <c r="B20" s="585" t="s">
        <v>725</v>
      </c>
      <c r="C20" s="1851"/>
      <c r="D20" s="1851"/>
      <c r="E20" s="1851"/>
      <c r="F20" s="1851"/>
      <c r="G20" s="1851"/>
      <c r="H20" s="1838">
        <v>0</v>
      </c>
      <c r="I20" s="1846"/>
      <c r="J20" s="1841"/>
      <c r="K20" s="1575">
        <f t="shared" si="0"/>
        <v>0</v>
      </c>
      <c r="L20" s="1838">
        <v>0</v>
      </c>
    </row>
    <row r="21" spans="1:12" x14ac:dyDescent="0.2">
      <c r="A21" s="1415" t="s">
        <v>739</v>
      </c>
      <c r="B21" s="585" t="s">
        <v>726</v>
      </c>
      <c r="C21" s="1851"/>
      <c r="D21" s="1851"/>
      <c r="E21" s="1851"/>
      <c r="F21" s="1851"/>
      <c r="G21" s="1851"/>
      <c r="H21" s="1838">
        <v>0</v>
      </c>
      <c r="I21" s="1846"/>
      <c r="J21" s="1851"/>
      <c r="K21" s="1575">
        <f t="shared" si="0"/>
        <v>0</v>
      </c>
      <c r="L21" s="1838">
        <v>0</v>
      </c>
    </row>
    <row r="22" spans="1:12" x14ac:dyDescent="0.2">
      <c r="A22" s="1415" t="s">
        <v>740</v>
      </c>
      <c r="B22" s="585" t="s">
        <v>727</v>
      </c>
      <c r="C22" s="1851"/>
      <c r="D22" s="1851"/>
      <c r="E22" s="1851"/>
      <c r="F22" s="1851"/>
      <c r="G22" s="1851"/>
      <c r="H22" s="1838">
        <v>0</v>
      </c>
      <c r="I22" s="1846"/>
      <c r="J22" s="1851"/>
      <c r="K22" s="1575">
        <f t="shared" si="0"/>
        <v>0</v>
      </c>
      <c r="L22" s="1838">
        <v>0</v>
      </c>
    </row>
    <row r="23" spans="1:12" x14ac:dyDescent="0.2">
      <c r="A23" s="1415" t="s">
        <v>741</v>
      </c>
      <c r="B23" s="585" t="s">
        <v>728</v>
      </c>
      <c r="C23" s="1851"/>
      <c r="D23" s="1851"/>
      <c r="E23" s="1851"/>
      <c r="F23" s="1851"/>
      <c r="G23" s="1851"/>
      <c r="H23" s="1838">
        <v>0</v>
      </c>
      <c r="I23" s="1846"/>
      <c r="J23" s="1851"/>
      <c r="K23" s="1575">
        <f t="shared" si="0"/>
        <v>0</v>
      </c>
      <c r="L23" s="1838">
        <v>0</v>
      </c>
    </row>
    <row r="24" spans="1:12" ht="12.75" customHeight="1" x14ac:dyDescent="0.2">
      <c r="A24" s="1415" t="s">
        <v>742</v>
      </c>
      <c r="B24" s="585" t="s">
        <v>729</v>
      </c>
      <c r="C24" s="1851"/>
      <c r="D24" s="1851"/>
      <c r="E24" s="1851"/>
      <c r="F24" s="1851"/>
      <c r="G24" s="1851"/>
      <c r="H24" s="1838">
        <v>0</v>
      </c>
      <c r="I24" s="1846"/>
      <c r="J24" s="1851"/>
      <c r="K24" s="1575">
        <f t="shared" si="0"/>
        <v>0</v>
      </c>
      <c r="L24" s="1838">
        <v>0</v>
      </c>
    </row>
    <row r="25" spans="1:12" ht="12.75" customHeight="1" x14ac:dyDescent="0.2">
      <c r="A25" s="1415" t="s">
        <v>802</v>
      </c>
      <c r="B25" s="585" t="s">
        <v>730</v>
      </c>
      <c r="C25" s="1851"/>
      <c r="D25" s="1851"/>
      <c r="E25" s="1851"/>
      <c r="F25" s="1851"/>
      <c r="G25" s="1851"/>
      <c r="H25" s="1838">
        <v>0</v>
      </c>
      <c r="I25" s="1846"/>
      <c r="J25" s="1851"/>
      <c r="K25" s="1575">
        <f t="shared" si="0"/>
        <v>0</v>
      </c>
      <c r="L25" s="1838">
        <v>0</v>
      </c>
    </row>
    <row r="26" spans="1:12" x14ac:dyDescent="0.2">
      <c r="A26" s="1415" t="s">
        <v>622</v>
      </c>
      <c r="B26" s="585" t="s">
        <v>731</v>
      </c>
      <c r="C26" s="1851"/>
      <c r="D26" s="1851"/>
      <c r="E26" s="1851"/>
      <c r="F26" s="1851"/>
      <c r="G26" s="1851"/>
      <c r="H26" s="1838">
        <v>0</v>
      </c>
      <c r="I26" s="1846"/>
      <c r="J26" s="1851"/>
      <c r="K26" s="1575">
        <f t="shared" si="0"/>
        <v>0</v>
      </c>
      <c r="L26" s="1838">
        <v>0</v>
      </c>
    </row>
    <row r="27" spans="1:12" x14ac:dyDescent="0.2">
      <c r="A27" s="1415" t="s">
        <v>623</v>
      </c>
      <c r="B27" s="585" t="s">
        <v>732</v>
      </c>
      <c r="C27" s="1851"/>
      <c r="D27" s="1851"/>
      <c r="E27" s="1851"/>
      <c r="F27" s="1851"/>
      <c r="G27" s="1851"/>
      <c r="H27" s="1838">
        <v>0</v>
      </c>
      <c r="I27" s="1846"/>
      <c r="J27" s="1851"/>
      <c r="K27" s="1575">
        <f t="shared" si="0"/>
        <v>0</v>
      </c>
      <c r="L27" s="1838">
        <v>0</v>
      </c>
    </row>
    <row r="28" spans="1:12" x14ac:dyDescent="0.2">
      <c r="A28" s="1415" t="s">
        <v>150</v>
      </c>
      <c r="B28" s="585" t="s">
        <v>733</v>
      </c>
      <c r="C28" s="1851"/>
      <c r="D28" s="1851"/>
      <c r="E28" s="1851"/>
      <c r="F28" s="1851"/>
      <c r="G28" s="1851"/>
      <c r="H28" s="1838">
        <v>0</v>
      </c>
      <c r="I28" s="1846"/>
      <c r="J28" s="1851"/>
      <c r="K28" s="1575">
        <f t="shared" si="0"/>
        <v>0</v>
      </c>
      <c r="L28" s="1838">
        <v>0</v>
      </c>
    </row>
    <row r="29" spans="1:12" x14ac:dyDescent="0.2">
      <c r="A29" s="1415" t="s">
        <v>151</v>
      </c>
      <c r="B29" s="585" t="s">
        <v>734</v>
      </c>
      <c r="C29" s="1851"/>
      <c r="D29" s="1851"/>
      <c r="E29" s="1851"/>
      <c r="F29" s="1851"/>
      <c r="G29" s="1851"/>
      <c r="H29" s="1838">
        <v>0</v>
      </c>
      <c r="I29" s="1846"/>
      <c r="J29" s="1851"/>
      <c r="K29" s="1575">
        <f t="shared" si="0"/>
        <v>0</v>
      </c>
      <c r="L29" s="1838">
        <v>0</v>
      </c>
    </row>
    <row r="30" spans="1:12" x14ac:dyDescent="0.2">
      <c r="A30" s="1415" t="s">
        <v>152</v>
      </c>
      <c r="B30" s="585" t="s">
        <v>735</v>
      </c>
      <c r="C30" s="1851"/>
      <c r="D30" s="1851"/>
      <c r="E30" s="1851"/>
      <c r="F30" s="1851"/>
      <c r="G30" s="1851"/>
      <c r="H30" s="1838">
        <v>0</v>
      </c>
      <c r="I30" s="1846"/>
      <c r="J30" s="1851"/>
      <c r="K30" s="1575">
        <f t="shared" si="0"/>
        <v>0</v>
      </c>
      <c r="L30" s="1838">
        <v>0</v>
      </c>
    </row>
    <row r="31" spans="1:12" x14ac:dyDescent="0.2">
      <c r="A31" s="1415" t="s">
        <v>153</v>
      </c>
      <c r="B31" s="585" t="s">
        <v>736</v>
      </c>
      <c r="C31" s="1851"/>
      <c r="D31" s="1851"/>
      <c r="E31" s="1851"/>
      <c r="F31" s="1851"/>
      <c r="G31" s="1851"/>
      <c r="H31" s="1838">
        <v>0</v>
      </c>
      <c r="I31" s="1846"/>
      <c r="J31" s="1851"/>
      <c r="K31" s="1575">
        <f t="shared" si="0"/>
        <v>0</v>
      </c>
      <c r="L31" s="1838">
        <v>0</v>
      </c>
    </row>
    <row r="32" spans="1:12" x14ac:dyDescent="0.2">
      <c r="A32" s="1416" t="s">
        <v>1129</v>
      </c>
      <c r="B32" s="597" t="s">
        <v>737</v>
      </c>
      <c r="C32" s="1851"/>
      <c r="D32" s="1851"/>
      <c r="E32" s="1851"/>
      <c r="F32" s="1851"/>
      <c r="G32" s="1851"/>
      <c r="H32" s="1838">
        <v>0</v>
      </c>
      <c r="I32" s="1846"/>
      <c r="J32" s="1848"/>
      <c r="K32" s="1575">
        <f t="shared" si="0"/>
        <v>0</v>
      </c>
      <c r="L32" s="1838">
        <v>0</v>
      </c>
    </row>
    <row r="33" spans="1:14" ht="12.75" customHeight="1" thickBot="1" x14ac:dyDescent="0.25">
      <c r="A33" s="1572" t="s">
        <v>1662</v>
      </c>
      <c r="B33" s="1573" t="s">
        <v>570</v>
      </c>
      <c r="C33" s="1574">
        <f>SUM(C5:C32)</f>
        <v>3396589</v>
      </c>
      <c r="D33" s="1574">
        <f t="shared" ref="D33:L33" si="1">SUM(D5:D32)</f>
        <v>674681</v>
      </c>
      <c r="E33" s="1574">
        <f t="shared" si="1"/>
        <v>23890</v>
      </c>
      <c r="F33" s="1574">
        <f t="shared" si="1"/>
        <v>226482</v>
      </c>
      <c r="G33" s="1574">
        <f t="shared" si="1"/>
        <v>65726</v>
      </c>
      <c r="H33" s="1574">
        <f t="shared" si="1"/>
        <v>0</v>
      </c>
      <c r="I33" s="1574">
        <f t="shared" si="1"/>
        <v>0</v>
      </c>
      <c r="J33" s="1574">
        <f t="shared" si="1"/>
        <v>0</v>
      </c>
      <c r="K33" s="1574">
        <f t="shared" si="1"/>
        <v>4387368</v>
      </c>
      <c r="L33" s="1574">
        <f t="shared" si="1"/>
        <v>5146135</v>
      </c>
    </row>
    <row r="34" spans="1:14" s="603" customFormat="1" ht="15.75" customHeight="1" thickTop="1" x14ac:dyDescent="0.2">
      <c r="A34" s="1518" t="s">
        <v>46</v>
      </c>
      <c r="B34" s="1519"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38">
        <v>101113</v>
      </c>
      <c r="D36" s="1838">
        <v>11900</v>
      </c>
      <c r="E36" s="1838">
        <v>0</v>
      </c>
      <c r="F36" s="1838">
        <v>1105</v>
      </c>
      <c r="G36" s="1838">
        <v>0</v>
      </c>
      <c r="H36" s="1838">
        <v>0</v>
      </c>
      <c r="I36" s="1838">
        <v>0</v>
      </c>
      <c r="J36" s="1838">
        <v>0</v>
      </c>
      <c r="K36" s="1575">
        <f t="shared" ref="K36:K41" si="2">SUM(C36:J36)</f>
        <v>114118</v>
      </c>
      <c r="L36" s="1838">
        <v>113320</v>
      </c>
    </row>
    <row r="37" spans="1:14" x14ac:dyDescent="0.2">
      <c r="A37" s="1414" t="s">
        <v>1090</v>
      </c>
      <c r="B37" s="597">
        <v>2120</v>
      </c>
      <c r="C37" s="1838">
        <v>0</v>
      </c>
      <c r="D37" s="1838">
        <v>0</v>
      </c>
      <c r="E37" s="1838">
        <v>0</v>
      </c>
      <c r="F37" s="1838">
        <v>83</v>
      </c>
      <c r="G37" s="1838">
        <v>0</v>
      </c>
      <c r="H37" s="1838">
        <v>0</v>
      </c>
      <c r="I37" s="1838">
        <v>0</v>
      </c>
      <c r="J37" s="1838">
        <v>0</v>
      </c>
      <c r="K37" s="1575">
        <f t="shared" si="2"/>
        <v>83</v>
      </c>
      <c r="L37" s="1838">
        <v>100</v>
      </c>
    </row>
    <row r="38" spans="1:14" x14ac:dyDescent="0.2">
      <c r="A38" s="1414" t="s">
        <v>198</v>
      </c>
      <c r="B38" s="597">
        <v>2130</v>
      </c>
      <c r="C38" s="1838">
        <v>123981</v>
      </c>
      <c r="D38" s="1838">
        <v>35339</v>
      </c>
      <c r="E38" s="1838">
        <v>60</v>
      </c>
      <c r="F38" s="1838">
        <v>3658</v>
      </c>
      <c r="G38" s="1838">
        <v>0</v>
      </c>
      <c r="H38" s="1838">
        <v>0</v>
      </c>
      <c r="I38" s="1838">
        <v>0</v>
      </c>
      <c r="J38" s="1838">
        <v>0</v>
      </c>
      <c r="K38" s="1575">
        <f t="shared" si="2"/>
        <v>163038</v>
      </c>
      <c r="L38" s="1838">
        <v>167590</v>
      </c>
    </row>
    <row r="39" spans="1:14" x14ac:dyDescent="0.2">
      <c r="A39" s="1414" t="s">
        <v>199</v>
      </c>
      <c r="B39" s="597">
        <v>2140</v>
      </c>
      <c r="C39" s="1838">
        <v>56183</v>
      </c>
      <c r="D39" s="1838">
        <v>1937</v>
      </c>
      <c r="E39" s="1838">
        <v>0</v>
      </c>
      <c r="F39" s="1838">
        <v>973</v>
      </c>
      <c r="G39" s="1838">
        <v>0</v>
      </c>
      <c r="H39" s="1838">
        <v>0</v>
      </c>
      <c r="I39" s="1838">
        <v>0</v>
      </c>
      <c r="J39" s="1838">
        <v>0</v>
      </c>
      <c r="K39" s="1575">
        <f t="shared" si="2"/>
        <v>59093</v>
      </c>
      <c r="L39" s="1838">
        <v>60050</v>
      </c>
    </row>
    <row r="40" spans="1:14" x14ac:dyDescent="0.2">
      <c r="A40" s="1414" t="s">
        <v>200</v>
      </c>
      <c r="B40" s="597">
        <v>2150</v>
      </c>
      <c r="C40" s="1838">
        <v>63055</v>
      </c>
      <c r="D40" s="1838">
        <v>16646</v>
      </c>
      <c r="E40" s="1838">
        <v>30094</v>
      </c>
      <c r="F40" s="1838">
        <v>576</v>
      </c>
      <c r="G40" s="1838">
        <v>0</v>
      </c>
      <c r="H40" s="1838">
        <v>0</v>
      </c>
      <c r="I40" s="1838">
        <v>0</v>
      </c>
      <c r="J40" s="1838">
        <v>0</v>
      </c>
      <c r="K40" s="1575">
        <f t="shared" si="2"/>
        <v>110371</v>
      </c>
      <c r="L40" s="1838">
        <v>116440</v>
      </c>
    </row>
    <row r="41" spans="1:14" x14ac:dyDescent="0.2">
      <c r="A41" s="1414" t="s">
        <v>1663</v>
      </c>
      <c r="B41" s="597">
        <v>2190</v>
      </c>
      <c r="C41" s="1838">
        <v>0</v>
      </c>
      <c r="D41" s="1838">
        <v>0</v>
      </c>
      <c r="E41" s="1838">
        <v>0</v>
      </c>
      <c r="F41" s="1838">
        <v>0</v>
      </c>
      <c r="G41" s="1838">
        <v>0</v>
      </c>
      <c r="H41" s="1838">
        <v>0</v>
      </c>
      <c r="I41" s="1838">
        <v>0</v>
      </c>
      <c r="J41" s="1838">
        <v>0</v>
      </c>
      <c r="K41" s="1575">
        <f t="shared" si="2"/>
        <v>0</v>
      </c>
      <c r="L41" s="1838">
        <v>0</v>
      </c>
    </row>
    <row r="42" spans="1:14" ht="12.75" customHeight="1" thickBot="1" x14ac:dyDescent="0.25">
      <c r="A42" s="1572" t="s">
        <v>560</v>
      </c>
      <c r="B42" s="1573" t="s">
        <v>716</v>
      </c>
      <c r="C42" s="1574">
        <f>SUM(C36:C41)</f>
        <v>344332</v>
      </c>
      <c r="D42" s="1574">
        <f t="shared" ref="D42:L42" si="3">SUM(D36:D41)</f>
        <v>65822</v>
      </c>
      <c r="E42" s="1574">
        <f t="shared" si="3"/>
        <v>30154</v>
      </c>
      <c r="F42" s="1574">
        <f t="shared" si="3"/>
        <v>6395</v>
      </c>
      <c r="G42" s="1574">
        <f t="shared" si="3"/>
        <v>0</v>
      </c>
      <c r="H42" s="1574">
        <f t="shared" si="3"/>
        <v>0</v>
      </c>
      <c r="I42" s="1574">
        <f t="shared" si="3"/>
        <v>0</v>
      </c>
      <c r="J42" s="1574">
        <f t="shared" si="3"/>
        <v>0</v>
      </c>
      <c r="K42" s="1574">
        <f t="shared" si="3"/>
        <v>446703</v>
      </c>
      <c r="L42" s="1574">
        <f t="shared" si="3"/>
        <v>457500</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38">
        <v>191012</v>
      </c>
      <c r="D44" s="1838">
        <v>25850</v>
      </c>
      <c r="E44" s="1838">
        <v>13277</v>
      </c>
      <c r="F44" s="1838">
        <v>3993</v>
      </c>
      <c r="G44" s="1838">
        <v>0</v>
      </c>
      <c r="H44" s="1838">
        <v>926</v>
      </c>
      <c r="I44" s="1838">
        <v>0</v>
      </c>
      <c r="J44" s="1838">
        <v>0</v>
      </c>
      <c r="K44" s="1576">
        <f>SUM(C44:J44)</f>
        <v>235058</v>
      </c>
      <c r="L44" s="1838">
        <v>279540</v>
      </c>
    </row>
    <row r="45" spans="1:14" x14ac:dyDescent="0.2">
      <c r="A45" s="1414" t="s">
        <v>815</v>
      </c>
      <c r="B45" s="597">
        <v>2220</v>
      </c>
      <c r="C45" s="1838">
        <v>153308</v>
      </c>
      <c r="D45" s="1838">
        <v>35838</v>
      </c>
      <c r="E45" s="1838">
        <v>41687</v>
      </c>
      <c r="F45" s="1838">
        <v>61655</v>
      </c>
      <c r="G45" s="1838">
        <v>0</v>
      </c>
      <c r="H45" s="1838">
        <v>0</v>
      </c>
      <c r="I45" s="1838">
        <v>0</v>
      </c>
      <c r="J45" s="1838">
        <v>0</v>
      </c>
      <c r="K45" s="1576">
        <f>SUM(C45:J45)</f>
        <v>292488</v>
      </c>
      <c r="L45" s="1838">
        <v>367847</v>
      </c>
    </row>
    <row r="46" spans="1:14" x14ac:dyDescent="0.2">
      <c r="A46" s="1414" t="s">
        <v>816</v>
      </c>
      <c r="B46" s="597">
        <v>2230</v>
      </c>
      <c r="C46" s="1838">
        <v>0</v>
      </c>
      <c r="D46" s="1838">
        <v>0</v>
      </c>
      <c r="E46" s="1838">
        <v>0</v>
      </c>
      <c r="F46" s="1838">
        <v>0</v>
      </c>
      <c r="G46" s="1838">
        <v>0</v>
      </c>
      <c r="H46" s="1838">
        <v>0</v>
      </c>
      <c r="I46" s="1838">
        <v>0</v>
      </c>
      <c r="J46" s="1838">
        <v>0</v>
      </c>
      <c r="K46" s="1576">
        <f>SUM(C46:J46)</f>
        <v>0</v>
      </c>
      <c r="L46" s="1838">
        <v>0</v>
      </c>
    </row>
    <row r="47" spans="1:14" ht="12.75" customHeight="1" thickBot="1" x14ac:dyDescent="0.25">
      <c r="A47" s="1572" t="s">
        <v>561</v>
      </c>
      <c r="B47" s="1573" t="s">
        <v>32</v>
      </c>
      <c r="C47" s="1574">
        <f>SUM(C44:C46)</f>
        <v>344320</v>
      </c>
      <c r="D47" s="1574">
        <f t="shared" ref="D47:K47" si="4">SUM(D44:D46)</f>
        <v>61688</v>
      </c>
      <c r="E47" s="1574">
        <f t="shared" si="4"/>
        <v>54964</v>
      </c>
      <c r="F47" s="1574">
        <f t="shared" si="4"/>
        <v>65648</v>
      </c>
      <c r="G47" s="1574">
        <f t="shared" si="4"/>
        <v>0</v>
      </c>
      <c r="H47" s="1574">
        <f t="shared" si="4"/>
        <v>926</v>
      </c>
      <c r="I47" s="1574">
        <f t="shared" si="4"/>
        <v>0</v>
      </c>
      <c r="J47" s="1574">
        <f t="shared" si="4"/>
        <v>0</v>
      </c>
      <c r="K47" s="1574">
        <f t="shared" si="4"/>
        <v>527546</v>
      </c>
      <c r="L47" s="1574">
        <f>SUM(L44:L46)</f>
        <v>647387</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38">
        <v>27094</v>
      </c>
      <c r="D49" s="1838">
        <v>5211</v>
      </c>
      <c r="E49" s="1838">
        <v>562569</v>
      </c>
      <c r="F49" s="1838">
        <v>16919</v>
      </c>
      <c r="G49" s="1838">
        <v>0</v>
      </c>
      <c r="H49" s="1838">
        <v>9247</v>
      </c>
      <c r="I49" s="1838">
        <v>0</v>
      </c>
      <c r="J49" s="1838">
        <v>0</v>
      </c>
      <c r="K49" s="1576">
        <f>SUM(C49:J49)</f>
        <v>621040</v>
      </c>
      <c r="L49" s="1838">
        <v>982980</v>
      </c>
    </row>
    <row r="50" spans="1:14" x14ac:dyDescent="0.2">
      <c r="A50" s="1414" t="s">
        <v>818</v>
      </c>
      <c r="B50" s="597">
        <v>2320</v>
      </c>
      <c r="C50" s="1838">
        <v>276251</v>
      </c>
      <c r="D50" s="1838">
        <v>35576</v>
      </c>
      <c r="E50" s="1838">
        <v>8131</v>
      </c>
      <c r="F50" s="1838">
        <v>1558</v>
      </c>
      <c r="G50" s="1838">
        <v>2508</v>
      </c>
      <c r="H50" s="1838">
        <v>6631</v>
      </c>
      <c r="I50" s="1838">
        <v>0</v>
      </c>
      <c r="J50" s="1838">
        <v>0</v>
      </c>
      <c r="K50" s="1576">
        <f>SUM(C50:J50)</f>
        <v>330655</v>
      </c>
      <c r="L50" s="1838">
        <v>365860</v>
      </c>
    </row>
    <row r="51" spans="1:14" x14ac:dyDescent="0.2">
      <c r="A51" s="1414" t="s">
        <v>42</v>
      </c>
      <c r="B51" s="597">
        <v>2330</v>
      </c>
      <c r="C51" s="1838">
        <v>126237</v>
      </c>
      <c r="D51" s="1838">
        <v>13359</v>
      </c>
      <c r="E51" s="1838">
        <v>224</v>
      </c>
      <c r="F51" s="1838">
        <v>1625</v>
      </c>
      <c r="G51" s="1838">
        <v>0</v>
      </c>
      <c r="H51" s="1838">
        <v>180</v>
      </c>
      <c r="I51" s="1838">
        <v>0</v>
      </c>
      <c r="J51" s="1838">
        <v>0</v>
      </c>
      <c r="K51" s="1576">
        <f>SUM(C51:J51)</f>
        <v>141625</v>
      </c>
      <c r="L51" s="1838">
        <v>143210</v>
      </c>
    </row>
    <row r="52" spans="1:14" ht="22.5" x14ac:dyDescent="0.2">
      <c r="A52" s="1415" t="s">
        <v>298</v>
      </c>
      <c r="B52" s="610" t="s">
        <v>366</v>
      </c>
      <c r="C52" s="1855"/>
      <c r="D52" s="1855"/>
      <c r="E52" s="1855"/>
      <c r="F52" s="1855"/>
      <c r="G52" s="1855"/>
      <c r="H52" s="1855"/>
      <c r="I52" s="1855"/>
      <c r="J52" s="1855"/>
      <c r="K52" s="1576">
        <f>SUM(C52:J52)</f>
        <v>0</v>
      </c>
      <c r="L52" s="1855">
        <v>0</v>
      </c>
    </row>
    <row r="53" spans="1:14" ht="12.75" customHeight="1" thickBot="1" x14ac:dyDescent="0.25">
      <c r="A53" s="1572" t="s">
        <v>717</v>
      </c>
      <c r="B53" s="1573" t="s">
        <v>33</v>
      </c>
      <c r="C53" s="1574">
        <f>SUM(C49:C52)</f>
        <v>429582</v>
      </c>
      <c r="D53" s="1574">
        <f t="shared" ref="D53:L53" si="5">SUM(D49:D52)</f>
        <v>54146</v>
      </c>
      <c r="E53" s="1574">
        <f t="shared" si="5"/>
        <v>570924</v>
      </c>
      <c r="F53" s="1574">
        <f t="shared" si="5"/>
        <v>20102</v>
      </c>
      <c r="G53" s="1574">
        <f t="shared" si="5"/>
        <v>2508</v>
      </c>
      <c r="H53" s="1574">
        <f t="shared" si="5"/>
        <v>16058</v>
      </c>
      <c r="I53" s="1574">
        <f t="shared" si="5"/>
        <v>0</v>
      </c>
      <c r="J53" s="1574">
        <f t="shared" si="5"/>
        <v>0</v>
      </c>
      <c r="K53" s="1574">
        <f t="shared" si="5"/>
        <v>1093320</v>
      </c>
      <c r="L53" s="1574">
        <f t="shared" si="5"/>
        <v>1492050</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38">
        <v>542301</v>
      </c>
      <c r="D55" s="1838">
        <v>103642</v>
      </c>
      <c r="E55" s="1838">
        <v>2099</v>
      </c>
      <c r="F55" s="1838">
        <v>10815</v>
      </c>
      <c r="G55" s="1838">
        <v>0</v>
      </c>
      <c r="H55" s="1838">
        <v>0</v>
      </c>
      <c r="I55" s="1838">
        <v>0</v>
      </c>
      <c r="J55" s="1838">
        <v>0</v>
      </c>
      <c r="K55" s="1576">
        <f>SUM(C55:J55)</f>
        <v>658857</v>
      </c>
      <c r="L55" s="1837">
        <v>700504</v>
      </c>
    </row>
    <row r="56" spans="1:14" ht="12.75" customHeight="1" x14ac:dyDescent="0.2">
      <c r="A56" s="1418" t="s">
        <v>376</v>
      </c>
      <c r="B56" s="611">
        <v>2490</v>
      </c>
      <c r="C56" s="1838">
        <v>0</v>
      </c>
      <c r="D56" s="1838">
        <v>0</v>
      </c>
      <c r="E56" s="1838">
        <v>0</v>
      </c>
      <c r="F56" s="1838">
        <v>0</v>
      </c>
      <c r="G56" s="1838">
        <v>0</v>
      </c>
      <c r="H56" s="1838">
        <v>0</v>
      </c>
      <c r="I56" s="1838">
        <v>0</v>
      </c>
      <c r="J56" s="1838">
        <v>0</v>
      </c>
      <c r="K56" s="1576">
        <f>SUM(C56:J56)</f>
        <v>0</v>
      </c>
      <c r="L56" s="1838">
        <v>0</v>
      </c>
    </row>
    <row r="57" spans="1:14" s="343" customFormat="1" ht="12.75" customHeight="1" thickBot="1" x14ac:dyDescent="0.25">
      <c r="A57" s="1572" t="s">
        <v>263</v>
      </c>
      <c r="B57" s="1577" t="s">
        <v>34</v>
      </c>
      <c r="C57" s="1578">
        <f>SUM(C55:C56)</f>
        <v>542301</v>
      </c>
      <c r="D57" s="1578">
        <f t="shared" ref="D57:K57" si="6">SUM(D55:D56)</f>
        <v>103642</v>
      </c>
      <c r="E57" s="1578">
        <f t="shared" si="6"/>
        <v>2099</v>
      </c>
      <c r="F57" s="1578">
        <f t="shared" si="6"/>
        <v>10815</v>
      </c>
      <c r="G57" s="1578">
        <f t="shared" si="6"/>
        <v>0</v>
      </c>
      <c r="H57" s="1578">
        <f t="shared" si="6"/>
        <v>0</v>
      </c>
      <c r="I57" s="1578">
        <f t="shared" si="6"/>
        <v>0</v>
      </c>
      <c r="J57" s="1578">
        <f t="shared" si="6"/>
        <v>0</v>
      </c>
      <c r="K57" s="1578">
        <f t="shared" si="6"/>
        <v>658857</v>
      </c>
      <c r="L57" s="1574">
        <f>SUM(L55:L56)</f>
        <v>700504</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38">
        <v>34227</v>
      </c>
      <c r="D59" s="1838">
        <v>407</v>
      </c>
      <c r="E59" s="1838">
        <v>4668</v>
      </c>
      <c r="F59" s="1838">
        <v>655</v>
      </c>
      <c r="G59" s="1838">
        <v>0</v>
      </c>
      <c r="H59" s="1838">
        <v>1004</v>
      </c>
      <c r="I59" s="1838">
        <v>0</v>
      </c>
      <c r="J59" s="1838">
        <v>0</v>
      </c>
      <c r="K59" s="1576">
        <f t="shared" ref="K59:K64" si="7">SUM(C59:J59)</f>
        <v>40961</v>
      </c>
      <c r="L59" s="1837">
        <v>46610</v>
      </c>
      <c r="M59" s="592"/>
      <c r="N59" s="592"/>
    </row>
    <row r="60" spans="1:14" s="343" customFormat="1" x14ac:dyDescent="0.2">
      <c r="A60" s="1414" t="s">
        <v>463</v>
      </c>
      <c r="B60" s="597">
        <v>2520</v>
      </c>
      <c r="C60" s="1838">
        <v>127039</v>
      </c>
      <c r="D60" s="1838">
        <v>22744</v>
      </c>
      <c r="E60" s="1838">
        <v>0</v>
      </c>
      <c r="F60" s="1838">
        <v>126</v>
      </c>
      <c r="G60" s="1838">
        <v>0</v>
      </c>
      <c r="H60" s="1838">
        <v>0</v>
      </c>
      <c r="I60" s="1838">
        <v>0</v>
      </c>
      <c r="J60" s="1838">
        <v>0</v>
      </c>
      <c r="K60" s="1576">
        <f t="shared" si="7"/>
        <v>149909</v>
      </c>
      <c r="L60" s="1837">
        <v>157000</v>
      </c>
      <c r="M60" s="592"/>
      <c r="N60" s="592"/>
    </row>
    <row r="61" spans="1:14" s="343" customFormat="1" x14ac:dyDescent="0.2">
      <c r="A61" s="1414" t="s">
        <v>197</v>
      </c>
      <c r="B61" s="597">
        <v>2540</v>
      </c>
      <c r="C61" s="1838">
        <v>0</v>
      </c>
      <c r="D61" s="1838">
        <v>0</v>
      </c>
      <c r="E61" s="1838">
        <v>0</v>
      </c>
      <c r="F61" s="1838">
        <v>0</v>
      </c>
      <c r="G61" s="1838">
        <v>0</v>
      </c>
      <c r="H61" s="1838">
        <v>0</v>
      </c>
      <c r="I61" s="1838">
        <v>0</v>
      </c>
      <c r="J61" s="1838">
        <v>0</v>
      </c>
      <c r="K61" s="1576">
        <f t="shared" si="7"/>
        <v>0</v>
      </c>
      <c r="L61" s="1837">
        <v>0</v>
      </c>
      <c r="M61" s="592"/>
      <c r="N61" s="592"/>
    </row>
    <row r="62" spans="1:14" s="343" customFormat="1" x14ac:dyDescent="0.2">
      <c r="A62" s="1414" t="s">
        <v>953</v>
      </c>
      <c r="B62" s="597">
        <v>2550</v>
      </c>
      <c r="C62" s="1838">
        <v>0</v>
      </c>
      <c r="D62" s="1838">
        <v>0</v>
      </c>
      <c r="E62" s="1838">
        <v>0</v>
      </c>
      <c r="F62" s="1838">
        <v>0</v>
      </c>
      <c r="G62" s="1838">
        <v>0</v>
      </c>
      <c r="H62" s="1838">
        <v>0</v>
      </c>
      <c r="I62" s="1838">
        <v>0</v>
      </c>
      <c r="J62" s="1838">
        <v>0</v>
      </c>
      <c r="K62" s="1576">
        <f t="shared" si="7"/>
        <v>0</v>
      </c>
      <c r="L62" s="1837">
        <v>0</v>
      </c>
      <c r="M62" s="592"/>
      <c r="N62" s="592"/>
    </row>
    <row r="63" spans="1:14" s="592" customFormat="1" x14ac:dyDescent="0.2">
      <c r="A63" s="1414" t="s">
        <v>100</v>
      </c>
      <c r="B63" s="597">
        <v>2560</v>
      </c>
      <c r="C63" s="1838">
        <v>56137</v>
      </c>
      <c r="D63" s="1838">
        <v>0</v>
      </c>
      <c r="E63" s="1838">
        <v>115695</v>
      </c>
      <c r="F63" s="1838">
        <v>2854</v>
      </c>
      <c r="G63" s="1838">
        <v>0</v>
      </c>
      <c r="H63" s="1838">
        <v>0</v>
      </c>
      <c r="I63" s="1838">
        <v>0</v>
      </c>
      <c r="J63" s="1838">
        <v>0</v>
      </c>
      <c r="K63" s="1576">
        <f t="shared" si="7"/>
        <v>174686</v>
      </c>
      <c r="L63" s="1837">
        <v>232200</v>
      </c>
    </row>
    <row r="64" spans="1:14" s="592" customFormat="1" x14ac:dyDescent="0.2">
      <c r="A64" s="1419" t="s">
        <v>101</v>
      </c>
      <c r="B64" s="613">
        <v>2570</v>
      </c>
      <c r="C64" s="1838">
        <v>0</v>
      </c>
      <c r="D64" s="1838">
        <v>0</v>
      </c>
      <c r="E64" s="1838">
        <v>0</v>
      </c>
      <c r="F64" s="1838">
        <v>0</v>
      </c>
      <c r="G64" s="1838">
        <v>0</v>
      </c>
      <c r="H64" s="1838">
        <v>0</v>
      </c>
      <c r="I64" s="1838">
        <v>0</v>
      </c>
      <c r="J64" s="1838">
        <v>0</v>
      </c>
      <c r="K64" s="1576">
        <f t="shared" si="7"/>
        <v>0</v>
      </c>
      <c r="L64" s="1837">
        <v>0</v>
      </c>
    </row>
    <row r="65" spans="1:14" s="343" customFormat="1" ht="12.75" customHeight="1" thickBot="1" x14ac:dyDescent="0.25">
      <c r="A65" s="1572" t="s">
        <v>719</v>
      </c>
      <c r="B65" s="1573" t="s">
        <v>35</v>
      </c>
      <c r="C65" s="1574">
        <f>SUM(C59:C64)</f>
        <v>217403</v>
      </c>
      <c r="D65" s="1574">
        <f t="shared" ref="D65:L65" si="8">SUM(D59:D64)</f>
        <v>23151</v>
      </c>
      <c r="E65" s="1574">
        <f t="shared" si="8"/>
        <v>120363</v>
      </c>
      <c r="F65" s="1574">
        <f t="shared" si="8"/>
        <v>3635</v>
      </c>
      <c r="G65" s="1574">
        <f t="shared" si="8"/>
        <v>0</v>
      </c>
      <c r="H65" s="1574">
        <f t="shared" si="8"/>
        <v>1004</v>
      </c>
      <c r="I65" s="1574">
        <f t="shared" si="8"/>
        <v>0</v>
      </c>
      <c r="J65" s="1574">
        <f t="shared" si="8"/>
        <v>0</v>
      </c>
      <c r="K65" s="1574">
        <f t="shared" si="8"/>
        <v>365556</v>
      </c>
      <c r="L65" s="1574">
        <f t="shared" si="8"/>
        <v>435810</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38">
        <v>0</v>
      </c>
      <c r="D67" s="1838">
        <v>0</v>
      </c>
      <c r="E67" s="1838">
        <v>0</v>
      </c>
      <c r="F67" s="1838">
        <v>0</v>
      </c>
      <c r="G67" s="1838">
        <v>0</v>
      </c>
      <c r="H67" s="1838">
        <v>0</v>
      </c>
      <c r="I67" s="1838">
        <v>0</v>
      </c>
      <c r="J67" s="1838">
        <v>0</v>
      </c>
      <c r="K67" s="1576">
        <f>SUM(C67:J67)</f>
        <v>0</v>
      </c>
      <c r="L67" s="1837">
        <v>0</v>
      </c>
      <c r="M67" s="592"/>
      <c r="N67" s="592"/>
    </row>
    <row r="68" spans="1:14" s="343" customFormat="1" x14ac:dyDescent="0.2">
      <c r="A68" s="1414" t="s">
        <v>607</v>
      </c>
      <c r="B68" s="597">
        <v>2620</v>
      </c>
      <c r="C68" s="1838">
        <v>32500</v>
      </c>
      <c r="D68" s="1838">
        <v>0</v>
      </c>
      <c r="E68" s="1838">
        <v>0</v>
      </c>
      <c r="F68" s="1838">
        <v>0</v>
      </c>
      <c r="G68" s="1838">
        <v>0</v>
      </c>
      <c r="H68" s="1838">
        <v>0</v>
      </c>
      <c r="I68" s="1838">
        <v>0</v>
      </c>
      <c r="J68" s="1838">
        <v>0</v>
      </c>
      <c r="K68" s="1576">
        <f>SUM(C68:J68)</f>
        <v>32500</v>
      </c>
      <c r="L68" s="1837">
        <v>65000</v>
      </c>
      <c r="M68" s="592"/>
      <c r="N68" s="592"/>
    </row>
    <row r="69" spans="1:14" s="343" customFormat="1" x14ac:dyDescent="0.2">
      <c r="A69" s="1414" t="s">
        <v>1061</v>
      </c>
      <c r="B69" s="597">
        <v>2630</v>
      </c>
      <c r="C69" s="1838">
        <v>0</v>
      </c>
      <c r="D69" s="1838">
        <v>0</v>
      </c>
      <c r="E69" s="1838">
        <v>0</v>
      </c>
      <c r="F69" s="1838">
        <v>0</v>
      </c>
      <c r="G69" s="1838">
        <v>0</v>
      </c>
      <c r="H69" s="1838">
        <v>0</v>
      </c>
      <c r="I69" s="1838">
        <v>0</v>
      </c>
      <c r="J69" s="1838">
        <v>0</v>
      </c>
      <c r="K69" s="1576">
        <f>SUM(C69:J69)</f>
        <v>0</v>
      </c>
      <c r="L69" s="1837">
        <v>0</v>
      </c>
      <c r="M69" s="592"/>
      <c r="N69" s="592"/>
    </row>
    <row r="70" spans="1:14" s="343" customFormat="1" x14ac:dyDescent="0.2">
      <c r="A70" s="1414" t="s">
        <v>403</v>
      </c>
      <c r="B70" s="597">
        <v>2640</v>
      </c>
      <c r="C70" s="1838">
        <v>0</v>
      </c>
      <c r="D70" s="1838">
        <v>0</v>
      </c>
      <c r="E70" s="1838">
        <v>0</v>
      </c>
      <c r="F70" s="1838">
        <v>0</v>
      </c>
      <c r="G70" s="1838">
        <v>0</v>
      </c>
      <c r="H70" s="1838">
        <v>0</v>
      </c>
      <c r="I70" s="1838">
        <v>0</v>
      </c>
      <c r="J70" s="1838">
        <v>0</v>
      </c>
      <c r="K70" s="1576">
        <f>SUM(C70:J70)</f>
        <v>0</v>
      </c>
      <c r="L70" s="1837">
        <v>0</v>
      </c>
      <c r="M70" s="592"/>
      <c r="N70" s="592"/>
    </row>
    <row r="71" spans="1:14" s="343" customFormat="1" x14ac:dyDescent="0.2">
      <c r="A71" s="1414" t="s">
        <v>404</v>
      </c>
      <c r="B71" s="597">
        <v>2660</v>
      </c>
      <c r="C71" s="1838">
        <v>0</v>
      </c>
      <c r="D71" s="1838">
        <v>0</v>
      </c>
      <c r="E71" s="1838">
        <v>0</v>
      </c>
      <c r="F71" s="1838">
        <v>0</v>
      </c>
      <c r="G71" s="1838">
        <v>0</v>
      </c>
      <c r="H71" s="1838">
        <v>0</v>
      </c>
      <c r="I71" s="1838">
        <v>0</v>
      </c>
      <c r="J71" s="1838">
        <v>0</v>
      </c>
      <c r="K71" s="1576">
        <f>SUM(C71:J71)</f>
        <v>0</v>
      </c>
      <c r="L71" s="1837">
        <v>0</v>
      </c>
      <c r="M71" s="592"/>
      <c r="N71" s="592"/>
    </row>
    <row r="72" spans="1:14" s="343" customFormat="1" ht="12.75" customHeight="1" thickBot="1" x14ac:dyDescent="0.25">
      <c r="A72" s="1572" t="s">
        <v>37</v>
      </c>
      <c r="B72" s="1579" t="s">
        <v>36</v>
      </c>
      <c r="C72" s="1574">
        <f>SUM(C67:C71)</f>
        <v>32500</v>
      </c>
      <c r="D72" s="1574">
        <f t="shared" ref="D72:K72" si="9">SUM(D67:D71)</f>
        <v>0</v>
      </c>
      <c r="E72" s="1574">
        <f t="shared" si="9"/>
        <v>0</v>
      </c>
      <c r="F72" s="1574">
        <f t="shared" si="9"/>
        <v>0</v>
      </c>
      <c r="G72" s="1574">
        <f t="shared" si="9"/>
        <v>0</v>
      </c>
      <c r="H72" s="1574">
        <f t="shared" si="9"/>
        <v>0</v>
      </c>
      <c r="I72" s="1574">
        <f t="shared" si="9"/>
        <v>0</v>
      </c>
      <c r="J72" s="1574">
        <f t="shared" si="9"/>
        <v>0</v>
      </c>
      <c r="K72" s="1574">
        <f t="shared" si="9"/>
        <v>32500</v>
      </c>
      <c r="L72" s="1574">
        <f>SUM(L67:L71)</f>
        <v>65000</v>
      </c>
      <c r="M72" s="592"/>
      <c r="N72" s="592"/>
    </row>
    <row r="73" spans="1:14" s="343" customFormat="1" ht="14.25" thickTop="1" thickBot="1" x14ac:dyDescent="0.25">
      <c r="A73" s="1420" t="s">
        <v>980</v>
      </c>
      <c r="B73" s="615" t="s">
        <v>574</v>
      </c>
      <c r="C73" s="1838">
        <v>0</v>
      </c>
      <c r="D73" s="1838">
        <v>0</v>
      </c>
      <c r="E73" s="1838">
        <v>0</v>
      </c>
      <c r="F73" s="1838">
        <v>0</v>
      </c>
      <c r="G73" s="1838">
        <v>0</v>
      </c>
      <c r="H73" s="1838">
        <v>0</v>
      </c>
      <c r="I73" s="1838">
        <v>0</v>
      </c>
      <c r="J73" s="1838">
        <v>0</v>
      </c>
      <c r="K73" s="1574">
        <f>SUM(C73:J73)</f>
        <v>0</v>
      </c>
      <c r="L73" s="1857">
        <v>0</v>
      </c>
      <c r="M73" s="592"/>
      <c r="N73" s="592"/>
    </row>
    <row r="74" spans="1:14" ht="12.75" customHeight="1" thickTop="1" thickBot="1" x14ac:dyDescent="0.25">
      <c r="A74" s="1572" t="s">
        <v>811</v>
      </c>
      <c r="B74" s="1580">
        <v>2000</v>
      </c>
      <c r="C74" s="1581">
        <f>SUM(C42,C47,C53,C57,C65,C72,C73)</f>
        <v>1910438</v>
      </c>
      <c r="D74" s="1581">
        <f t="shared" ref="D74:K74" si="10">SUM(D42,D47,D53,D57,D65,D72,D73)</f>
        <v>308449</v>
      </c>
      <c r="E74" s="1581">
        <f t="shared" si="10"/>
        <v>778504</v>
      </c>
      <c r="F74" s="1581">
        <f t="shared" si="10"/>
        <v>106595</v>
      </c>
      <c r="G74" s="1581">
        <f t="shared" si="10"/>
        <v>2508</v>
      </c>
      <c r="H74" s="1581">
        <f t="shared" si="10"/>
        <v>17988</v>
      </c>
      <c r="I74" s="1581">
        <f t="shared" si="10"/>
        <v>0</v>
      </c>
      <c r="J74" s="1581">
        <f t="shared" si="10"/>
        <v>0</v>
      </c>
      <c r="K74" s="1581">
        <f t="shared" si="10"/>
        <v>3124482</v>
      </c>
      <c r="L74" s="1581">
        <f>SUM(L42,L47,L53,L57,L65,L72,L73)</f>
        <v>3798251</v>
      </c>
    </row>
    <row r="75" spans="1:14" s="259" customFormat="1" ht="15.75" customHeight="1" thickTop="1" thickBot="1" x14ac:dyDescent="0.25">
      <c r="A75" s="1520" t="s">
        <v>47</v>
      </c>
      <c r="B75" s="1521" t="s">
        <v>575</v>
      </c>
      <c r="C75" s="1838">
        <v>0</v>
      </c>
      <c r="D75" s="1838">
        <v>0</v>
      </c>
      <c r="E75" s="1838">
        <v>8869</v>
      </c>
      <c r="F75" s="1838">
        <v>750</v>
      </c>
      <c r="G75" s="1838">
        <v>0</v>
      </c>
      <c r="H75" s="1838">
        <v>0</v>
      </c>
      <c r="I75" s="1838">
        <v>0</v>
      </c>
      <c r="J75" s="1838">
        <v>0</v>
      </c>
      <c r="K75" s="1574">
        <f>SUM(C75:J75)</f>
        <v>9619</v>
      </c>
      <c r="L75" s="1857">
        <v>43019</v>
      </c>
      <c r="M75" s="596"/>
      <c r="N75" s="596"/>
    </row>
    <row r="76" spans="1:14" s="616" customFormat="1" ht="15.75" customHeight="1" thickTop="1" x14ac:dyDescent="0.2">
      <c r="A76" s="1522" t="s">
        <v>365</v>
      </c>
      <c r="B76" s="1519"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38">
        <v>0</v>
      </c>
      <c r="F78" s="599"/>
      <c r="G78" s="599"/>
      <c r="H78" s="1838">
        <v>0</v>
      </c>
      <c r="I78" s="477"/>
      <c r="J78" s="477"/>
      <c r="K78" s="1575">
        <f t="shared" ref="K78:K83" si="11">SUM(C78:J78)</f>
        <v>0</v>
      </c>
      <c r="L78" s="1837">
        <v>0</v>
      </c>
    </row>
    <row r="79" spans="1:14" x14ac:dyDescent="0.2">
      <c r="A79" s="1414" t="s">
        <v>304</v>
      </c>
      <c r="B79" s="597">
        <v>4120</v>
      </c>
      <c r="C79" s="599"/>
      <c r="D79" s="599"/>
      <c r="E79" s="1838">
        <v>375932</v>
      </c>
      <c r="F79" s="599"/>
      <c r="G79" s="599"/>
      <c r="H79" s="1838">
        <v>0</v>
      </c>
      <c r="I79" s="477"/>
      <c r="J79" s="477"/>
      <c r="K79" s="1575">
        <f t="shared" si="11"/>
        <v>375932</v>
      </c>
      <c r="L79" s="1837">
        <v>501000</v>
      </c>
    </row>
    <row r="80" spans="1:14" x14ac:dyDescent="0.2">
      <c r="A80" s="1414" t="s">
        <v>305</v>
      </c>
      <c r="B80" s="597">
        <v>4130</v>
      </c>
      <c r="C80" s="599"/>
      <c r="D80" s="599"/>
      <c r="E80" s="1838">
        <v>0</v>
      </c>
      <c r="F80" s="599"/>
      <c r="G80" s="599"/>
      <c r="H80" s="1838">
        <v>0</v>
      </c>
      <c r="I80" s="477"/>
      <c r="J80" s="477"/>
      <c r="K80" s="1575">
        <f t="shared" si="11"/>
        <v>0</v>
      </c>
      <c r="L80" s="1837">
        <v>0</v>
      </c>
    </row>
    <row r="81" spans="1:12" x14ac:dyDescent="0.2">
      <c r="A81" s="1414" t="s">
        <v>697</v>
      </c>
      <c r="B81" s="597">
        <v>4140</v>
      </c>
      <c r="C81" s="599"/>
      <c r="D81" s="599"/>
      <c r="E81" s="1838">
        <v>0</v>
      </c>
      <c r="F81" s="599"/>
      <c r="G81" s="599"/>
      <c r="H81" s="1838">
        <v>0</v>
      </c>
      <c r="I81" s="477"/>
      <c r="J81" s="477"/>
      <c r="K81" s="1575">
        <f t="shared" si="11"/>
        <v>0</v>
      </c>
      <c r="L81" s="1837">
        <v>0</v>
      </c>
    </row>
    <row r="82" spans="1:12" x14ac:dyDescent="0.2">
      <c r="A82" s="1414" t="s">
        <v>86</v>
      </c>
      <c r="B82" s="597">
        <v>4170</v>
      </c>
      <c r="C82" s="599"/>
      <c r="D82" s="599"/>
      <c r="E82" s="1838">
        <v>0</v>
      </c>
      <c r="F82" s="599"/>
      <c r="G82" s="599"/>
      <c r="H82" s="1838">
        <v>0</v>
      </c>
      <c r="I82" s="477"/>
      <c r="J82" s="477"/>
      <c r="K82" s="1575">
        <f t="shared" si="11"/>
        <v>0</v>
      </c>
      <c r="L82" s="1837">
        <v>0</v>
      </c>
    </row>
    <row r="83" spans="1:12" x14ac:dyDescent="0.2">
      <c r="A83" s="1418" t="s">
        <v>698</v>
      </c>
      <c r="B83" s="611">
        <v>4190</v>
      </c>
      <c r="C83" s="599"/>
      <c r="D83" s="599"/>
      <c r="E83" s="1838">
        <v>0</v>
      </c>
      <c r="F83" s="599"/>
      <c r="G83" s="599"/>
      <c r="H83" s="1838">
        <v>0</v>
      </c>
      <c r="I83" s="477"/>
      <c r="J83" s="477"/>
      <c r="K83" s="1575">
        <f t="shared" si="11"/>
        <v>0</v>
      </c>
      <c r="L83" s="1837">
        <v>0</v>
      </c>
    </row>
    <row r="84" spans="1:12" ht="13.5" thickBot="1" x14ac:dyDescent="0.25">
      <c r="A84" s="1572" t="s">
        <v>1483</v>
      </c>
      <c r="B84" s="1582">
        <v>4100</v>
      </c>
      <c r="C84" s="599"/>
      <c r="D84" s="599"/>
      <c r="E84" s="1574">
        <f>SUM(E78:E83)</f>
        <v>375932</v>
      </c>
      <c r="F84" s="599"/>
      <c r="G84" s="599"/>
      <c r="H84" s="1574">
        <f>SUM(H78:H83)</f>
        <v>0</v>
      </c>
      <c r="I84" s="477"/>
      <c r="J84" s="477"/>
      <c r="K84" s="1574">
        <f>SUM(K78:K83)</f>
        <v>375932</v>
      </c>
      <c r="L84" s="1574">
        <f>SUM(L78:L83)</f>
        <v>501000</v>
      </c>
    </row>
    <row r="85" spans="1:12" ht="12.75" customHeight="1" thickTop="1" thickBot="1" x14ac:dyDescent="0.25">
      <c r="A85" s="1421" t="s">
        <v>255</v>
      </c>
      <c r="B85" s="617">
        <v>4210</v>
      </c>
      <c r="C85" s="599"/>
      <c r="D85" s="599"/>
      <c r="E85" s="618"/>
      <c r="F85" s="599"/>
      <c r="G85" s="599"/>
      <c r="H85" s="1838">
        <v>0</v>
      </c>
      <c r="I85" s="477"/>
      <c r="J85" s="477"/>
      <c r="K85" s="1581">
        <f>H85</f>
        <v>0</v>
      </c>
      <c r="L85" s="1858">
        <v>0</v>
      </c>
    </row>
    <row r="86" spans="1:12" ht="12.75" customHeight="1" thickTop="1" thickBot="1" x14ac:dyDescent="0.25">
      <c r="A86" s="1422" t="s">
        <v>699</v>
      </c>
      <c r="B86" s="619">
        <v>4220</v>
      </c>
      <c r="C86" s="599"/>
      <c r="D86" s="599"/>
      <c r="E86" s="620"/>
      <c r="F86" s="599"/>
      <c r="G86" s="599"/>
      <c r="H86" s="1838">
        <v>0</v>
      </c>
      <c r="I86" s="477"/>
      <c r="J86" s="477"/>
      <c r="K86" s="1581">
        <f t="shared" ref="K86:K98" si="12">H86</f>
        <v>0</v>
      </c>
      <c r="L86" s="1858">
        <v>0</v>
      </c>
    </row>
    <row r="87" spans="1:12" ht="14.25" thickTop="1" thickBot="1" x14ac:dyDescent="0.25">
      <c r="A87" s="1423" t="s">
        <v>700</v>
      </c>
      <c r="B87" s="621">
        <v>4230</v>
      </c>
      <c r="C87" s="599"/>
      <c r="D87" s="599"/>
      <c r="E87" s="620"/>
      <c r="F87" s="599"/>
      <c r="G87" s="599"/>
      <c r="H87" s="1838">
        <v>0</v>
      </c>
      <c r="I87" s="477"/>
      <c r="J87" s="477"/>
      <c r="K87" s="1581">
        <f t="shared" si="12"/>
        <v>0</v>
      </c>
      <c r="L87" s="1858">
        <v>0</v>
      </c>
    </row>
    <row r="88" spans="1:12" ht="12.75" customHeight="1" thickTop="1" thickBot="1" x14ac:dyDescent="0.25">
      <c r="A88" s="1423" t="s">
        <v>765</v>
      </c>
      <c r="B88" s="621">
        <v>4240</v>
      </c>
      <c r="C88" s="599"/>
      <c r="D88" s="599"/>
      <c r="E88" s="620"/>
      <c r="F88" s="599"/>
      <c r="G88" s="599"/>
      <c r="H88" s="1838">
        <v>0</v>
      </c>
      <c r="I88" s="477"/>
      <c r="J88" s="477"/>
      <c r="K88" s="1581">
        <f t="shared" si="12"/>
        <v>0</v>
      </c>
      <c r="L88" s="1858">
        <v>0</v>
      </c>
    </row>
    <row r="89" spans="1:12" ht="12.75" customHeight="1" thickTop="1" thickBot="1" x14ac:dyDescent="0.25">
      <c r="A89" s="1423" t="s">
        <v>701</v>
      </c>
      <c r="B89" s="621">
        <v>4270</v>
      </c>
      <c r="C89" s="599"/>
      <c r="D89" s="599"/>
      <c r="E89" s="620"/>
      <c r="F89" s="599"/>
      <c r="G89" s="599"/>
      <c r="H89" s="1838">
        <v>0</v>
      </c>
      <c r="I89" s="477"/>
      <c r="J89" s="477"/>
      <c r="K89" s="1581">
        <f t="shared" si="12"/>
        <v>0</v>
      </c>
      <c r="L89" s="1858">
        <v>0</v>
      </c>
    </row>
    <row r="90" spans="1:12" ht="12.75" customHeight="1" thickTop="1" thickBot="1" x14ac:dyDescent="0.25">
      <c r="A90" s="1423" t="s">
        <v>686</v>
      </c>
      <c r="B90" s="621">
        <v>4280</v>
      </c>
      <c r="C90" s="599"/>
      <c r="D90" s="599"/>
      <c r="E90" s="620"/>
      <c r="F90" s="599"/>
      <c r="G90" s="599"/>
      <c r="H90" s="1838">
        <v>0</v>
      </c>
      <c r="I90" s="477"/>
      <c r="J90" s="477"/>
      <c r="K90" s="1581">
        <f t="shared" si="12"/>
        <v>0</v>
      </c>
      <c r="L90" s="1858">
        <v>0</v>
      </c>
    </row>
    <row r="91" spans="1:12" ht="12.75" customHeight="1" thickTop="1" thickBot="1" x14ac:dyDescent="0.25">
      <c r="A91" s="1423" t="s">
        <v>687</v>
      </c>
      <c r="B91" s="621">
        <v>4290</v>
      </c>
      <c r="C91" s="599"/>
      <c r="D91" s="599"/>
      <c r="E91" s="620"/>
      <c r="F91" s="599"/>
      <c r="G91" s="599"/>
      <c r="H91" s="1838">
        <v>0</v>
      </c>
      <c r="I91" s="477"/>
      <c r="J91" s="477"/>
      <c r="K91" s="1581">
        <f t="shared" si="12"/>
        <v>0</v>
      </c>
      <c r="L91" s="1858">
        <v>0</v>
      </c>
    </row>
    <row r="92" spans="1:12" ht="14.25" thickTop="1" thickBot="1" x14ac:dyDescent="0.25">
      <c r="A92" s="1584" t="s">
        <v>1558</v>
      </c>
      <c r="B92" s="1582">
        <v>4200</v>
      </c>
      <c r="C92" s="599"/>
      <c r="D92" s="599"/>
      <c r="E92" s="620"/>
      <c r="F92" s="599"/>
      <c r="G92" s="599"/>
      <c r="H92" s="1574">
        <f>SUM(H85:H91)</f>
        <v>0</v>
      </c>
      <c r="I92" s="477"/>
      <c r="J92" s="477"/>
      <c r="K92" s="1581">
        <f t="shared" si="12"/>
        <v>0</v>
      </c>
      <c r="L92" s="1574">
        <f>SUM(L85:L91)</f>
        <v>0</v>
      </c>
    </row>
    <row r="93" spans="1:12" ht="14.25" thickTop="1" thickBot="1" x14ac:dyDescent="0.25">
      <c r="A93" s="1422" t="s">
        <v>688</v>
      </c>
      <c r="B93" s="622">
        <v>4310</v>
      </c>
      <c r="C93" s="599"/>
      <c r="D93" s="599"/>
      <c r="E93" s="620"/>
      <c r="F93" s="599"/>
      <c r="G93" s="599"/>
      <c r="H93" s="1838">
        <v>0</v>
      </c>
      <c r="I93" s="477"/>
      <c r="J93" s="477"/>
      <c r="K93" s="1581">
        <f t="shared" si="12"/>
        <v>0</v>
      </c>
      <c r="L93" s="1859">
        <v>0</v>
      </c>
    </row>
    <row r="94" spans="1:12" ht="12.75" customHeight="1" thickTop="1" thickBot="1" x14ac:dyDescent="0.25">
      <c r="A94" s="1423" t="s">
        <v>689</v>
      </c>
      <c r="B94" s="621">
        <v>4320</v>
      </c>
      <c r="C94" s="599"/>
      <c r="D94" s="599"/>
      <c r="E94" s="620"/>
      <c r="F94" s="599"/>
      <c r="G94" s="599"/>
      <c r="H94" s="1838">
        <v>0</v>
      </c>
      <c r="I94" s="477"/>
      <c r="J94" s="477"/>
      <c r="K94" s="1581">
        <f t="shared" si="12"/>
        <v>0</v>
      </c>
      <c r="L94" s="1859">
        <v>0</v>
      </c>
    </row>
    <row r="95" spans="1:12" ht="15" customHeight="1" thickTop="1" thickBot="1" x14ac:dyDescent="0.25">
      <c r="A95" s="1423" t="s">
        <v>1486</v>
      </c>
      <c r="B95" s="621">
        <v>4330</v>
      </c>
      <c r="C95" s="599"/>
      <c r="D95" s="599"/>
      <c r="E95" s="620"/>
      <c r="F95" s="599"/>
      <c r="G95" s="599"/>
      <c r="H95" s="1838">
        <v>0</v>
      </c>
      <c r="I95" s="477"/>
      <c r="J95" s="477"/>
      <c r="K95" s="1581">
        <f t="shared" si="12"/>
        <v>0</v>
      </c>
      <c r="L95" s="1859">
        <v>0</v>
      </c>
    </row>
    <row r="96" spans="1:12" ht="14.25" thickTop="1" thickBot="1" x14ac:dyDescent="0.25">
      <c r="A96" s="1423" t="s">
        <v>690</v>
      </c>
      <c r="B96" s="621">
        <v>4340</v>
      </c>
      <c r="C96" s="599"/>
      <c r="D96" s="599"/>
      <c r="E96" s="620"/>
      <c r="F96" s="599"/>
      <c r="G96" s="599"/>
      <c r="H96" s="1838">
        <v>0</v>
      </c>
      <c r="I96" s="477"/>
      <c r="J96" s="477"/>
      <c r="K96" s="1581">
        <f t="shared" si="12"/>
        <v>0</v>
      </c>
      <c r="L96" s="1859">
        <v>0</v>
      </c>
    </row>
    <row r="97" spans="1:14" ht="12.75" customHeight="1" thickTop="1" thickBot="1" x14ac:dyDescent="0.25">
      <c r="A97" s="1423" t="s">
        <v>763</v>
      </c>
      <c r="B97" s="621">
        <v>4370</v>
      </c>
      <c r="C97" s="599"/>
      <c r="D97" s="599"/>
      <c r="E97" s="620"/>
      <c r="F97" s="599"/>
      <c r="G97" s="599"/>
      <c r="H97" s="1838">
        <v>0</v>
      </c>
      <c r="I97" s="477"/>
      <c r="J97" s="477"/>
      <c r="K97" s="1581">
        <f t="shared" si="12"/>
        <v>0</v>
      </c>
      <c r="L97" s="1859">
        <v>0</v>
      </c>
    </row>
    <row r="98" spans="1:14" ht="14.25" thickTop="1" thickBot="1" x14ac:dyDescent="0.25">
      <c r="A98" s="1423" t="s">
        <v>764</v>
      </c>
      <c r="B98" s="621">
        <v>4380</v>
      </c>
      <c r="C98" s="599"/>
      <c r="D98" s="599"/>
      <c r="E98" s="623"/>
      <c r="F98" s="599"/>
      <c r="G98" s="599"/>
      <c r="H98" s="1838">
        <v>0</v>
      </c>
      <c r="I98" s="477"/>
      <c r="J98" s="477"/>
      <c r="K98" s="1581">
        <f t="shared" si="12"/>
        <v>0</v>
      </c>
      <c r="L98" s="1859">
        <v>0</v>
      </c>
    </row>
    <row r="99" spans="1:14" ht="14.25" thickTop="1" thickBot="1" x14ac:dyDescent="0.25">
      <c r="A99" s="1423" t="s">
        <v>367</v>
      </c>
      <c r="B99" s="621">
        <v>4390</v>
      </c>
      <c r="C99" s="599"/>
      <c r="D99" s="599"/>
      <c r="E99" s="1838">
        <v>0</v>
      </c>
      <c r="F99" s="599"/>
      <c r="G99" s="599"/>
      <c r="H99" s="1838">
        <v>0</v>
      </c>
      <c r="I99" s="477"/>
      <c r="J99" s="477"/>
      <c r="K99" s="1581">
        <f>SUM(E99,H99)</f>
        <v>0</v>
      </c>
      <c r="L99" s="1858">
        <v>0</v>
      </c>
    </row>
    <row r="100" spans="1:14" ht="14.25" thickTop="1" thickBot="1" x14ac:dyDescent="0.25">
      <c r="A100" s="1584" t="s">
        <v>1484</v>
      </c>
      <c r="B100" s="1585">
        <v>4300</v>
      </c>
      <c r="C100" s="599"/>
      <c r="D100" s="599"/>
      <c r="E100" s="1581">
        <f>SUM(E93:E99)</f>
        <v>0</v>
      </c>
      <c r="F100" s="599"/>
      <c r="G100" s="599"/>
      <c r="H100" s="1581">
        <f>SUM(H93:H99)</f>
        <v>0</v>
      </c>
      <c r="I100" s="477"/>
      <c r="J100" s="477"/>
      <c r="K100" s="1581">
        <f>SUM(K93:K99)</f>
        <v>0</v>
      </c>
      <c r="L100" s="1581">
        <f>SUM(L93:L99)</f>
        <v>0</v>
      </c>
    </row>
    <row r="101" spans="1:14" ht="12.75" customHeight="1" thickTop="1" thickBot="1" x14ac:dyDescent="0.25">
      <c r="A101" s="1420" t="s">
        <v>1487</v>
      </c>
      <c r="B101" s="624" t="s">
        <v>931</v>
      </c>
      <c r="C101" s="599"/>
      <c r="D101" s="599"/>
      <c r="E101" s="1838">
        <v>0</v>
      </c>
      <c r="F101" s="599"/>
      <c r="G101" s="599"/>
      <c r="H101" s="1838">
        <v>0</v>
      </c>
      <c r="I101" s="477"/>
      <c r="J101" s="477"/>
      <c r="K101" s="1583">
        <f>SUM(C101:J101)</f>
        <v>0</v>
      </c>
      <c r="L101" s="1858">
        <v>0</v>
      </c>
    </row>
    <row r="102" spans="1:14" ht="12.75" customHeight="1" thickTop="1" thickBot="1" x14ac:dyDescent="0.25">
      <c r="A102" s="1572" t="s">
        <v>1485</v>
      </c>
      <c r="B102" s="1582">
        <v>4000</v>
      </c>
      <c r="C102" s="599"/>
      <c r="D102" s="599"/>
      <c r="E102" s="1581">
        <f>SUM(E84,E92,E100,E101)</f>
        <v>375932</v>
      </c>
      <c r="F102" s="599"/>
      <c r="G102" s="599"/>
      <c r="H102" s="1581">
        <f>SUM(H84,H92,H100,H101)</f>
        <v>0</v>
      </c>
      <c r="I102" s="477"/>
      <c r="J102" s="477"/>
      <c r="K102" s="1581">
        <f>SUM(K84,K92,K100,K101)</f>
        <v>375932</v>
      </c>
      <c r="L102" s="1581">
        <f>SUM(L84,L92,L100,L101)</f>
        <v>501000</v>
      </c>
    </row>
    <row r="103" spans="1:14" s="616" customFormat="1" ht="15.75" customHeight="1" thickTop="1" x14ac:dyDescent="0.2">
      <c r="A103" s="1522" t="s">
        <v>513</v>
      </c>
      <c r="B103" s="1519"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38">
        <v>0</v>
      </c>
      <c r="I105" s="468"/>
      <c r="J105" s="468"/>
      <c r="K105" s="1575">
        <f>H105</f>
        <v>0</v>
      </c>
      <c r="L105" s="1837">
        <v>0</v>
      </c>
      <c r="M105" s="210"/>
      <c r="N105" s="210"/>
    </row>
    <row r="106" spans="1:14" s="580" customFormat="1" x14ac:dyDescent="0.2">
      <c r="A106" s="1414" t="s">
        <v>88</v>
      </c>
      <c r="B106" s="597">
        <v>5120</v>
      </c>
      <c r="C106" s="599"/>
      <c r="D106" s="599"/>
      <c r="E106" s="599"/>
      <c r="F106" s="599"/>
      <c r="G106" s="599"/>
      <c r="H106" s="1838">
        <v>0</v>
      </c>
      <c r="I106" s="468"/>
      <c r="J106" s="468"/>
      <c r="K106" s="1575">
        <f>H106</f>
        <v>0</v>
      </c>
      <c r="L106" s="1838">
        <v>0</v>
      </c>
      <c r="M106" s="210"/>
      <c r="N106" s="210"/>
    </row>
    <row r="107" spans="1:14" s="580" customFormat="1" ht="12.75" customHeight="1" x14ac:dyDescent="0.2">
      <c r="A107" s="1414" t="s">
        <v>1170</v>
      </c>
      <c r="B107" s="597">
        <v>5130</v>
      </c>
      <c r="C107" s="599"/>
      <c r="D107" s="599"/>
      <c r="E107" s="599"/>
      <c r="F107" s="599"/>
      <c r="G107" s="599"/>
      <c r="H107" s="1838">
        <v>0</v>
      </c>
      <c r="I107" s="468"/>
      <c r="J107" s="468"/>
      <c r="K107" s="1575">
        <f>H107</f>
        <v>0</v>
      </c>
      <c r="L107" s="1838">
        <v>0</v>
      </c>
      <c r="M107" s="210"/>
      <c r="N107" s="210"/>
    </row>
    <row r="108" spans="1:14" s="580" customFormat="1" x14ac:dyDescent="0.2">
      <c r="A108" s="1414" t="s">
        <v>89</v>
      </c>
      <c r="B108" s="597" t="s">
        <v>589</v>
      </c>
      <c r="C108" s="599"/>
      <c r="D108" s="599"/>
      <c r="E108" s="599"/>
      <c r="F108" s="599"/>
      <c r="G108" s="599"/>
      <c r="H108" s="1838">
        <v>0</v>
      </c>
      <c r="I108" s="468"/>
      <c r="J108" s="468"/>
      <c r="K108" s="1575">
        <f>H108</f>
        <v>0</v>
      </c>
      <c r="L108" s="1838">
        <v>0</v>
      </c>
      <c r="M108" s="210"/>
      <c r="N108" s="210"/>
    </row>
    <row r="109" spans="1:14" s="580" customFormat="1" x14ac:dyDescent="0.2">
      <c r="A109" s="1414" t="s">
        <v>254</v>
      </c>
      <c r="B109" s="611">
        <v>5150</v>
      </c>
      <c r="C109" s="599"/>
      <c r="D109" s="599"/>
      <c r="E109" s="599"/>
      <c r="F109" s="599"/>
      <c r="G109" s="599"/>
      <c r="H109" s="1838">
        <v>0</v>
      </c>
      <c r="I109" s="468"/>
      <c r="J109" s="468"/>
      <c r="K109" s="1575">
        <f>H109</f>
        <v>0</v>
      </c>
      <c r="L109" s="1838">
        <v>0</v>
      </c>
      <c r="M109" s="210"/>
      <c r="N109" s="210"/>
    </row>
    <row r="110" spans="1:14" s="580" customFormat="1" ht="12.75" customHeight="1" thickBot="1" x14ac:dyDescent="0.25">
      <c r="A110" s="1572" t="s">
        <v>1102</v>
      </c>
      <c r="B110" s="1579" t="s">
        <v>718</v>
      </c>
      <c r="C110" s="599"/>
      <c r="D110" s="599"/>
      <c r="E110" s="599"/>
      <c r="F110" s="599"/>
      <c r="G110" s="599"/>
      <c r="H110" s="1574">
        <f>SUM(H105:H109)</f>
        <v>0</v>
      </c>
      <c r="I110" s="468"/>
      <c r="J110" s="468"/>
      <c r="K110" s="1574">
        <f>SUM(K105:K109)</f>
        <v>0</v>
      </c>
      <c r="L110" s="1574">
        <f>SUM(L105:L109)</f>
        <v>0</v>
      </c>
      <c r="M110" s="210"/>
      <c r="N110" s="210"/>
    </row>
    <row r="111" spans="1:14" s="580" customFormat="1" ht="12.75" customHeight="1" thickTop="1" thickBot="1" x14ac:dyDescent="0.25">
      <c r="A111" s="1424" t="s">
        <v>368</v>
      </c>
      <c r="B111" s="628" t="s">
        <v>38</v>
      </c>
      <c r="C111" s="599"/>
      <c r="D111" s="599"/>
      <c r="E111" s="599"/>
      <c r="F111" s="599"/>
      <c r="G111" s="599"/>
      <c r="H111" s="1838">
        <v>0</v>
      </c>
      <c r="I111" s="468"/>
      <c r="J111" s="468"/>
      <c r="K111" s="1587">
        <f>H111</f>
        <v>0</v>
      </c>
      <c r="L111" s="1859">
        <v>0</v>
      </c>
      <c r="M111" s="210"/>
      <c r="N111" s="210"/>
    </row>
    <row r="112" spans="1:14" s="580" customFormat="1" ht="12.75" customHeight="1" thickTop="1" thickBot="1" x14ac:dyDescent="0.25">
      <c r="A112" s="1572" t="s">
        <v>638</v>
      </c>
      <c r="B112" s="1573" t="s">
        <v>492</v>
      </c>
      <c r="C112" s="599"/>
      <c r="D112" s="599"/>
      <c r="E112" s="599"/>
      <c r="F112" s="599"/>
      <c r="G112" s="599"/>
      <c r="H112" s="1574">
        <f>SUM(H110:H111)</f>
        <v>0</v>
      </c>
      <c r="I112" s="468"/>
      <c r="J112" s="468"/>
      <c r="K112" s="1574">
        <f>SUM(K110:K111)</f>
        <v>0</v>
      </c>
      <c r="L112" s="1581">
        <f>SUM(L110,L111)</f>
        <v>0</v>
      </c>
      <c r="M112" s="210"/>
      <c r="N112" s="210"/>
    </row>
    <row r="113" spans="1:14" s="259" customFormat="1" ht="15.75" customHeight="1" thickTop="1" thickBot="1" x14ac:dyDescent="0.25">
      <c r="A113" s="1516" t="s">
        <v>514</v>
      </c>
      <c r="B113" s="1523" t="s">
        <v>861</v>
      </c>
      <c r="C113" s="606"/>
      <c r="D113" s="606"/>
      <c r="E113" s="599"/>
      <c r="F113" s="599"/>
      <c r="G113" s="599"/>
      <c r="H113" s="606"/>
      <c r="I113" s="468"/>
      <c r="J113" s="468"/>
      <c r="K113" s="606"/>
      <c r="L113" s="1857">
        <v>0</v>
      </c>
      <c r="M113" s="596"/>
      <c r="N113" s="596"/>
    </row>
    <row r="114" spans="1:14" ht="12.75" customHeight="1" thickTop="1" thickBot="1" x14ac:dyDescent="0.25">
      <c r="A114" s="1572" t="s">
        <v>48</v>
      </c>
      <c r="B114" s="1586"/>
      <c r="C114" s="1574">
        <f>SUM(C33,C74,C75,C102,C112,C113)</f>
        <v>5307027</v>
      </c>
      <c r="D114" s="1574">
        <f t="shared" ref="D114:K114" si="13">SUM(D33,D74,D75,D102,D112,D113)</f>
        <v>983130</v>
      </c>
      <c r="E114" s="1574">
        <f t="shared" si="13"/>
        <v>1187195</v>
      </c>
      <c r="F114" s="1574">
        <f t="shared" si="13"/>
        <v>333827</v>
      </c>
      <c r="G114" s="1574">
        <f t="shared" si="13"/>
        <v>68234</v>
      </c>
      <c r="H114" s="1574">
        <f>SUM(H33,H74,H75,H102,H112,H113)</f>
        <v>17988</v>
      </c>
      <c r="I114" s="1574">
        <f t="shared" si="13"/>
        <v>0</v>
      </c>
      <c r="J114" s="1574">
        <f t="shared" si="13"/>
        <v>0</v>
      </c>
      <c r="K114" s="1574">
        <f t="shared" si="13"/>
        <v>7897401</v>
      </c>
      <c r="L114" s="1574">
        <f>SUM(L33,L74,L75,L102,L112,L113)</f>
        <v>9488405</v>
      </c>
    </row>
    <row r="115" spans="1:14" ht="13.5" thickTop="1" x14ac:dyDescent="0.2">
      <c r="A115" s="2181" t="s">
        <v>996</v>
      </c>
      <c r="B115" s="2182"/>
      <c r="C115" s="601"/>
      <c r="D115" s="601"/>
      <c r="E115" s="601"/>
      <c r="F115" s="601"/>
      <c r="G115" s="601"/>
      <c r="H115" s="601"/>
      <c r="I115" s="601"/>
      <c r="J115" s="601"/>
      <c r="K115" s="1588">
        <f>'Revenues 9-14'!C268-'Expenditures 15-22'!K114</f>
        <v>1025035</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9" t="s">
        <v>296</v>
      </c>
      <c r="B117" s="2160"/>
      <c r="C117" s="1536"/>
      <c r="D117" s="1537"/>
      <c r="E117" s="1537"/>
      <c r="F117" s="1537"/>
      <c r="G117" s="1537"/>
      <c r="H117" s="1537"/>
      <c r="I117" s="1537"/>
      <c r="J117" s="1537"/>
      <c r="K117" s="1537"/>
      <c r="L117" s="1538"/>
      <c r="M117" s="175"/>
      <c r="N117" s="175"/>
    </row>
    <row r="118" spans="1:14" ht="15.75" customHeight="1" x14ac:dyDescent="0.2">
      <c r="A118" s="1524" t="s">
        <v>1035</v>
      </c>
      <c r="B118" s="1525"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2034</v>
      </c>
      <c r="B120" s="611" t="s">
        <v>716</v>
      </c>
      <c r="C120" s="1838">
        <v>0</v>
      </c>
      <c r="D120" s="1838">
        <v>0</v>
      </c>
      <c r="E120" s="1838">
        <v>0</v>
      </c>
      <c r="F120" s="1838">
        <v>0</v>
      </c>
      <c r="G120" s="1838">
        <v>0</v>
      </c>
      <c r="H120" s="1838">
        <v>0</v>
      </c>
      <c r="I120" s="1838">
        <v>0</v>
      </c>
      <c r="J120" s="1838">
        <v>0</v>
      </c>
      <c r="K120" s="1575">
        <f>SUM(C120:J120)</f>
        <v>0</v>
      </c>
      <c r="L120" s="1838">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38">
        <v>32017</v>
      </c>
      <c r="D122" s="1838">
        <v>384</v>
      </c>
      <c r="E122" s="1838">
        <v>0</v>
      </c>
      <c r="F122" s="1838">
        <v>0</v>
      </c>
      <c r="G122" s="1838">
        <v>0</v>
      </c>
      <c r="H122" s="1838">
        <v>0</v>
      </c>
      <c r="I122" s="1838">
        <v>0</v>
      </c>
      <c r="J122" s="1838">
        <v>0</v>
      </c>
      <c r="K122" s="1574">
        <f>SUM(C122:J122)</f>
        <v>32401</v>
      </c>
      <c r="L122" s="1838">
        <v>37206</v>
      </c>
    </row>
    <row r="123" spans="1:14" ht="14.25" thickTop="1" thickBot="1" x14ac:dyDescent="0.25">
      <c r="A123" s="1414" t="s">
        <v>4</v>
      </c>
      <c r="B123" s="597">
        <v>2530</v>
      </c>
      <c r="C123" s="1838">
        <v>0</v>
      </c>
      <c r="D123" s="1838">
        <v>0</v>
      </c>
      <c r="E123" s="1838">
        <v>0</v>
      </c>
      <c r="F123" s="1838">
        <v>0</v>
      </c>
      <c r="G123" s="1838">
        <v>0</v>
      </c>
      <c r="H123" s="1838">
        <v>0</v>
      </c>
      <c r="I123" s="1838">
        <v>0</v>
      </c>
      <c r="J123" s="1838">
        <v>0</v>
      </c>
      <c r="K123" s="1574">
        <f>SUM(C123:J123)</f>
        <v>0</v>
      </c>
      <c r="L123" s="1838">
        <v>0</v>
      </c>
    </row>
    <row r="124" spans="1:14" ht="14.25" thickTop="1" thickBot="1" x14ac:dyDescent="0.25">
      <c r="A124" s="1414" t="s">
        <v>197</v>
      </c>
      <c r="B124" s="597">
        <v>2540</v>
      </c>
      <c r="C124" s="1838">
        <v>79325</v>
      </c>
      <c r="D124" s="1838">
        <v>17639</v>
      </c>
      <c r="E124" s="1838">
        <v>1083100</v>
      </c>
      <c r="F124" s="1838">
        <v>173744</v>
      </c>
      <c r="G124" s="1838">
        <v>70606</v>
      </c>
      <c r="H124" s="1838">
        <v>0</v>
      </c>
      <c r="I124" s="1838">
        <v>0</v>
      </c>
      <c r="J124" s="1838">
        <v>0</v>
      </c>
      <c r="K124" s="1574">
        <f>SUM(C124:J124)</f>
        <v>1424414</v>
      </c>
      <c r="L124" s="1838">
        <v>1684850</v>
      </c>
    </row>
    <row r="125" spans="1:14" ht="14.25" thickTop="1" thickBot="1" x14ac:dyDescent="0.25">
      <c r="A125" s="1414" t="s">
        <v>953</v>
      </c>
      <c r="B125" s="597">
        <v>2550</v>
      </c>
      <c r="C125" s="1838">
        <v>0</v>
      </c>
      <c r="D125" s="1838">
        <v>0</v>
      </c>
      <c r="E125" s="1838">
        <v>0</v>
      </c>
      <c r="F125" s="1838">
        <v>0</v>
      </c>
      <c r="G125" s="1838">
        <v>0</v>
      </c>
      <c r="H125" s="1838">
        <v>0</v>
      </c>
      <c r="I125" s="1838">
        <v>0</v>
      </c>
      <c r="J125" s="1838">
        <v>0</v>
      </c>
      <c r="K125" s="1574">
        <f>SUM(C125:J125)</f>
        <v>0</v>
      </c>
      <c r="L125" s="1838">
        <v>0</v>
      </c>
    </row>
    <row r="126" spans="1:14" ht="14.25" thickTop="1" thickBot="1" x14ac:dyDescent="0.25">
      <c r="A126" s="1414" t="s">
        <v>100</v>
      </c>
      <c r="B126" s="597">
        <v>2560</v>
      </c>
      <c r="C126" s="635"/>
      <c r="D126" s="635"/>
      <c r="E126" s="635"/>
      <c r="F126" s="635"/>
      <c r="G126" s="1838">
        <v>0</v>
      </c>
      <c r="H126" s="635"/>
      <c r="I126" s="1838">
        <v>0</v>
      </c>
      <c r="J126" s="599"/>
      <c r="K126" s="1574">
        <f>SUM(C126:J126)</f>
        <v>0</v>
      </c>
      <c r="L126" s="1838">
        <v>0</v>
      </c>
    </row>
    <row r="127" spans="1:14" ht="12.75" customHeight="1" thickTop="1" thickBot="1" x14ac:dyDescent="0.25">
      <c r="A127" s="1572" t="s">
        <v>719</v>
      </c>
      <c r="B127" s="1573" t="s">
        <v>35</v>
      </c>
      <c r="C127" s="1574">
        <f>SUM(C122:C126)</f>
        <v>111342</v>
      </c>
      <c r="D127" s="1574">
        <f t="shared" ref="D127:L127" si="14">SUM(D122:D126)</f>
        <v>18023</v>
      </c>
      <c r="E127" s="1574">
        <f t="shared" si="14"/>
        <v>1083100</v>
      </c>
      <c r="F127" s="1574">
        <f t="shared" si="14"/>
        <v>173744</v>
      </c>
      <c r="G127" s="1574">
        <f t="shared" si="14"/>
        <v>70606</v>
      </c>
      <c r="H127" s="1574">
        <f t="shared" si="14"/>
        <v>0</v>
      </c>
      <c r="I127" s="1574">
        <f t="shared" si="14"/>
        <v>0</v>
      </c>
      <c r="J127" s="1574">
        <f t="shared" si="14"/>
        <v>0</v>
      </c>
      <c r="K127" s="1574">
        <f t="shared" si="14"/>
        <v>1456815</v>
      </c>
      <c r="L127" s="1574">
        <f t="shared" si="14"/>
        <v>1722056</v>
      </c>
    </row>
    <row r="128" spans="1:14" ht="12.75" customHeight="1" thickTop="1" thickBot="1" x14ac:dyDescent="0.25">
      <c r="A128" s="1421" t="s">
        <v>980</v>
      </c>
      <c r="B128" s="636" t="s">
        <v>574</v>
      </c>
      <c r="C128" s="1838">
        <v>0</v>
      </c>
      <c r="D128" s="1838">
        <v>0</v>
      </c>
      <c r="E128" s="1838">
        <v>0</v>
      </c>
      <c r="F128" s="1838">
        <v>0</v>
      </c>
      <c r="G128" s="1838">
        <v>6502</v>
      </c>
      <c r="H128" s="1838">
        <v>0</v>
      </c>
      <c r="I128" s="1838">
        <v>0</v>
      </c>
      <c r="J128" s="1838">
        <v>0</v>
      </c>
      <c r="K128" s="1589">
        <f>SUM(C128:J128)</f>
        <v>6502</v>
      </c>
      <c r="L128" s="1857">
        <v>10000</v>
      </c>
    </row>
    <row r="129" spans="1:14" ht="12.75" customHeight="1" thickTop="1" thickBot="1" x14ac:dyDescent="0.25">
      <c r="A129" s="1590" t="s">
        <v>811</v>
      </c>
      <c r="B129" s="1591" t="s">
        <v>569</v>
      </c>
      <c r="C129" s="1581">
        <f>SUM(C120,C127,C128)</f>
        <v>111342</v>
      </c>
      <c r="D129" s="1581">
        <f t="shared" ref="D129:L129" si="15">SUM(D120,D127,D128)</f>
        <v>18023</v>
      </c>
      <c r="E129" s="1581">
        <f t="shared" si="15"/>
        <v>1083100</v>
      </c>
      <c r="F129" s="1581">
        <f t="shared" si="15"/>
        <v>173744</v>
      </c>
      <c r="G129" s="1581">
        <f t="shared" si="15"/>
        <v>77108</v>
      </c>
      <c r="H129" s="1581">
        <f t="shared" si="15"/>
        <v>0</v>
      </c>
      <c r="I129" s="1581">
        <f t="shared" si="15"/>
        <v>0</v>
      </c>
      <c r="J129" s="1581">
        <f t="shared" si="15"/>
        <v>0</v>
      </c>
      <c r="K129" s="1581">
        <f t="shared" si="15"/>
        <v>1463317</v>
      </c>
      <c r="L129" s="1581">
        <f t="shared" si="15"/>
        <v>1732056</v>
      </c>
    </row>
    <row r="130" spans="1:14" ht="15.75" customHeight="1" thickTop="1" thickBot="1" x14ac:dyDescent="0.25">
      <c r="A130" s="1520" t="s">
        <v>1036</v>
      </c>
      <c r="B130" s="1521" t="s">
        <v>575</v>
      </c>
      <c r="C130" s="1838">
        <v>0</v>
      </c>
      <c r="D130" s="1838">
        <v>0</v>
      </c>
      <c r="E130" s="1838">
        <v>0</v>
      </c>
      <c r="F130" s="1838">
        <v>0</v>
      </c>
      <c r="G130" s="1838">
        <v>0</v>
      </c>
      <c r="H130" s="1838">
        <v>0</v>
      </c>
      <c r="I130" s="1838">
        <v>0</v>
      </c>
      <c r="J130" s="1838">
        <v>0</v>
      </c>
      <c r="K130" s="1574">
        <f>SUM(C130:J130)</f>
        <v>0</v>
      </c>
      <c r="L130" s="1857">
        <v>0</v>
      </c>
    </row>
    <row r="131" spans="1:14" ht="15.75" customHeight="1" thickTop="1" x14ac:dyDescent="0.2">
      <c r="A131" s="1526" t="s">
        <v>616</v>
      </c>
      <c r="B131" s="1519"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44" t="s">
        <v>1819</v>
      </c>
      <c r="C133" s="468"/>
      <c r="D133" s="468"/>
      <c r="E133" s="1838">
        <v>0</v>
      </c>
      <c r="F133" s="468"/>
      <c r="G133" s="468"/>
      <c r="H133" s="1838">
        <v>0</v>
      </c>
      <c r="I133" s="468"/>
      <c r="J133" s="468"/>
      <c r="K133" s="1725">
        <f>SUM(E133,H133)</f>
        <v>0</v>
      </c>
      <c r="L133" s="1837">
        <v>0</v>
      </c>
      <c r="M133" s="206"/>
      <c r="N133" s="206"/>
    </row>
    <row r="134" spans="1:14" x14ac:dyDescent="0.2">
      <c r="A134" s="1414" t="s">
        <v>304</v>
      </c>
      <c r="B134" s="597">
        <v>4120</v>
      </c>
      <c r="C134" s="599"/>
      <c r="D134" s="599"/>
      <c r="E134" s="1838">
        <v>0</v>
      </c>
      <c r="F134" s="599"/>
      <c r="G134" s="599"/>
      <c r="H134" s="1838">
        <v>0</v>
      </c>
      <c r="I134" s="477"/>
      <c r="J134" s="599"/>
      <c r="K134" s="1576">
        <f>SUM(E134,H134)</f>
        <v>0</v>
      </c>
      <c r="L134" s="1837">
        <v>0</v>
      </c>
    </row>
    <row r="135" spans="1:14" x14ac:dyDescent="0.2">
      <c r="A135" s="1414" t="s">
        <v>697</v>
      </c>
      <c r="B135" s="597">
        <v>4140</v>
      </c>
      <c r="C135" s="599"/>
      <c r="D135" s="599"/>
      <c r="E135" s="1838">
        <v>0</v>
      </c>
      <c r="F135" s="599"/>
      <c r="G135" s="599"/>
      <c r="H135" s="1838">
        <v>0</v>
      </c>
      <c r="I135" s="477"/>
      <c r="J135" s="599"/>
      <c r="K135" s="1576">
        <f>SUM(E135,H135)</f>
        <v>0</v>
      </c>
      <c r="L135" s="1837">
        <v>0</v>
      </c>
    </row>
    <row r="136" spans="1:14" x14ac:dyDescent="0.2">
      <c r="A136" s="1418" t="s">
        <v>698</v>
      </c>
      <c r="B136" s="611">
        <v>4190</v>
      </c>
      <c r="C136" s="599"/>
      <c r="D136" s="599"/>
      <c r="E136" s="1838">
        <v>0</v>
      </c>
      <c r="F136" s="599"/>
      <c r="G136" s="599"/>
      <c r="H136" s="1838">
        <v>0</v>
      </c>
      <c r="I136" s="477"/>
      <c r="J136" s="599"/>
      <c r="K136" s="1576">
        <f>SUM(E136,H136)</f>
        <v>0</v>
      </c>
      <c r="L136" s="1837">
        <v>0</v>
      </c>
    </row>
    <row r="137" spans="1:14" ht="12.75" customHeight="1" thickBot="1" x14ac:dyDescent="0.25">
      <c r="A137" s="1572" t="s">
        <v>480</v>
      </c>
      <c r="B137" s="1582">
        <v>4100</v>
      </c>
      <c r="C137" s="599"/>
      <c r="D137" s="599"/>
      <c r="E137" s="1574">
        <f>SUM(E133:E136)</f>
        <v>0</v>
      </c>
      <c r="F137" s="599"/>
      <c r="G137" s="599"/>
      <c r="H137" s="1574">
        <f>SUM(H133:H136)</f>
        <v>0</v>
      </c>
      <c r="I137" s="477"/>
      <c r="J137" s="599"/>
      <c r="K137" s="1574">
        <f>SUM(K133:K136)</f>
        <v>0</v>
      </c>
      <c r="L137" s="1574">
        <f>SUM(L133:L136)</f>
        <v>0</v>
      </c>
    </row>
    <row r="138" spans="1:14" ht="12.75" customHeight="1" thickTop="1" thickBot="1" x14ac:dyDescent="0.25">
      <c r="A138" s="1420" t="s">
        <v>96</v>
      </c>
      <c r="B138" s="624" t="s">
        <v>931</v>
      </c>
      <c r="C138" s="599"/>
      <c r="D138" s="599"/>
      <c r="E138" s="1838">
        <v>0</v>
      </c>
      <c r="F138" s="599"/>
      <c r="G138" s="599"/>
      <c r="H138" s="1838">
        <v>0</v>
      </c>
      <c r="I138" s="477"/>
      <c r="J138" s="599"/>
      <c r="K138" s="1576">
        <f>SUM(E138,H138)</f>
        <v>0</v>
      </c>
      <c r="L138" s="1837">
        <v>0</v>
      </c>
    </row>
    <row r="139" spans="1:14" ht="12.75" customHeight="1" thickTop="1" thickBot="1" x14ac:dyDescent="0.25">
      <c r="A139" s="1572" t="s">
        <v>1485</v>
      </c>
      <c r="B139" s="1582">
        <v>4000</v>
      </c>
      <c r="C139" s="599"/>
      <c r="D139" s="599"/>
      <c r="E139" s="1574">
        <f>SUM(E137,E138)</f>
        <v>0</v>
      </c>
      <c r="F139" s="599"/>
      <c r="G139" s="599"/>
      <c r="H139" s="1583">
        <f>SUM(H137:H138)</f>
        <v>0</v>
      </c>
      <c r="I139" s="477"/>
      <c r="J139" s="599"/>
      <c r="K139" s="1576">
        <f>SUM(K137,K138)</f>
        <v>0</v>
      </c>
      <c r="L139" s="1583">
        <f>SUM(L137,L138)</f>
        <v>0</v>
      </c>
    </row>
    <row r="140" spans="1:14" ht="15.75" customHeight="1" thickTop="1" x14ac:dyDescent="0.2">
      <c r="A140" s="1522" t="s">
        <v>1037</v>
      </c>
      <c r="B140" s="1523"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38">
        <v>0</v>
      </c>
      <c r="I142" s="468"/>
      <c r="J142" s="599"/>
      <c r="K142" s="1576">
        <f>SUM(H142)</f>
        <v>0</v>
      </c>
      <c r="L142" s="1837">
        <v>0</v>
      </c>
    </row>
    <row r="143" spans="1:14" x14ac:dyDescent="0.2">
      <c r="A143" s="1414" t="s">
        <v>88</v>
      </c>
      <c r="B143" s="597">
        <v>5120</v>
      </c>
      <c r="C143" s="599"/>
      <c r="D143" s="599"/>
      <c r="E143" s="599"/>
      <c r="F143" s="599"/>
      <c r="G143" s="599"/>
      <c r="H143" s="1838">
        <v>0</v>
      </c>
      <c r="I143" s="468"/>
      <c r="J143" s="599"/>
      <c r="K143" s="1576">
        <f>SUM(H143)</f>
        <v>0</v>
      </c>
      <c r="L143" s="1838">
        <v>0</v>
      </c>
    </row>
    <row r="144" spans="1:14" ht="12.75" customHeight="1" x14ac:dyDescent="0.2">
      <c r="A144" s="1414" t="s">
        <v>1170</v>
      </c>
      <c r="B144" s="611" t="s">
        <v>617</v>
      </c>
      <c r="C144" s="599"/>
      <c r="D144" s="599"/>
      <c r="E144" s="599"/>
      <c r="F144" s="599"/>
      <c r="G144" s="599"/>
      <c r="H144" s="1838">
        <v>0</v>
      </c>
      <c r="I144" s="468"/>
      <c r="J144" s="599"/>
      <c r="K144" s="1576">
        <f>SUM(H144)</f>
        <v>0</v>
      </c>
      <c r="L144" s="1838">
        <v>0</v>
      </c>
    </row>
    <row r="145" spans="1:14" x14ac:dyDescent="0.2">
      <c r="A145" s="1414" t="s">
        <v>89</v>
      </c>
      <c r="B145" s="597" t="s">
        <v>589</v>
      </c>
      <c r="C145" s="599"/>
      <c r="D145" s="599"/>
      <c r="E145" s="599"/>
      <c r="F145" s="599"/>
      <c r="G145" s="599"/>
      <c r="H145" s="1838">
        <v>0</v>
      </c>
      <c r="I145" s="468"/>
      <c r="J145" s="599"/>
      <c r="K145" s="1576">
        <f>SUM(H145)</f>
        <v>0</v>
      </c>
      <c r="L145" s="1838">
        <v>0</v>
      </c>
    </row>
    <row r="146" spans="1:14" ht="12.75" customHeight="1" x14ac:dyDescent="0.2">
      <c r="A146" s="1414" t="s">
        <v>619</v>
      </c>
      <c r="B146" s="597" t="s">
        <v>618</v>
      </c>
      <c r="C146" s="599"/>
      <c r="D146" s="599"/>
      <c r="E146" s="599"/>
      <c r="F146" s="599"/>
      <c r="G146" s="599"/>
      <c r="H146" s="1838">
        <v>0</v>
      </c>
      <c r="I146" s="468"/>
      <c r="J146" s="599"/>
      <c r="K146" s="1576">
        <f>SUM(H146)</f>
        <v>0</v>
      </c>
      <c r="L146" s="1838">
        <v>0</v>
      </c>
    </row>
    <row r="147" spans="1:14" ht="12.75" customHeight="1" thickBot="1" x14ac:dyDescent="0.25">
      <c r="A147" s="1425" t="s">
        <v>626</v>
      </c>
      <c r="B147" s="639" t="s">
        <v>718</v>
      </c>
      <c r="C147" s="599"/>
      <c r="D147" s="599"/>
      <c r="E147" s="599"/>
      <c r="F147" s="599"/>
      <c r="G147" s="599"/>
      <c r="H147" s="1592">
        <f>SUM(H142:H146)</f>
        <v>0</v>
      </c>
      <c r="I147" s="468"/>
      <c r="J147" s="599"/>
      <c r="K147" s="1574">
        <f>SUM(K142:K146)</f>
        <v>0</v>
      </c>
      <c r="L147" s="1592">
        <f>SUM(L142:L146)</f>
        <v>0</v>
      </c>
    </row>
    <row r="148" spans="1:14" ht="15.75" customHeight="1" thickTop="1" x14ac:dyDescent="0.2">
      <c r="A148" s="640" t="s">
        <v>1103</v>
      </c>
      <c r="B148" s="641" t="s">
        <v>38</v>
      </c>
      <c r="C148" s="599"/>
      <c r="D148" s="599"/>
      <c r="E148" s="599"/>
      <c r="F148" s="599"/>
      <c r="G148" s="599"/>
      <c r="H148" s="1838">
        <v>0</v>
      </c>
      <c r="I148" s="468"/>
      <c r="J148" s="599"/>
      <c r="K148" s="1576">
        <f>SUM(H148)</f>
        <v>0</v>
      </c>
      <c r="L148" s="1860">
        <v>0</v>
      </c>
    </row>
    <row r="149" spans="1:14" ht="12.75" customHeight="1" thickBot="1" x14ac:dyDescent="0.25">
      <c r="A149" s="1417" t="s">
        <v>638</v>
      </c>
      <c r="B149" s="600" t="s">
        <v>492</v>
      </c>
      <c r="C149" s="599"/>
      <c r="D149" s="599"/>
      <c r="E149" s="599"/>
      <c r="F149" s="599"/>
      <c r="G149" s="599"/>
      <c r="H149" s="1574">
        <f>SUM(H147,H148)</f>
        <v>0</v>
      </c>
      <c r="I149" s="468"/>
      <c r="J149" s="599"/>
      <c r="K149" s="1574">
        <f>SUM(K147:K148)</f>
        <v>0</v>
      </c>
      <c r="L149" s="1574">
        <f>SUM(L142:L146,L148)</f>
        <v>0</v>
      </c>
    </row>
    <row r="150" spans="1:14" ht="15.75" customHeight="1" thickTop="1" thickBot="1" x14ac:dyDescent="0.25">
      <c r="A150" s="1516" t="s">
        <v>1038</v>
      </c>
      <c r="B150" s="1523" t="s">
        <v>861</v>
      </c>
      <c r="C150" s="599"/>
      <c r="D150" s="599"/>
      <c r="E150" s="599"/>
      <c r="F150" s="599"/>
      <c r="G150" s="599"/>
      <c r="H150" s="642"/>
      <c r="I150" s="521"/>
      <c r="J150" s="599"/>
      <c r="K150" s="606"/>
      <c r="L150" s="1859">
        <v>0</v>
      </c>
    </row>
    <row r="151" spans="1:14" ht="12.75" customHeight="1" thickTop="1" thickBot="1" x14ac:dyDescent="0.25">
      <c r="A151" s="2171" t="s">
        <v>620</v>
      </c>
      <c r="B151" s="2153"/>
      <c r="C151" s="1574">
        <f>SUM(C129,C130,C139,C149,C150)</f>
        <v>111342</v>
      </c>
      <c r="D151" s="1574">
        <f t="shared" ref="D151:K151" si="16">SUM(D129,D130,D139,D149,D150)</f>
        <v>18023</v>
      </c>
      <c r="E151" s="1574">
        <f t="shared" si="16"/>
        <v>1083100</v>
      </c>
      <c r="F151" s="1574">
        <f t="shared" si="16"/>
        <v>173744</v>
      </c>
      <c r="G151" s="1574">
        <f t="shared" si="16"/>
        <v>77108</v>
      </c>
      <c r="H151" s="1574">
        <f t="shared" si="16"/>
        <v>0</v>
      </c>
      <c r="I151" s="1574">
        <f t="shared" si="16"/>
        <v>0</v>
      </c>
      <c r="J151" s="1574">
        <f t="shared" si="16"/>
        <v>0</v>
      </c>
      <c r="K151" s="1574">
        <f t="shared" si="16"/>
        <v>1463317</v>
      </c>
      <c r="L151" s="1574">
        <f>SUM(L129,L130,L139,L149,L150)</f>
        <v>1732056</v>
      </c>
    </row>
    <row r="152" spans="1:14" ht="12.75" customHeight="1" thickTop="1" x14ac:dyDescent="0.2">
      <c r="A152" s="2174" t="s">
        <v>1178</v>
      </c>
      <c r="B152" s="2175"/>
      <c r="C152" s="601"/>
      <c r="D152" s="601"/>
      <c r="E152" s="601"/>
      <c r="F152" s="601"/>
      <c r="G152" s="601"/>
      <c r="H152" s="601"/>
      <c r="I152" s="601"/>
      <c r="J152" s="599"/>
      <c r="K152" s="1588">
        <f>'Revenues 9-14'!D268-'Expenditures 15-22'!K151</f>
        <v>-34837</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9" t="s">
        <v>621</v>
      </c>
      <c r="B154" s="2161"/>
      <c r="C154" s="1536"/>
      <c r="D154" s="1537"/>
      <c r="E154" s="1537"/>
      <c r="F154" s="1537"/>
      <c r="G154" s="1537"/>
      <c r="H154" s="1537"/>
      <c r="I154" s="1537"/>
      <c r="J154" s="1537"/>
      <c r="K154" s="1537"/>
      <c r="L154" s="1538"/>
      <c r="M154" s="647"/>
      <c r="N154" s="647"/>
    </row>
    <row r="155" spans="1:14" s="603" customFormat="1" ht="15.75" customHeight="1" thickBot="1" x14ac:dyDescent="0.25">
      <c r="A155" s="1527" t="s">
        <v>81</v>
      </c>
      <c r="B155" s="1528" t="s">
        <v>860</v>
      </c>
      <c r="C155" s="599"/>
      <c r="D155" s="599"/>
      <c r="E155" s="599"/>
      <c r="F155" s="599"/>
      <c r="G155" s="599"/>
      <c r="H155" s="1745"/>
      <c r="I155" s="599"/>
      <c r="J155" s="599"/>
      <c r="K155" s="1729"/>
      <c r="L155" s="1745"/>
      <c r="M155" s="602"/>
      <c r="N155" s="602"/>
    </row>
    <row r="156" spans="1:14" s="603" customFormat="1" ht="15.75" customHeight="1" thickTop="1" x14ac:dyDescent="0.2">
      <c r="A156" s="1726" t="s">
        <v>1820</v>
      </c>
      <c r="B156" s="1727"/>
      <c r="C156" s="599"/>
      <c r="D156" s="599"/>
      <c r="E156" s="599"/>
      <c r="F156" s="599"/>
      <c r="G156" s="599"/>
      <c r="H156" s="1746"/>
      <c r="I156" s="599"/>
      <c r="J156" s="599"/>
      <c r="K156" s="1728"/>
      <c r="L156" s="1746"/>
      <c r="M156" s="602"/>
      <c r="N156" s="602"/>
    </row>
    <row r="157" spans="1:14" s="603" customFormat="1" thickBot="1" x14ac:dyDescent="0.25">
      <c r="A157" s="1730" t="s">
        <v>496</v>
      </c>
      <c r="B157" s="1731" t="s">
        <v>1819</v>
      </c>
      <c r="C157" s="599"/>
      <c r="D157" s="599"/>
      <c r="E157" s="599"/>
      <c r="F157" s="599"/>
      <c r="G157" s="599"/>
      <c r="H157" s="1838">
        <v>0</v>
      </c>
      <c r="I157" s="599"/>
      <c r="J157" s="599"/>
      <c r="K157" s="1575">
        <f>H157</f>
        <v>0</v>
      </c>
      <c r="L157" s="1859">
        <v>0</v>
      </c>
      <c r="M157" s="602"/>
      <c r="N157" s="602"/>
    </row>
    <row r="158" spans="1:14" s="603" customFormat="1" ht="13.5" thickTop="1" thickBot="1" x14ac:dyDescent="0.25">
      <c r="A158" s="1730" t="s">
        <v>304</v>
      </c>
      <c r="B158" s="1731" t="s">
        <v>1821</v>
      </c>
      <c r="C158" s="599"/>
      <c r="D158" s="599"/>
      <c r="E158" s="599"/>
      <c r="F158" s="599"/>
      <c r="G158" s="599"/>
      <c r="H158" s="1838">
        <v>0</v>
      </c>
      <c r="I158" s="599"/>
      <c r="J158" s="599"/>
      <c r="K158" s="1575">
        <f>H158</f>
        <v>0</v>
      </c>
      <c r="L158" s="1859">
        <v>0</v>
      </c>
      <c r="M158" s="602"/>
      <c r="N158" s="602"/>
    </row>
    <row r="159" spans="1:14" s="603" customFormat="1" ht="13.5" thickTop="1" thickBot="1" x14ac:dyDescent="0.25">
      <c r="A159" s="1730" t="s">
        <v>1822</v>
      </c>
      <c r="B159" s="1731" t="s">
        <v>558</v>
      </c>
      <c r="C159" s="599"/>
      <c r="D159" s="599"/>
      <c r="E159" s="599"/>
      <c r="F159" s="599"/>
      <c r="G159" s="599"/>
      <c r="H159" s="1838">
        <v>0</v>
      </c>
      <c r="I159" s="599"/>
      <c r="J159" s="599"/>
      <c r="K159" s="1575">
        <f>H159</f>
        <v>0</v>
      </c>
      <c r="L159" s="1859">
        <v>0</v>
      </c>
      <c r="M159" s="602"/>
      <c r="N159" s="602"/>
    </row>
    <row r="160" spans="1:14" s="603" customFormat="1" ht="15.75" customHeight="1" thickTop="1" thickBot="1" x14ac:dyDescent="0.25">
      <c r="A160" s="1732" t="s">
        <v>1823</v>
      </c>
      <c r="B160" s="1733" t="s">
        <v>860</v>
      </c>
      <c r="C160" s="599"/>
      <c r="D160" s="599"/>
      <c r="E160" s="599"/>
      <c r="F160" s="599"/>
      <c r="G160" s="599"/>
      <c r="H160" s="1592">
        <f>SUM(H157:H159)</f>
        <v>0</v>
      </c>
      <c r="I160" s="599"/>
      <c r="J160" s="599"/>
      <c r="K160" s="1574">
        <f>SUM(K157:K159)</f>
        <v>0</v>
      </c>
      <c r="L160" s="1592">
        <f>SUM(L157:L159)</f>
        <v>0</v>
      </c>
      <c r="M160" s="602"/>
      <c r="N160" s="602"/>
    </row>
    <row r="161" spans="1:14" s="259" customFormat="1" ht="15.75" customHeight="1" thickTop="1" x14ac:dyDescent="0.2">
      <c r="A161" s="1522" t="s">
        <v>82</v>
      </c>
      <c r="B161" s="1523"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38">
        <v>0</v>
      </c>
      <c r="I163" s="599"/>
      <c r="J163" s="599"/>
      <c r="K163" s="1575">
        <f>SUM(C163:J163)</f>
        <v>0</v>
      </c>
      <c r="L163" s="1838">
        <v>0</v>
      </c>
    </row>
    <row r="164" spans="1:14" x14ac:dyDescent="0.2">
      <c r="A164" s="1414" t="s">
        <v>88</v>
      </c>
      <c r="B164" s="597">
        <v>5120</v>
      </c>
      <c r="C164" s="599"/>
      <c r="D164" s="599"/>
      <c r="E164" s="599"/>
      <c r="F164" s="599"/>
      <c r="G164" s="599"/>
      <c r="H164" s="1838">
        <v>0</v>
      </c>
      <c r="I164" s="599"/>
      <c r="J164" s="599"/>
      <c r="K164" s="1575">
        <f>SUM(C164:J164)</f>
        <v>0</v>
      </c>
      <c r="L164" s="1838">
        <v>0</v>
      </c>
    </row>
    <row r="165" spans="1:14" ht="12.75" customHeight="1" x14ac:dyDescent="0.2">
      <c r="A165" s="1414" t="s">
        <v>1170</v>
      </c>
      <c r="B165" s="597" t="s">
        <v>617</v>
      </c>
      <c r="C165" s="599"/>
      <c r="D165" s="599"/>
      <c r="E165" s="599"/>
      <c r="F165" s="599"/>
      <c r="G165" s="599"/>
      <c r="H165" s="1838">
        <v>0</v>
      </c>
      <c r="I165" s="599"/>
      <c r="J165" s="599"/>
      <c r="K165" s="1575">
        <f>SUM(C165:J165)</f>
        <v>0</v>
      </c>
      <c r="L165" s="1838">
        <v>0</v>
      </c>
    </row>
    <row r="166" spans="1:14" x14ac:dyDescent="0.2">
      <c r="A166" s="1414" t="s">
        <v>89</v>
      </c>
      <c r="B166" s="611" t="s">
        <v>589</v>
      </c>
      <c r="C166" s="599"/>
      <c r="D166" s="599"/>
      <c r="E166" s="599"/>
      <c r="F166" s="599"/>
      <c r="G166" s="599"/>
      <c r="H166" s="1838">
        <v>0</v>
      </c>
      <c r="I166" s="599"/>
      <c r="J166" s="599"/>
      <c r="K166" s="1575">
        <f>SUM(C166:J166)</f>
        <v>0</v>
      </c>
      <c r="L166" s="1838">
        <v>0</v>
      </c>
    </row>
    <row r="167" spans="1:14" ht="12.75" customHeight="1" x14ac:dyDescent="0.2">
      <c r="A167" s="1414" t="s">
        <v>619</v>
      </c>
      <c r="B167" s="597" t="s">
        <v>618</v>
      </c>
      <c r="C167" s="599"/>
      <c r="D167" s="599"/>
      <c r="E167" s="599"/>
      <c r="F167" s="599"/>
      <c r="G167" s="599"/>
      <c r="H167" s="1838">
        <v>0</v>
      </c>
      <c r="I167" s="599"/>
      <c r="J167" s="599"/>
      <c r="K167" s="1575">
        <f>SUM(C167:J167)</f>
        <v>0</v>
      </c>
      <c r="L167" s="1838">
        <v>0</v>
      </c>
    </row>
    <row r="168" spans="1:14" ht="13.5" thickBot="1" x14ac:dyDescent="0.25">
      <c r="A168" s="1572" t="s">
        <v>276</v>
      </c>
      <c r="B168" s="1579" t="s">
        <v>718</v>
      </c>
      <c r="C168" s="599"/>
      <c r="D168" s="599"/>
      <c r="E168" s="599"/>
      <c r="F168" s="599"/>
      <c r="G168" s="599"/>
      <c r="H168" s="1574">
        <f>SUM(H163:H167)</f>
        <v>0</v>
      </c>
      <c r="I168" s="599"/>
      <c r="J168" s="599"/>
      <c r="K168" s="1574">
        <f>SUM(K163:K167)</f>
        <v>0</v>
      </c>
      <c r="L168" s="1574">
        <f>SUM(L163:L167)</f>
        <v>0</v>
      </c>
    </row>
    <row r="169" spans="1:14" ht="15.75" customHeight="1" thickTop="1" x14ac:dyDescent="0.2">
      <c r="A169" s="649" t="s">
        <v>83</v>
      </c>
      <c r="B169" s="650" t="s">
        <v>38</v>
      </c>
      <c r="C169" s="599"/>
      <c r="D169" s="599"/>
      <c r="E169" s="599"/>
      <c r="F169" s="599"/>
      <c r="G169" s="599"/>
      <c r="H169" s="1838">
        <v>331868</v>
      </c>
      <c r="I169" s="599"/>
      <c r="J169" s="599"/>
      <c r="K169" s="1575">
        <f>SUM(C169:H169)</f>
        <v>331868</v>
      </c>
      <c r="L169" s="1861">
        <v>233760</v>
      </c>
    </row>
    <row r="170" spans="1:14" ht="33.75" customHeight="1" x14ac:dyDescent="0.2">
      <c r="A170" s="649" t="s">
        <v>1664</v>
      </c>
      <c r="B170" s="651" t="s">
        <v>31</v>
      </c>
      <c r="C170" s="599"/>
      <c r="D170" s="599"/>
      <c r="E170" s="599"/>
      <c r="F170" s="599"/>
      <c r="G170" s="599"/>
      <c r="H170" s="1838">
        <v>1878890</v>
      </c>
      <c r="I170" s="599"/>
      <c r="J170" s="599"/>
      <c r="K170" s="1575">
        <f>SUM(C170:J170)</f>
        <v>1878890</v>
      </c>
      <c r="L170" s="1837">
        <v>2162550</v>
      </c>
    </row>
    <row r="171" spans="1:14" ht="15.75" customHeight="1" x14ac:dyDescent="0.2">
      <c r="A171" s="604" t="s">
        <v>766</v>
      </c>
      <c r="B171" s="652" t="s">
        <v>84</v>
      </c>
      <c r="C171" s="599"/>
      <c r="D171" s="599"/>
      <c r="E171" s="1838">
        <v>2450</v>
      </c>
      <c r="F171" s="599"/>
      <c r="G171" s="599"/>
      <c r="H171" s="1838">
        <v>0</v>
      </c>
      <c r="I171" s="477"/>
      <c r="J171" s="599"/>
      <c r="K171" s="1575">
        <f>SUM(C171:J171)</f>
        <v>2450</v>
      </c>
      <c r="L171" s="1837">
        <v>477246</v>
      </c>
    </row>
    <row r="172" spans="1:14" ht="12.75" customHeight="1" thickBot="1" x14ac:dyDescent="0.25">
      <c r="A172" s="1572" t="s">
        <v>638</v>
      </c>
      <c r="B172" s="1573" t="s">
        <v>492</v>
      </c>
      <c r="C172" s="599"/>
      <c r="D172" s="599"/>
      <c r="E172" s="1581">
        <f>SUM(E168,E169,E170,E171)</f>
        <v>2450</v>
      </c>
      <c r="F172" s="599"/>
      <c r="G172" s="599"/>
      <c r="H172" s="1581">
        <f>SUM(H168,H169,H170,H171)</f>
        <v>2210758</v>
      </c>
      <c r="I172" s="620"/>
      <c r="J172" s="599"/>
      <c r="K172" s="1581">
        <f>SUM(K168,K169,K170,K171)</f>
        <v>2213208</v>
      </c>
      <c r="L172" s="1581">
        <f>SUM(L168,L169,L170,L171)</f>
        <v>2873556</v>
      </c>
    </row>
    <row r="173" spans="1:14" ht="15.75" customHeight="1" thickTop="1" thickBot="1" x14ac:dyDescent="0.25">
      <c r="A173" s="1529" t="s">
        <v>85</v>
      </c>
      <c r="B173" s="1521" t="s">
        <v>861</v>
      </c>
      <c r="C173" s="599"/>
      <c r="D173" s="599"/>
      <c r="E173" s="606"/>
      <c r="F173" s="599"/>
      <c r="G173" s="599"/>
      <c r="H173" s="609"/>
      <c r="I173" s="620"/>
      <c r="J173" s="599"/>
      <c r="K173" s="606"/>
      <c r="L173" s="1857">
        <v>0</v>
      </c>
    </row>
    <row r="174" spans="1:14" ht="12.75" customHeight="1" thickTop="1" thickBot="1" x14ac:dyDescent="0.25">
      <c r="A174" s="1593" t="s">
        <v>90</v>
      </c>
      <c r="B174" s="1594"/>
      <c r="C174" s="599"/>
      <c r="D174" s="599"/>
      <c r="E174" s="1581">
        <f>SUM(E172,E173)</f>
        <v>2450</v>
      </c>
      <c r="F174" s="599"/>
      <c r="G174" s="599"/>
      <c r="H174" s="1581">
        <f>SUM(H160,H172,H173)</f>
        <v>2210758</v>
      </c>
      <c r="I174" s="620"/>
      <c r="J174" s="599"/>
      <c r="K174" s="1581">
        <f>SUM(K160,K172,K173)</f>
        <v>2213208</v>
      </c>
      <c r="L174" s="1581">
        <f>SUM(L160,L172,L173)</f>
        <v>2873556</v>
      </c>
    </row>
    <row r="175" spans="1:14" ht="13.5" thickTop="1" x14ac:dyDescent="0.2">
      <c r="A175" s="2181" t="s">
        <v>996</v>
      </c>
      <c r="B175" s="2182"/>
      <c r="C175" s="599"/>
      <c r="D175" s="599"/>
      <c r="E175" s="599"/>
      <c r="F175" s="599"/>
      <c r="G175" s="599"/>
      <c r="H175" s="601"/>
      <c r="I175" s="599"/>
      <c r="J175" s="599"/>
      <c r="K175" s="1588">
        <f>'Revenues 9-14'!E268-'Expenditures 15-22'!K174</f>
        <v>-492999</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4" t="s">
        <v>937</v>
      </c>
      <c r="B177" s="1465"/>
      <c r="C177" s="1461"/>
      <c r="D177" s="1462"/>
      <c r="E177" s="1462"/>
      <c r="F177" s="1462"/>
      <c r="G177" s="1462"/>
      <c r="H177" s="1462"/>
      <c r="I177" s="1462"/>
      <c r="J177" s="1462"/>
      <c r="K177" s="1462"/>
      <c r="L177" s="1463"/>
      <c r="M177" s="592"/>
      <c r="N177" s="592"/>
    </row>
    <row r="178" spans="1:14" s="654" customFormat="1" ht="15.75" customHeight="1" x14ac:dyDescent="0.2">
      <c r="A178" s="1530" t="s">
        <v>938</v>
      </c>
      <c r="B178" s="1531"/>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2034</v>
      </c>
      <c r="B180" s="597" t="s">
        <v>716</v>
      </c>
      <c r="C180" s="1838">
        <v>0</v>
      </c>
      <c r="D180" s="1838">
        <v>0</v>
      </c>
      <c r="E180" s="1838">
        <v>0</v>
      </c>
      <c r="F180" s="1838">
        <v>0</v>
      </c>
      <c r="G180" s="1838">
        <v>0</v>
      </c>
      <c r="H180" s="1838">
        <v>0</v>
      </c>
      <c r="I180" s="1838">
        <v>0</v>
      </c>
      <c r="J180" s="1838">
        <v>0</v>
      </c>
      <c r="K180" s="1575">
        <f>SUM(C180:J180)</f>
        <v>0</v>
      </c>
      <c r="L180" s="1838">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38">
        <v>31047</v>
      </c>
      <c r="D182" s="1838">
        <v>372</v>
      </c>
      <c r="E182" s="1838">
        <v>637089</v>
      </c>
      <c r="F182" s="1838">
        <v>0</v>
      </c>
      <c r="G182" s="1838">
        <v>0</v>
      </c>
      <c r="H182" s="1838">
        <v>0</v>
      </c>
      <c r="I182" s="1838">
        <v>0</v>
      </c>
      <c r="J182" s="1838">
        <v>0</v>
      </c>
      <c r="K182" s="1575">
        <f>SUM(C182:J182)</f>
        <v>668508</v>
      </c>
      <c r="L182" s="1838">
        <v>778125</v>
      </c>
    </row>
    <row r="183" spans="1:14" ht="12.75" customHeight="1" thickBot="1" x14ac:dyDescent="0.25">
      <c r="A183" s="1419" t="s">
        <v>980</v>
      </c>
      <c r="B183" s="657">
        <v>2900</v>
      </c>
      <c r="C183" s="1838">
        <v>0</v>
      </c>
      <c r="D183" s="1838">
        <v>0</v>
      </c>
      <c r="E183" s="1838">
        <v>0</v>
      </c>
      <c r="F183" s="1838">
        <v>0</v>
      </c>
      <c r="G183" s="1838">
        <v>0</v>
      </c>
      <c r="H183" s="1838">
        <v>0</v>
      </c>
      <c r="I183" s="1838">
        <v>0</v>
      </c>
      <c r="J183" s="1838">
        <v>0</v>
      </c>
      <c r="K183" s="1581">
        <f>SUM(C183:J183)</f>
        <v>0</v>
      </c>
      <c r="L183" s="1838">
        <v>0</v>
      </c>
    </row>
    <row r="184" spans="1:14" ht="12.75" customHeight="1" thickTop="1" thickBot="1" x14ac:dyDescent="0.25">
      <c r="A184" s="1595" t="s">
        <v>811</v>
      </c>
      <c r="B184" s="1573" t="s">
        <v>569</v>
      </c>
      <c r="C184" s="1581">
        <f>SUM(C180,C182,C183)</f>
        <v>31047</v>
      </c>
      <c r="D184" s="1581">
        <f t="shared" ref="D184:J184" si="17">SUM(D180,D182,D183)</f>
        <v>372</v>
      </c>
      <c r="E184" s="1581">
        <f t="shared" si="17"/>
        <v>637089</v>
      </c>
      <c r="F184" s="1581">
        <f t="shared" si="17"/>
        <v>0</v>
      </c>
      <c r="G184" s="1581">
        <f t="shared" si="17"/>
        <v>0</v>
      </c>
      <c r="H184" s="1581">
        <f t="shared" si="17"/>
        <v>0</v>
      </c>
      <c r="I184" s="1581">
        <f t="shared" si="17"/>
        <v>0</v>
      </c>
      <c r="J184" s="1581">
        <f t="shared" si="17"/>
        <v>0</v>
      </c>
      <c r="K184" s="1581">
        <f>SUM(K180,K182,K183)</f>
        <v>668508</v>
      </c>
      <c r="L184" s="1581">
        <f>SUM(L180, L182:L183)</f>
        <v>778125</v>
      </c>
    </row>
    <row r="185" spans="1:14" ht="15.75" customHeight="1" thickTop="1" thickBot="1" x14ac:dyDescent="0.25">
      <c r="A185" s="1532" t="s">
        <v>939</v>
      </c>
      <c r="B185" s="1521">
        <v>3000</v>
      </c>
      <c r="C185" s="1838">
        <v>0</v>
      </c>
      <c r="D185" s="1838">
        <v>0</v>
      </c>
      <c r="E185" s="1838">
        <v>0</v>
      </c>
      <c r="F185" s="1838">
        <v>0</v>
      </c>
      <c r="G185" s="1838">
        <v>0</v>
      </c>
      <c r="H185" s="1838">
        <v>0</v>
      </c>
      <c r="I185" s="1838">
        <v>0</v>
      </c>
      <c r="J185" s="1838">
        <v>0</v>
      </c>
      <c r="K185" s="1574">
        <f>SUM(C185:J185)</f>
        <v>0</v>
      </c>
      <c r="L185" s="1838">
        <v>0</v>
      </c>
    </row>
    <row r="186" spans="1:14" s="654" customFormat="1" ht="15.75" customHeight="1" thickTop="1" x14ac:dyDescent="0.2">
      <c r="A186" s="1516" t="s">
        <v>91</v>
      </c>
      <c r="B186" s="1519"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38">
        <v>0</v>
      </c>
      <c r="F188" s="599"/>
      <c r="G188" s="599"/>
      <c r="H188" s="1838">
        <v>0</v>
      </c>
      <c r="I188" s="477"/>
      <c r="J188" s="599"/>
      <c r="K188" s="1575">
        <f t="shared" ref="K188:K193" si="18">SUM(E188,H188)</f>
        <v>0</v>
      </c>
      <c r="L188" s="1838">
        <v>0</v>
      </c>
    </row>
    <row r="189" spans="1:14" x14ac:dyDescent="0.2">
      <c r="A189" s="1414" t="s">
        <v>304</v>
      </c>
      <c r="B189" s="597">
        <v>4120</v>
      </c>
      <c r="C189" s="599"/>
      <c r="D189" s="599"/>
      <c r="E189" s="1838">
        <v>0</v>
      </c>
      <c r="F189" s="599"/>
      <c r="G189" s="599"/>
      <c r="H189" s="1838">
        <v>0</v>
      </c>
      <c r="I189" s="477"/>
      <c r="J189" s="599"/>
      <c r="K189" s="1575">
        <f t="shared" si="18"/>
        <v>0</v>
      </c>
      <c r="L189" s="1838">
        <v>0</v>
      </c>
    </row>
    <row r="190" spans="1:14" x14ac:dyDescent="0.2">
      <c r="A190" s="1414" t="s">
        <v>305</v>
      </c>
      <c r="B190" s="611">
        <v>4130</v>
      </c>
      <c r="C190" s="599"/>
      <c r="D190" s="599"/>
      <c r="E190" s="1838">
        <v>0</v>
      </c>
      <c r="F190" s="599"/>
      <c r="G190" s="599"/>
      <c r="H190" s="1838">
        <v>0</v>
      </c>
      <c r="I190" s="477"/>
      <c r="J190" s="599"/>
      <c r="K190" s="1575">
        <f t="shared" si="18"/>
        <v>0</v>
      </c>
      <c r="L190" s="1838">
        <v>0</v>
      </c>
    </row>
    <row r="191" spans="1:14" x14ac:dyDescent="0.2">
      <c r="A191" s="1414" t="s">
        <v>697</v>
      </c>
      <c r="B191" s="597">
        <v>4140</v>
      </c>
      <c r="C191" s="599"/>
      <c r="D191" s="599"/>
      <c r="E191" s="1838">
        <v>0</v>
      </c>
      <c r="F191" s="599"/>
      <c r="G191" s="599"/>
      <c r="H191" s="1838">
        <v>0</v>
      </c>
      <c r="I191" s="477"/>
      <c r="J191" s="599"/>
      <c r="K191" s="1575">
        <f t="shared" si="18"/>
        <v>0</v>
      </c>
      <c r="L191" s="1838">
        <v>0</v>
      </c>
    </row>
    <row r="192" spans="1:14" x14ac:dyDescent="0.2">
      <c r="A192" s="1414" t="s">
        <v>86</v>
      </c>
      <c r="B192" s="597">
        <v>4170</v>
      </c>
      <c r="C192" s="599"/>
      <c r="D192" s="599"/>
      <c r="E192" s="1838">
        <v>0</v>
      </c>
      <c r="F192" s="599"/>
      <c r="G192" s="599"/>
      <c r="H192" s="1838">
        <v>0</v>
      </c>
      <c r="I192" s="477"/>
      <c r="J192" s="599"/>
      <c r="K192" s="1575">
        <f t="shared" si="18"/>
        <v>0</v>
      </c>
      <c r="L192" s="1838">
        <v>0</v>
      </c>
    </row>
    <row r="193" spans="1:14" x14ac:dyDescent="0.2">
      <c r="A193" s="1418" t="s">
        <v>698</v>
      </c>
      <c r="B193" s="611">
        <v>4190</v>
      </c>
      <c r="C193" s="599"/>
      <c r="D193" s="599"/>
      <c r="E193" s="1838">
        <v>0</v>
      </c>
      <c r="F193" s="599"/>
      <c r="G193" s="599"/>
      <c r="H193" s="1838">
        <v>0</v>
      </c>
      <c r="I193" s="477"/>
      <c r="J193" s="599"/>
      <c r="K193" s="1575">
        <f t="shared" si="18"/>
        <v>0</v>
      </c>
      <c r="L193" s="1838">
        <v>0</v>
      </c>
    </row>
    <row r="194" spans="1:14" ht="12.75" customHeight="1" thickBot="1" x14ac:dyDescent="0.25">
      <c r="A194" s="1572" t="s">
        <v>1140</v>
      </c>
      <c r="B194" s="1573" t="s">
        <v>559</v>
      </c>
      <c r="C194" s="599"/>
      <c r="D194" s="599"/>
      <c r="E194" s="1574">
        <f>SUM(E188:E193)</f>
        <v>0</v>
      </c>
      <c r="F194" s="599"/>
      <c r="G194" s="599"/>
      <c r="H194" s="1574">
        <f>SUM(H188:H193)</f>
        <v>0</v>
      </c>
      <c r="I194" s="477"/>
      <c r="J194" s="599"/>
      <c r="K194" s="1574">
        <f>SUM(K188:K193)</f>
        <v>0</v>
      </c>
      <c r="L194" s="1574">
        <f>SUM(L188:L193)</f>
        <v>0</v>
      </c>
    </row>
    <row r="195" spans="1:14" ht="15.75" customHeight="1" thickTop="1" x14ac:dyDescent="0.2">
      <c r="A195" s="649" t="s">
        <v>92</v>
      </c>
      <c r="B195" s="658" t="s">
        <v>931</v>
      </c>
      <c r="C195" s="599"/>
      <c r="D195" s="599"/>
      <c r="E195" s="1838">
        <v>0</v>
      </c>
      <c r="F195" s="599"/>
      <c r="G195" s="599"/>
      <c r="H195" s="1838">
        <v>0</v>
      </c>
      <c r="I195" s="477"/>
      <c r="J195" s="599"/>
      <c r="K195" s="1589">
        <f>SUM(E195,H195)</f>
        <v>0</v>
      </c>
      <c r="L195" s="1838">
        <v>0</v>
      </c>
    </row>
    <row r="196" spans="1:14" ht="12.75" customHeight="1" thickBot="1" x14ac:dyDescent="0.25">
      <c r="A196" s="1572" t="s">
        <v>1485</v>
      </c>
      <c r="B196" s="1573" t="s">
        <v>860</v>
      </c>
      <c r="C196" s="599"/>
      <c r="D196" s="599"/>
      <c r="E196" s="1581">
        <f>SUM(E194,E195)</f>
        <v>0</v>
      </c>
      <c r="F196" s="599"/>
      <c r="G196" s="599"/>
      <c r="H196" s="1581">
        <f>SUM(H194,H195)</f>
        <v>0</v>
      </c>
      <c r="I196" s="477"/>
      <c r="J196" s="599"/>
      <c r="K196" s="1581">
        <f>SUM(K194,K195)</f>
        <v>0</v>
      </c>
      <c r="L196" s="1581">
        <f>SUM(L194,L195)</f>
        <v>0</v>
      </c>
    </row>
    <row r="197" spans="1:14" s="654" customFormat="1" ht="15.75" customHeight="1" thickTop="1" x14ac:dyDescent="0.2">
      <c r="A197" s="1522" t="s">
        <v>940</v>
      </c>
      <c r="B197" s="1519"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38">
        <v>0</v>
      </c>
      <c r="I199" s="599"/>
      <c r="J199" s="599"/>
      <c r="K199" s="1575">
        <f>SUM(H199)</f>
        <v>0</v>
      </c>
      <c r="L199" s="1838">
        <v>0</v>
      </c>
    </row>
    <row r="200" spans="1:14" x14ac:dyDescent="0.2">
      <c r="A200" s="1414" t="s">
        <v>88</v>
      </c>
      <c r="B200" s="597">
        <v>5120</v>
      </c>
      <c r="C200" s="599"/>
      <c r="D200" s="599"/>
      <c r="E200" s="599"/>
      <c r="F200" s="599"/>
      <c r="G200" s="599"/>
      <c r="H200" s="1838">
        <v>0</v>
      </c>
      <c r="I200" s="599"/>
      <c r="J200" s="599"/>
      <c r="K200" s="1575">
        <f>SUM(H200)</f>
        <v>0</v>
      </c>
      <c r="L200" s="1838">
        <v>0</v>
      </c>
    </row>
    <row r="201" spans="1:14" ht="12.75" customHeight="1" x14ac:dyDescent="0.2">
      <c r="A201" s="1414" t="s">
        <v>1170</v>
      </c>
      <c r="B201" s="611" t="s">
        <v>617</v>
      </c>
      <c r="C201" s="599"/>
      <c r="D201" s="599"/>
      <c r="E201" s="599"/>
      <c r="F201" s="599"/>
      <c r="G201" s="599"/>
      <c r="H201" s="1838">
        <v>0</v>
      </c>
      <c r="I201" s="599"/>
      <c r="J201" s="599"/>
      <c r="K201" s="1575">
        <f>SUM(H201)</f>
        <v>0</v>
      </c>
      <c r="L201" s="1838">
        <v>0</v>
      </c>
    </row>
    <row r="202" spans="1:14" x14ac:dyDescent="0.2">
      <c r="A202" s="1414" t="s">
        <v>89</v>
      </c>
      <c r="B202" s="597" t="s">
        <v>589</v>
      </c>
      <c r="C202" s="599"/>
      <c r="D202" s="599"/>
      <c r="E202" s="599"/>
      <c r="F202" s="599"/>
      <c r="G202" s="599"/>
      <c r="H202" s="1838">
        <v>0</v>
      </c>
      <c r="I202" s="599"/>
      <c r="J202" s="599"/>
      <c r="K202" s="1575">
        <f>SUM(H202)</f>
        <v>0</v>
      </c>
      <c r="L202" s="1838">
        <v>0</v>
      </c>
    </row>
    <row r="203" spans="1:14" x14ac:dyDescent="0.2">
      <c r="A203" s="1426" t="s">
        <v>619</v>
      </c>
      <c r="B203" s="597" t="s">
        <v>618</v>
      </c>
      <c r="C203" s="599"/>
      <c r="D203" s="599"/>
      <c r="E203" s="599"/>
      <c r="F203" s="599"/>
      <c r="G203" s="599"/>
      <c r="H203" s="1838">
        <v>0</v>
      </c>
      <c r="I203" s="599"/>
      <c r="J203" s="599"/>
      <c r="K203" s="1575">
        <f>SUM(H203)</f>
        <v>0</v>
      </c>
      <c r="L203" s="1855">
        <v>0</v>
      </c>
    </row>
    <row r="204" spans="1:14" ht="13.5" thickBot="1" x14ac:dyDescent="0.25">
      <c r="A204" s="1572" t="s">
        <v>276</v>
      </c>
      <c r="B204" s="1573" t="s">
        <v>718</v>
      </c>
      <c r="C204" s="599"/>
      <c r="D204" s="599"/>
      <c r="E204" s="599"/>
      <c r="F204" s="599"/>
      <c r="G204" s="599"/>
      <c r="H204" s="1574">
        <f>SUM(H199:H203)</f>
        <v>0</v>
      </c>
      <c r="I204" s="599"/>
      <c r="J204" s="599"/>
      <c r="K204" s="1574">
        <f>SUM(K199:K203)</f>
        <v>0</v>
      </c>
      <c r="L204" s="1574">
        <f>SUM(L199:L203)</f>
        <v>0</v>
      </c>
    </row>
    <row r="205" spans="1:14" ht="15.75" customHeight="1" thickTop="1" x14ac:dyDescent="0.2">
      <c r="A205" s="659" t="s">
        <v>83</v>
      </c>
      <c r="B205" s="660" t="s">
        <v>38</v>
      </c>
      <c r="C205" s="599"/>
      <c r="D205" s="599"/>
      <c r="E205" s="599"/>
      <c r="F205" s="599"/>
      <c r="G205" s="599"/>
      <c r="H205" s="1838">
        <v>0</v>
      </c>
      <c r="I205" s="599"/>
      <c r="J205" s="599"/>
      <c r="K205" s="1589">
        <f>SUM(H205)</f>
        <v>0</v>
      </c>
      <c r="L205" s="1861">
        <v>0</v>
      </c>
    </row>
    <row r="206" spans="1:14" ht="30" customHeight="1" x14ac:dyDescent="0.2">
      <c r="A206" s="661" t="s">
        <v>1665</v>
      </c>
      <c r="B206" s="652" t="s">
        <v>31</v>
      </c>
      <c r="C206" s="599"/>
      <c r="D206" s="599"/>
      <c r="E206" s="599"/>
      <c r="F206" s="599"/>
      <c r="G206" s="599"/>
      <c r="H206" s="1838">
        <v>0</v>
      </c>
      <c r="I206" s="599"/>
      <c r="J206" s="599"/>
      <c r="K206" s="1575">
        <f>SUM(H206)</f>
        <v>0</v>
      </c>
      <c r="L206" s="1838">
        <v>0</v>
      </c>
    </row>
    <row r="207" spans="1:14" ht="15.75" customHeight="1" x14ac:dyDescent="0.2">
      <c r="A207" s="604" t="s">
        <v>766</v>
      </c>
      <c r="B207" s="652" t="s">
        <v>84</v>
      </c>
      <c r="C207" s="599"/>
      <c r="D207" s="599"/>
      <c r="E207" s="599"/>
      <c r="F207" s="599"/>
      <c r="G207" s="599"/>
      <c r="H207" s="1838">
        <v>0</v>
      </c>
      <c r="I207" s="599"/>
      <c r="J207" s="599"/>
      <c r="K207" s="1575">
        <f>H207</f>
        <v>0</v>
      </c>
      <c r="L207" s="1838">
        <v>0</v>
      </c>
    </row>
    <row r="208" spans="1:14" ht="12.75" customHeight="1" thickBot="1" x14ac:dyDescent="0.25">
      <c r="A208" s="1590" t="s">
        <v>638</v>
      </c>
      <c r="B208" s="1591" t="s">
        <v>492</v>
      </c>
      <c r="C208" s="599"/>
      <c r="D208" s="599"/>
      <c r="E208" s="599"/>
      <c r="F208" s="599"/>
      <c r="G208" s="599"/>
      <c r="H208" s="1581">
        <f>SUM(H204,H205,H206,H207)</f>
        <v>0</v>
      </c>
      <c r="I208" s="599"/>
      <c r="J208" s="599"/>
      <c r="K208" s="1581">
        <f>SUM(K204,K205,K206,K207)</f>
        <v>0</v>
      </c>
      <c r="L208" s="1581">
        <f>SUM(L204,L205,L206,L207)</f>
        <v>0</v>
      </c>
    </row>
    <row r="209" spans="1:14" ht="15.75" customHeight="1" thickTop="1" thickBot="1" x14ac:dyDescent="0.25">
      <c r="A209" s="1516" t="s">
        <v>872</v>
      </c>
      <c r="B209" s="1523" t="s">
        <v>861</v>
      </c>
      <c r="C209" s="606"/>
      <c r="D209" s="606"/>
      <c r="E209" s="606"/>
      <c r="F209" s="606"/>
      <c r="G209" s="606"/>
      <c r="H209" s="606"/>
      <c r="I209" s="599"/>
      <c r="J209" s="599"/>
      <c r="K209" s="606"/>
      <c r="L209" s="1857">
        <v>0</v>
      </c>
    </row>
    <row r="210" spans="1:14" ht="12.75" customHeight="1" thickTop="1" thickBot="1" x14ac:dyDescent="0.25">
      <c r="A210" s="1596" t="s">
        <v>277</v>
      </c>
      <c r="B210" s="1597"/>
      <c r="C210" s="1574">
        <f>SUM(C184,C185)</f>
        <v>31047</v>
      </c>
      <c r="D210" s="1574">
        <f>SUM(D184,D185)</f>
        <v>372</v>
      </c>
      <c r="E210" s="1574">
        <f>SUM(E184,E185,E196)</f>
        <v>637089</v>
      </c>
      <c r="F210" s="1574">
        <f>SUM(F184,F185)</f>
        <v>0</v>
      </c>
      <c r="G210" s="1574">
        <f>SUM(G184,G185)</f>
        <v>0</v>
      </c>
      <c r="H210" s="1574">
        <f>SUM(H184,H185,H196,H208,H209)</f>
        <v>0</v>
      </c>
      <c r="I210" s="1574">
        <f>SUM(I184,I185)</f>
        <v>0</v>
      </c>
      <c r="J210" s="1574">
        <f>SUM(J184,J185)</f>
        <v>0</v>
      </c>
      <c r="K210" s="1575">
        <f>SUM(K184,K185,K196,K208,K209)</f>
        <v>668508</v>
      </c>
      <c r="L210" s="1574">
        <f>SUM(L184,L185,L196,L208,L209)</f>
        <v>778125</v>
      </c>
    </row>
    <row r="211" spans="1:14" ht="13.5" thickTop="1" x14ac:dyDescent="0.2">
      <c r="A211" s="2181" t="s">
        <v>996</v>
      </c>
      <c r="B211" s="2182"/>
      <c r="C211" s="601"/>
      <c r="D211" s="601"/>
      <c r="E211" s="601"/>
      <c r="F211" s="601"/>
      <c r="G211" s="601"/>
      <c r="H211" s="601"/>
      <c r="I211" s="599"/>
      <c r="J211" s="599"/>
      <c r="K211" s="1588">
        <f>'Revenues 9-14'!F268-'Expenditures 15-22'!K210</f>
        <v>46959</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76" t="s">
        <v>965</v>
      </c>
      <c r="B213" s="2177"/>
      <c r="C213" s="1461"/>
      <c r="D213" s="1462"/>
      <c r="E213" s="1462"/>
      <c r="F213" s="1462"/>
      <c r="G213" s="1462"/>
      <c r="H213" s="1462"/>
      <c r="I213" s="1462"/>
      <c r="J213" s="1462"/>
      <c r="K213" s="1462"/>
      <c r="L213" s="1463"/>
      <c r="M213" s="592"/>
      <c r="N213" s="592"/>
    </row>
    <row r="214" spans="1:14" s="654" customFormat="1" ht="15.75" customHeight="1" x14ac:dyDescent="0.2">
      <c r="A214" s="1533" t="s">
        <v>873</v>
      </c>
      <c r="B214" s="1525" t="s">
        <v>570</v>
      </c>
      <c r="C214" s="599"/>
      <c r="D214" s="606"/>
      <c r="E214" s="599"/>
      <c r="F214" s="599"/>
      <c r="G214" s="599"/>
      <c r="H214" s="599"/>
      <c r="I214" s="599"/>
      <c r="J214" s="599"/>
      <c r="K214" s="606"/>
      <c r="L214" s="606"/>
      <c r="M214" s="645"/>
      <c r="N214" s="645"/>
    </row>
    <row r="215" spans="1:14" x14ac:dyDescent="0.2">
      <c r="A215" s="1414" t="s">
        <v>961</v>
      </c>
      <c r="B215" s="597">
        <v>1100</v>
      </c>
      <c r="C215" s="599"/>
      <c r="D215" s="1838">
        <v>35275</v>
      </c>
      <c r="E215" s="599"/>
      <c r="F215" s="599"/>
      <c r="G215" s="599"/>
      <c r="H215" s="599"/>
      <c r="I215" s="599"/>
      <c r="J215" s="599"/>
      <c r="K215" s="1575">
        <f>D215</f>
        <v>35275</v>
      </c>
      <c r="L215" s="1838">
        <v>39790</v>
      </c>
    </row>
    <row r="216" spans="1:14" x14ac:dyDescent="0.2">
      <c r="A216" s="1414" t="s">
        <v>163</v>
      </c>
      <c r="B216" s="597" t="s">
        <v>967</v>
      </c>
      <c r="C216" s="599"/>
      <c r="D216" s="1838">
        <v>0</v>
      </c>
      <c r="E216" s="599"/>
      <c r="F216" s="599"/>
      <c r="G216" s="599"/>
      <c r="H216" s="599"/>
      <c r="I216" s="599"/>
      <c r="J216" s="599"/>
      <c r="K216" s="1575">
        <f t="shared" ref="K216:K228" si="19">D216</f>
        <v>0</v>
      </c>
      <c r="L216" s="1838">
        <v>0</v>
      </c>
    </row>
    <row r="217" spans="1:14" x14ac:dyDescent="0.2">
      <c r="A217" s="1414" t="s">
        <v>164</v>
      </c>
      <c r="B217" s="597">
        <v>1200</v>
      </c>
      <c r="C217" s="599"/>
      <c r="D217" s="1838">
        <v>23769</v>
      </c>
      <c r="E217" s="599"/>
      <c r="F217" s="599"/>
      <c r="G217" s="599"/>
      <c r="H217" s="599"/>
      <c r="I217" s="599"/>
      <c r="J217" s="599"/>
      <c r="K217" s="1575">
        <f t="shared" si="19"/>
        <v>23769</v>
      </c>
      <c r="L217" s="1838">
        <v>26280</v>
      </c>
    </row>
    <row r="218" spans="1:14" x14ac:dyDescent="0.2">
      <c r="A218" s="1414" t="s">
        <v>278</v>
      </c>
      <c r="B218" s="597" t="s">
        <v>968</v>
      </c>
      <c r="C218" s="599"/>
      <c r="D218" s="1838">
        <v>959</v>
      </c>
      <c r="E218" s="599"/>
      <c r="F218" s="599"/>
      <c r="G218" s="599"/>
      <c r="H218" s="599"/>
      <c r="I218" s="599"/>
      <c r="J218" s="599"/>
      <c r="K218" s="1575">
        <f t="shared" si="19"/>
        <v>959</v>
      </c>
      <c r="L218" s="1838">
        <v>900</v>
      </c>
    </row>
    <row r="219" spans="1:14" x14ac:dyDescent="0.2">
      <c r="A219" s="1414" t="s">
        <v>279</v>
      </c>
      <c r="B219" s="597">
        <v>1250</v>
      </c>
      <c r="C219" s="599"/>
      <c r="D219" s="1838">
        <v>5136</v>
      </c>
      <c r="E219" s="599"/>
      <c r="F219" s="599"/>
      <c r="G219" s="599"/>
      <c r="H219" s="599"/>
      <c r="I219" s="599"/>
      <c r="J219" s="599"/>
      <c r="K219" s="1575">
        <f t="shared" si="19"/>
        <v>5136</v>
      </c>
      <c r="L219" s="1838">
        <v>5700</v>
      </c>
    </row>
    <row r="220" spans="1:14" x14ac:dyDescent="0.2">
      <c r="A220" s="1414" t="s">
        <v>280</v>
      </c>
      <c r="B220" s="597" t="s">
        <v>161</v>
      </c>
      <c r="C220" s="599"/>
      <c r="D220" s="1838">
        <v>0</v>
      </c>
      <c r="E220" s="599"/>
      <c r="F220" s="599"/>
      <c r="G220" s="599"/>
      <c r="H220" s="599"/>
      <c r="I220" s="599"/>
      <c r="J220" s="599"/>
      <c r="K220" s="1575">
        <f t="shared" si="19"/>
        <v>0</v>
      </c>
      <c r="L220" s="1838">
        <v>0</v>
      </c>
    </row>
    <row r="221" spans="1:14" x14ac:dyDescent="0.2">
      <c r="A221" s="1414" t="s">
        <v>962</v>
      </c>
      <c r="B221" s="597">
        <v>1300</v>
      </c>
      <c r="C221" s="599"/>
      <c r="D221" s="1838">
        <v>0</v>
      </c>
      <c r="E221" s="599"/>
      <c r="F221" s="599"/>
      <c r="G221" s="599"/>
      <c r="H221" s="599"/>
      <c r="I221" s="599"/>
      <c r="J221" s="599"/>
      <c r="K221" s="1575">
        <f t="shared" si="19"/>
        <v>0</v>
      </c>
      <c r="L221" s="1838">
        <v>0</v>
      </c>
    </row>
    <row r="222" spans="1:14" x14ac:dyDescent="0.2">
      <c r="A222" s="1414" t="s">
        <v>723</v>
      </c>
      <c r="B222" s="597">
        <v>1400</v>
      </c>
      <c r="C222" s="599"/>
      <c r="D222" s="1838">
        <v>0</v>
      </c>
      <c r="E222" s="599"/>
      <c r="F222" s="599"/>
      <c r="G222" s="599"/>
      <c r="H222" s="599"/>
      <c r="I222" s="599"/>
      <c r="J222" s="599"/>
      <c r="K222" s="1575">
        <f t="shared" si="19"/>
        <v>0</v>
      </c>
      <c r="L222" s="1838">
        <v>0</v>
      </c>
    </row>
    <row r="223" spans="1:14" x14ac:dyDescent="0.2">
      <c r="A223" s="1414" t="s">
        <v>963</v>
      </c>
      <c r="B223" s="597">
        <v>1500</v>
      </c>
      <c r="C223" s="599"/>
      <c r="D223" s="1838">
        <v>0</v>
      </c>
      <c r="E223" s="599"/>
      <c r="F223" s="599"/>
      <c r="G223" s="599"/>
      <c r="H223" s="599"/>
      <c r="I223" s="599"/>
      <c r="J223" s="599"/>
      <c r="K223" s="1575">
        <f t="shared" si="19"/>
        <v>0</v>
      </c>
      <c r="L223" s="1838">
        <v>0</v>
      </c>
    </row>
    <row r="224" spans="1:14" x14ac:dyDescent="0.2">
      <c r="A224" s="1414" t="s">
        <v>964</v>
      </c>
      <c r="B224" s="597">
        <v>1600</v>
      </c>
      <c r="C224" s="599"/>
      <c r="D224" s="1838">
        <v>138</v>
      </c>
      <c r="E224" s="599"/>
      <c r="F224" s="599"/>
      <c r="G224" s="599"/>
      <c r="H224" s="599"/>
      <c r="I224" s="599"/>
      <c r="J224" s="599"/>
      <c r="K224" s="1575">
        <f t="shared" si="19"/>
        <v>138</v>
      </c>
      <c r="L224" s="1838">
        <v>500</v>
      </c>
    </row>
    <row r="225" spans="1:12" x14ac:dyDescent="0.2">
      <c r="A225" s="1414" t="s">
        <v>987</v>
      </c>
      <c r="B225" s="597">
        <v>1650</v>
      </c>
      <c r="C225" s="599"/>
      <c r="D225" s="1838">
        <v>0</v>
      </c>
      <c r="E225" s="599"/>
      <c r="F225" s="599"/>
      <c r="G225" s="599"/>
      <c r="H225" s="599"/>
      <c r="I225" s="599"/>
      <c r="J225" s="599"/>
      <c r="K225" s="1575">
        <f t="shared" si="19"/>
        <v>0</v>
      </c>
      <c r="L225" s="1838">
        <v>0</v>
      </c>
    </row>
    <row r="226" spans="1:12" x14ac:dyDescent="0.2">
      <c r="A226" s="1414" t="s">
        <v>724</v>
      </c>
      <c r="B226" s="597" t="s">
        <v>162</v>
      </c>
      <c r="C226" s="599"/>
      <c r="D226" s="1838">
        <v>0</v>
      </c>
      <c r="E226" s="599"/>
      <c r="F226" s="599"/>
      <c r="G226" s="599"/>
      <c r="H226" s="599"/>
      <c r="I226" s="599"/>
      <c r="J226" s="599"/>
      <c r="K226" s="1575">
        <f t="shared" si="19"/>
        <v>0</v>
      </c>
      <c r="L226" s="1838">
        <v>0</v>
      </c>
    </row>
    <row r="227" spans="1:12" x14ac:dyDescent="0.2">
      <c r="A227" s="1414" t="s">
        <v>1087</v>
      </c>
      <c r="B227" s="597">
        <v>1800</v>
      </c>
      <c r="C227" s="599"/>
      <c r="D227" s="1838">
        <v>1279</v>
      </c>
      <c r="E227" s="599"/>
      <c r="F227" s="599"/>
      <c r="G227" s="599"/>
      <c r="H227" s="599"/>
      <c r="I227" s="599"/>
      <c r="J227" s="599"/>
      <c r="K227" s="1575">
        <f t="shared" si="19"/>
        <v>1279</v>
      </c>
      <c r="L227" s="1838">
        <v>1450</v>
      </c>
    </row>
    <row r="228" spans="1:12" x14ac:dyDescent="0.2">
      <c r="A228" s="1414" t="s">
        <v>1088</v>
      </c>
      <c r="B228" s="597">
        <v>1900</v>
      </c>
      <c r="C228" s="599"/>
      <c r="D228" s="1838">
        <v>0</v>
      </c>
      <c r="E228" s="599"/>
      <c r="F228" s="599"/>
      <c r="G228" s="599"/>
      <c r="H228" s="599"/>
      <c r="I228" s="599"/>
      <c r="J228" s="599"/>
      <c r="K228" s="1575">
        <f t="shared" si="19"/>
        <v>0</v>
      </c>
      <c r="L228" s="1838">
        <v>0</v>
      </c>
    </row>
    <row r="229" spans="1:12" ht="12.75" customHeight="1" thickBot="1" x14ac:dyDescent="0.25">
      <c r="A229" s="1572" t="s">
        <v>715</v>
      </c>
      <c r="B229" s="1579" t="s">
        <v>570</v>
      </c>
      <c r="C229" s="599"/>
      <c r="D229" s="1574">
        <f>SUM(D215:D228)</f>
        <v>66556</v>
      </c>
      <c r="E229" s="599"/>
      <c r="F229" s="599"/>
      <c r="G229" s="599"/>
      <c r="H229" s="599"/>
      <c r="I229" s="599"/>
      <c r="J229" s="599"/>
      <c r="K229" s="1574">
        <f>SUM(K215:K228)</f>
        <v>66556</v>
      </c>
      <c r="L229" s="1574">
        <f>SUM(L215:L228)</f>
        <v>74620</v>
      </c>
    </row>
    <row r="230" spans="1:12" ht="15.75" customHeight="1" thickTop="1" x14ac:dyDescent="0.2">
      <c r="A230" s="1522" t="s">
        <v>874</v>
      </c>
      <c r="B230" s="1523"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38">
        <v>1447</v>
      </c>
      <c r="E232" s="599"/>
      <c r="F232" s="599"/>
      <c r="G232" s="599"/>
      <c r="H232" s="599"/>
      <c r="I232" s="599"/>
      <c r="J232" s="599"/>
      <c r="K232" s="1575">
        <f t="shared" ref="K232:K237" si="20">D232</f>
        <v>1447</v>
      </c>
      <c r="L232" s="1838">
        <v>1500</v>
      </c>
    </row>
    <row r="233" spans="1:12" x14ac:dyDescent="0.2">
      <c r="A233" s="1414" t="s">
        <v>1090</v>
      </c>
      <c r="B233" s="597">
        <v>2120</v>
      </c>
      <c r="C233" s="599"/>
      <c r="D233" s="1838">
        <v>0</v>
      </c>
      <c r="E233" s="599"/>
      <c r="F233" s="599"/>
      <c r="G233" s="599"/>
      <c r="H233" s="599"/>
      <c r="I233" s="599"/>
      <c r="J233" s="599"/>
      <c r="K233" s="1575">
        <f t="shared" si="20"/>
        <v>0</v>
      </c>
      <c r="L233" s="1838">
        <v>0</v>
      </c>
    </row>
    <row r="234" spans="1:12" x14ac:dyDescent="0.2">
      <c r="A234" s="1414" t="s">
        <v>198</v>
      </c>
      <c r="B234" s="597">
        <v>2130</v>
      </c>
      <c r="C234" s="599"/>
      <c r="D234" s="1838">
        <v>6510</v>
      </c>
      <c r="E234" s="599"/>
      <c r="F234" s="599"/>
      <c r="G234" s="599"/>
      <c r="H234" s="599"/>
      <c r="I234" s="599"/>
      <c r="J234" s="599"/>
      <c r="K234" s="1575">
        <f t="shared" si="20"/>
        <v>6510</v>
      </c>
      <c r="L234" s="1838">
        <v>6800</v>
      </c>
    </row>
    <row r="235" spans="1:12" x14ac:dyDescent="0.2">
      <c r="A235" s="1414" t="s">
        <v>199</v>
      </c>
      <c r="B235" s="597">
        <v>2140</v>
      </c>
      <c r="C235" s="599"/>
      <c r="D235" s="1838">
        <v>816</v>
      </c>
      <c r="E235" s="599"/>
      <c r="F235" s="599"/>
      <c r="G235" s="599"/>
      <c r="H235" s="599"/>
      <c r="I235" s="599"/>
      <c r="J235" s="599"/>
      <c r="K235" s="1575">
        <f t="shared" si="20"/>
        <v>816</v>
      </c>
      <c r="L235" s="1838">
        <v>850</v>
      </c>
    </row>
    <row r="236" spans="1:12" x14ac:dyDescent="0.2">
      <c r="A236" s="1414" t="s">
        <v>200</v>
      </c>
      <c r="B236" s="597">
        <v>2150</v>
      </c>
      <c r="C236" s="599"/>
      <c r="D236" s="1838">
        <v>891</v>
      </c>
      <c r="E236" s="599"/>
      <c r="F236" s="599"/>
      <c r="G236" s="599"/>
      <c r="H236" s="599"/>
      <c r="I236" s="599"/>
      <c r="J236" s="599"/>
      <c r="K236" s="1575">
        <f t="shared" si="20"/>
        <v>891</v>
      </c>
      <c r="L236" s="1838">
        <v>950</v>
      </c>
    </row>
    <row r="237" spans="1:12" x14ac:dyDescent="0.2">
      <c r="A237" s="1414" t="s">
        <v>165</v>
      </c>
      <c r="B237" s="597">
        <v>2190</v>
      </c>
      <c r="C237" s="599"/>
      <c r="D237" s="1838">
        <v>0</v>
      </c>
      <c r="E237" s="599"/>
      <c r="F237" s="599"/>
      <c r="G237" s="599"/>
      <c r="H237" s="599"/>
      <c r="I237" s="599"/>
      <c r="J237" s="599"/>
      <c r="K237" s="1575">
        <f t="shared" si="20"/>
        <v>0</v>
      </c>
      <c r="L237" s="1838">
        <v>0</v>
      </c>
    </row>
    <row r="238" spans="1:12" ht="12.75" customHeight="1" thickBot="1" x14ac:dyDescent="0.25">
      <c r="A238" s="1572" t="s">
        <v>560</v>
      </c>
      <c r="B238" s="1579" t="s">
        <v>716</v>
      </c>
      <c r="C238" s="599"/>
      <c r="D238" s="1574">
        <f>SUM(D232:D237)</f>
        <v>9664</v>
      </c>
      <c r="E238" s="599"/>
      <c r="F238" s="599"/>
      <c r="G238" s="599"/>
      <c r="H238" s="599"/>
      <c r="I238" s="599"/>
      <c r="J238" s="599"/>
      <c r="K238" s="1574">
        <f>SUM(K232:K237)</f>
        <v>9664</v>
      </c>
      <c r="L238" s="1574">
        <f>SUM(L232:L237)</f>
        <v>10100</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38">
        <v>12806</v>
      </c>
      <c r="E240" s="599"/>
      <c r="F240" s="599"/>
      <c r="G240" s="599"/>
      <c r="H240" s="599"/>
      <c r="I240" s="599"/>
      <c r="J240" s="599"/>
      <c r="K240" s="1576">
        <f>D240</f>
        <v>12806</v>
      </c>
      <c r="L240" s="1837">
        <v>16400</v>
      </c>
    </row>
    <row r="241" spans="1:12" x14ac:dyDescent="0.2">
      <c r="A241" s="1414" t="s">
        <v>815</v>
      </c>
      <c r="B241" s="597">
        <v>2220</v>
      </c>
      <c r="C241" s="599"/>
      <c r="D241" s="1838">
        <v>0</v>
      </c>
      <c r="E241" s="599"/>
      <c r="F241" s="599"/>
      <c r="G241" s="599"/>
      <c r="H241" s="599"/>
      <c r="I241" s="599"/>
      <c r="J241" s="599"/>
      <c r="K241" s="1576">
        <f>D241</f>
        <v>0</v>
      </c>
      <c r="L241" s="1838">
        <v>0</v>
      </c>
    </row>
    <row r="242" spans="1:12" x14ac:dyDescent="0.2">
      <c r="A242" s="1414" t="s">
        <v>816</v>
      </c>
      <c r="B242" s="597">
        <v>2230</v>
      </c>
      <c r="C242" s="599"/>
      <c r="D242" s="1838">
        <v>0</v>
      </c>
      <c r="E242" s="599"/>
      <c r="F242" s="599"/>
      <c r="G242" s="599"/>
      <c r="H242" s="599"/>
      <c r="I242" s="599"/>
      <c r="J242" s="599"/>
      <c r="K242" s="1576">
        <f>D242</f>
        <v>0</v>
      </c>
      <c r="L242" s="1838">
        <v>0</v>
      </c>
    </row>
    <row r="243" spans="1:12" ht="12.75" customHeight="1" thickBot="1" x14ac:dyDescent="0.25">
      <c r="A243" s="1598" t="s">
        <v>561</v>
      </c>
      <c r="B243" s="1599">
        <v>2200</v>
      </c>
      <c r="C243" s="599"/>
      <c r="D243" s="1574">
        <f>SUM(D240:D242)</f>
        <v>12806</v>
      </c>
      <c r="E243" s="599"/>
      <c r="F243" s="599"/>
      <c r="G243" s="599"/>
      <c r="H243" s="599"/>
      <c r="I243" s="599"/>
      <c r="J243" s="599"/>
      <c r="K243" s="1574">
        <f>SUM(K240:K242)</f>
        <v>12806</v>
      </c>
      <c r="L243" s="1574">
        <f>SUM(L240:L242)</f>
        <v>16400</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38">
        <v>2768</v>
      </c>
      <c r="E245" s="599"/>
      <c r="F245" s="599"/>
      <c r="G245" s="599"/>
      <c r="H245" s="599"/>
      <c r="I245" s="599"/>
      <c r="J245" s="599"/>
      <c r="K245" s="1576">
        <f>D245</f>
        <v>2768</v>
      </c>
      <c r="L245" s="1837">
        <v>3150</v>
      </c>
    </row>
    <row r="246" spans="1:12" x14ac:dyDescent="0.2">
      <c r="A246" s="1414" t="s">
        <v>818</v>
      </c>
      <c r="B246" s="597">
        <v>2320</v>
      </c>
      <c r="C246" s="599"/>
      <c r="D246" s="1838">
        <v>15405</v>
      </c>
      <c r="E246" s="599"/>
      <c r="F246" s="599"/>
      <c r="G246" s="599"/>
      <c r="H246" s="599"/>
      <c r="I246" s="599"/>
      <c r="J246" s="599"/>
      <c r="K246" s="1576">
        <f t="shared" ref="K246:K256" si="21">D246</f>
        <v>15405</v>
      </c>
      <c r="L246" s="1838">
        <v>16900</v>
      </c>
    </row>
    <row r="247" spans="1:12" x14ac:dyDescent="0.2">
      <c r="A247" s="1414" t="s">
        <v>819</v>
      </c>
      <c r="B247" s="597">
        <v>2330</v>
      </c>
      <c r="C247" s="599"/>
      <c r="D247" s="1838">
        <v>7268</v>
      </c>
      <c r="E247" s="599"/>
      <c r="F247" s="599"/>
      <c r="G247" s="599"/>
      <c r="H247" s="599"/>
      <c r="I247" s="599"/>
      <c r="J247" s="599"/>
      <c r="K247" s="1576">
        <f t="shared" si="21"/>
        <v>7268</v>
      </c>
      <c r="L247" s="1838">
        <v>9000</v>
      </c>
    </row>
    <row r="248" spans="1:12" x14ac:dyDescent="0.2">
      <c r="A248" s="1415" t="s">
        <v>299</v>
      </c>
      <c r="B248" s="585" t="s">
        <v>281</v>
      </c>
      <c r="C248" s="599"/>
      <c r="D248" s="1838">
        <v>0</v>
      </c>
      <c r="E248" s="599"/>
      <c r="F248" s="599"/>
      <c r="G248" s="599"/>
      <c r="H248" s="599"/>
      <c r="I248" s="599"/>
      <c r="J248" s="599"/>
      <c r="K248" s="1576">
        <f t="shared" si="21"/>
        <v>0</v>
      </c>
      <c r="L248" s="1838">
        <v>0</v>
      </c>
    </row>
    <row r="249" spans="1:12" x14ac:dyDescent="0.2">
      <c r="A249" s="1416" t="s">
        <v>1780</v>
      </c>
      <c r="B249" s="663" t="s">
        <v>282</v>
      </c>
      <c r="C249" s="599"/>
      <c r="D249" s="1838">
        <v>0</v>
      </c>
      <c r="E249" s="599"/>
      <c r="F249" s="599"/>
      <c r="G249" s="599"/>
      <c r="H249" s="599"/>
      <c r="I249" s="599"/>
      <c r="J249" s="599"/>
      <c r="K249" s="1576">
        <f t="shared" si="21"/>
        <v>0</v>
      </c>
      <c r="L249" s="1838">
        <v>0</v>
      </c>
    </row>
    <row r="250" spans="1:12" x14ac:dyDescent="0.2">
      <c r="A250" s="1415" t="s">
        <v>1781</v>
      </c>
      <c r="B250" s="585" t="s">
        <v>283</v>
      </c>
      <c r="C250" s="599"/>
      <c r="D250" s="1838">
        <v>0</v>
      </c>
      <c r="E250" s="599"/>
      <c r="F250" s="599"/>
      <c r="G250" s="599"/>
      <c r="H250" s="599"/>
      <c r="I250" s="599"/>
      <c r="J250" s="599"/>
      <c r="K250" s="1576">
        <f t="shared" si="21"/>
        <v>0</v>
      </c>
      <c r="L250" s="1838">
        <v>0</v>
      </c>
    </row>
    <row r="251" spans="1:12" x14ac:dyDescent="0.2">
      <c r="A251" s="1415" t="s">
        <v>238</v>
      </c>
      <c r="B251" s="585" t="s">
        <v>284</v>
      </c>
      <c r="C251" s="599"/>
      <c r="D251" s="1838">
        <v>0</v>
      </c>
      <c r="E251" s="599"/>
      <c r="F251" s="599"/>
      <c r="G251" s="599"/>
      <c r="H251" s="599"/>
      <c r="I251" s="599"/>
      <c r="J251" s="599"/>
      <c r="K251" s="1576">
        <f t="shared" si="21"/>
        <v>0</v>
      </c>
      <c r="L251" s="1838">
        <v>0</v>
      </c>
    </row>
    <row r="252" spans="1:12" x14ac:dyDescent="0.2">
      <c r="A252" s="1415" t="s">
        <v>702</v>
      </c>
      <c r="B252" s="585" t="s">
        <v>285</v>
      </c>
      <c r="C252" s="599"/>
      <c r="D252" s="1838">
        <v>0</v>
      </c>
      <c r="E252" s="599"/>
      <c r="F252" s="599"/>
      <c r="G252" s="599"/>
      <c r="H252" s="599"/>
      <c r="I252" s="599"/>
      <c r="J252" s="599"/>
      <c r="K252" s="1576">
        <f t="shared" si="21"/>
        <v>0</v>
      </c>
      <c r="L252" s="1838">
        <v>0</v>
      </c>
    </row>
    <row r="253" spans="1:12" x14ac:dyDescent="0.2">
      <c r="A253" s="1415" t="s">
        <v>239</v>
      </c>
      <c r="B253" s="585" t="s">
        <v>286</v>
      </c>
      <c r="C253" s="599"/>
      <c r="D253" s="1838">
        <v>0</v>
      </c>
      <c r="E253" s="599"/>
      <c r="F253" s="599"/>
      <c r="G253" s="599"/>
      <c r="H253" s="599"/>
      <c r="I253" s="599"/>
      <c r="J253" s="599"/>
      <c r="K253" s="1576">
        <f t="shared" si="21"/>
        <v>0</v>
      </c>
      <c r="L253" s="1838">
        <v>0</v>
      </c>
    </row>
    <row r="254" spans="1:12" ht="22.5" x14ac:dyDescent="0.2">
      <c r="A254" s="1415" t="s">
        <v>1029</v>
      </c>
      <c r="B254" s="663" t="s">
        <v>287</v>
      </c>
      <c r="C254" s="599"/>
      <c r="D254" s="1838">
        <v>0</v>
      </c>
      <c r="E254" s="599"/>
      <c r="F254" s="599"/>
      <c r="G254" s="599"/>
      <c r="H254" s="599"/>
      <c r="I254" s="599"/>
      <c r="J254" s="599"/>
      <c r="K254" s="1576">
        <f t="shared" si="21"/>
        <v>0</v>
      </c>
      <c r="L254" s="1838">
        <v>0</v>
      </c>
    </row>
    <row r="255" spans="1:12" x14ac:dyDescent="0.2">
      <c r="A255" s="1415" t="s">
        <v>1030</v>
      </c>
      <c r="B255" s="585" t="s">
        <v>288</v>
      </c>
      <c r="C255" s="599"/>
      <c r="D255" s="1838">
        <v>0</v>
      </c>
      <c r="E255" s="599"/>
      <c r="F255" s="599"/>
      <c r="G255" s="599"/>
      <c r="H255" s="599"/>
      <c r="I255" s="599"/>
      <c r="J255" s="599"/>
      <c r="K255" s="1576">
        <f t="shared" si="21"/>
        <v>0</v>
      </c>
      <c r="L255" s="1838">
        <v>0</v>
      </c>
    </row>
    <row r="256" spans="1:12" x14ac:dyDescent="0.2">
      <c r="A256" s="1415" t="s">
        <v>971</v>
      </c>
      <c r="B256" s="597" t="s">
        <v>289</v>
      </c>
      <c r="C256" s="599"/>
      <c r="D256" s="1838">
        <v>0</v>
      </c>
      <c r="E256" s="599"/>
      <c r="F256" s="599"/>
      <c r="G256" s="599"/>
      <c r="H256" s="599"/>
      <c r="I256" s="599"/>
      <c r="J256" s="599"/>
      <c r="K256" s="1576">
        <f t="shared" si="21"/>
        <v>0</v>
      </c>
      <c r="L256" s="1838">
        <v>0</v>
      </c>
    </row>
    <row r="257" spans="1:14" ht="12.75" customHeight="1" thickBot="1" x14ac:dyDescent="0.25">
      <c r="A257" s="1572" t="s">
        <v>717</v>
      </c>
      <c r="B257" s="1600">
        <v>2300</v>
      </c>
      <c r="C257" s="599"/>
      <c r="D257" s="1574">
        <f>SUM(D245:D256)</f>
        <v>25441</v>
      </c>
      <c r="E257" s="599"/>
      <c r="F257" s="599"/>
      <c r="G257" s="599"/>
      <c r="H257" s="599"/>
      <c r="I257" s="599"/>
      <c r="J257" s="599"/>
      <c r="K257" s="1574">
        <f>SUM(K245:K256)</f>
        <v>25441</v>
      </c>
      <c r="L257" s="1574">
        <f>SUM(L245:L256)</f>
        <v>29050</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38">
        <v>21178</v>
      </c>
      <c r="E259" s="599"/>
      <c r="F259" s="599"/>
      <c r="G259" s="599"/>
      <c r="H259" s="599"/>
      <c r="I259" s="599"/>
      <c r="J259" s="599"/>
      <c r="K259" s="1576">
        <f>D259</f>
        <v>21178</v>
      </c>
      <c r="L259" s="1837">
        <v>27120</v>
      </c>
    </row>
    <row r="260" spans="1:14" s="580" customFormat="1" x14ac:dyDescent="0.2">
      <c r="A260" s="1432" t="s">
        <v>1779</v>
      </c>
      <c r="B260" s="611">
        <v>2490</v>
      </c>
      <c r="C260" s="599"/>
      <c r="D260" s="1838">
        <v>0</v>
      </c>
      <c r="E260" s="599"/>
      <c r="F260" s="599"/>
      <c r="G260" s="599"/>
      <c r="H260" s="599"/>
      <c r="I260" s="599"/>
      <c r="J260" s="599"/>
      <c r="K260" s="1576">
        <f>D260</f>
        <v>0</v>
      </c>
      <c r="L260" s="1838">
        <v>0</v>
      </c>
      <c r="M260" s="210"/>
      <c r="N260" s="210"/>
    </row>
    <row r="261" spans="1:14" ht="12.75" customHeight="1" thickBot="1" x14ac:dyDescent="0.25">
      <c r="A261" s="1596" t="s">
        <v>263</v>
      </c>
      <c r="B261" s="1601" t="s">
        <v>34</v>
      </c>
      <c r="C261" s="599"/>
      <c r="D261" s="1574">
        <f>SUM(D259:D260)</f>
        <v>21178</v>
      </c>
      <c r="E261" s="599"/>
      <c r="F261" s="599"/>
      <c r="G261" s="599"/>
      <c r="H261" s="599"/>
      <c r="I261" s="599"/>
      <c r="J261" s="599"/>
      <c r="K261" s="1574">
        <f>SUM(K259:K260)</f>
        <v>21178</v>
      </c>
      <c r="L261" s="1574">
        <f>SUM(L259:L260)</f>
        <v>27120</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38">
        <v>2436</v>
      </c>
      <c r="E263" s="599"/>
      <c r="F263" s="599"/>
      <c r="G263" s="599"/>
      <c r="H263" s="599"/>
      <c r="I263" s="599"/>
      <c r="J263" s="599"/>
      <c r="K263" s="1576">
        <f>D263</f>
        <v>2436</v>
      </c>
      <c r="L263" s="1837">
        <v>2800</v>
      </c>
    </row>
    <row r="264" spans="1:14" x14ac:dyDescent="0.2">
      <c r="A264" s="1414" t="s">
        <v>463</v>
      </c>
      <c r="B264" s="665">
        <v>2520</v>
      </c>
      <c r="C264" s="599"/>
      <c r="D264" s="1838">
        <v>14856</v>
      </c>
      <c r="E264" s="599"/>
      <c r="F264" s="599"/>
      <c r="G264" s="599"/>
      <c r="H264" s="599"/>
      <c r="I264" s="599"/>
      <c r="J264" s="599"/>
      <c r="K264" s="1576">
        <f t="shared" ref="K264:K269" si="22">D264</f>
        <v>14856</v>
      </c>
      <c r="L264" s="1838">
        <v>18200</v>
      </c>
    </row>
    <row r="265" spans="1:14" x14ac:dyDescent="0.2">
      <c r="A265" s="1414" t="s">
        <v>4</v>
      </c>
      <c r="B265" s="597">
        <v>2530</v>
      </c>
      <c r="C265" s="599"/>
      <c r="D265" s="1838">
        <v>0</v>
      </c>
      <c r="E265" s="599"/>
      <c r="F265" s="599"/>
      <c r="G265" s="599"/>
      <c r="H265" s="599"/>
      <c r="I265" s="599"/>
      <c r="J265" s="599"/>
      <c r="K265" s="1576">
        <f t="shared" si="22"/>
        <v>0</v>
      </c>
      <c r="L265" s="1838">
        <v>0</v>
      </c>
    </row>
    <row r="266" spans="1:14" x14ac:dyDescent="0.2">
      <c r="A266" s="1414" t="s">
        <v>197</v>
      </c>
      <c r="B266" s="597">
        <v>2540</v>
      </c>
      <c r="C266" s="599"/>
      <c r="D266" s="1838">
        <v>8314</v>
      </c>
      <c r="E266" s="599"/>
      <c r="F266" s="599"/>
      <c r="G266" s="599"/>
      <c r="H266" s="599"/>
      <c r="I266" s="599"/>
      <c r="J266" s="599"/>
      <c r="K266" s="1576">
        <f t="shared" si="22"/>
        <v>8314</v>
      </c>
      <c r="L266" s="1838">
        <v>9800</v>
      </c>
    </row>
    <row r="267" spans="1:14" x14ac:dyDescent="0.2">
      <c r="A267" s="1414" t="s">
        <v>953</v>
      </c>
      <c r="B267" s="597">
        <v>2550</v>
      </c>
      <c r="C267" s="599"/>
      <c r="D267" s="1838">
        <v>1135</v>
      </c>
      <c r="E267" s="599"/>
      <c r="F267" s="599"/>
      <c r="G267" s="599"/>
      <c r="H267" s="599"/>
      <c r="I267" s="599"/>
      <c r="J267" s="599"/>
      <c r="K267" s="1576">
        <f t="shared" si="22"/>
        <v>1135</v>
      </c>
      <c r="L267" s="1838">
        <v>1200</v>
      </c>
    </row>
    <row r="268" spans="1:14" x14ac:dyDescent="0.2">
      <c r="A268" s="1414" t="s">
        <v>100</v>
      </c>
      <c r="B268" s="597">
        <v>2560</v>
      </c>
      <c r="C268" s="599"/>
      <c r="D268" s="1838">
        <v>4265</v>
      </c>
      <c r="E268" s="599"/>
      <c r="F268" s="599"/>
      <c r="G268" s="599"/>
      <c r="H268" s="599"/>
      <c r="I268" s="599"/>
      <c r="J268" s="599"/>
      <c r="K268" s="1576">
        <f t="shared" si="22"/>
        <v>4265</v>
      </c>
      <c r="L268" s="1838">
        <v>4950</v>
      </c>
    </row>
    <row r="269" spans="1:14" x14ac:dyDescent="0.2">
      <c r="A269" s="1414" t="s">
        <v>101</v>
      </c>
      <c r="B269" s="597">
        <v>2570</v>
      </c>
      <c r="C269" s="599"/>
      <c r="D269" s="1838">
        <v>0</v>
      </c>
      <c r="E269" s="599"/>
      <c r="F269" s="599"/>
      <c r="G269" s="599"/>
      <c r="H269" s="599"/>
      <c r="I269" s="599"/>
      <c r="J269" s="599"/>
      <c r="K269" s="1576">
        <f t="shared" si="22"/>
        <v>0</v>
      </c>
      <c r="L269" s="1838">
        <v>0</v>
      </c>
    </row>
    <row r="270" spans="1:14" ht="12.75" customHeight="1" thickBot="1" x14ac:dyDescent="0.25">
      <c r="A270" s="1572" t="s">
        <v>719</v>
      </c>
      <c r="B270" s="1579" t="s">
        <v>35</v>
      </c>
      <c r="C270" s="599"/>
      <c r="D270" s="1574">
        <f>SUM(D263:D269)</f>
        <v>31006</v>
      </c>
      <c r="E270" s="599"/>
      <c r="F270" s="599"/>
      <c r="G270" s="599"/>
      <c r="H270" s="599"/>
      <c r="I270" s="599"/>
      <c r="J270" s="599"/>
      <c r="K270" s="1574">
        <f>SUM(K263:K269)</f>
        <v>31006</v>
      </c>
      <c r="L270" s="1574">
        <f>SUM(L263:L269)</f>
        <v>36950</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38">
        <v>0</v>
      </c>
      <c r="E272" s="599"/>
      <c r="F272" s="599"/>
      <c r="G272" s="599"/>
      <c r="H272" s="599"/>
      <c r="I272" s="599"/>
      <c r="J272" s="599"/>
      <c r="K272" s="1576">
        <f>D272</f>
        <v>0</v>
      </c>
      <c r="L272" s="1837">
        <v>0</v>
      </c>
    </row>
    <row r="273" spans="1:12" x14ac:dyDescent="0.2">
      <c r="A273" s="1414" t="s">
        <v>607</v>
      </c>
      <c r="B273" s="611">
        <v>2620</v>
      </c>
      <c r="C273" s="599"/>
      <c r="D273" s="1838">
        <v>0</v>
      </c>
      <c r="E273" s="599"/>
      <c r="F273" s="599"/>
      <c r="G273" s="599"/>
      <c r="H273" s="599"/>
      <c r="I273" s="599"/>
      <c r="J273" s="599"/>
      <c r="K273" s="1576">
        <f>D273</f>
        <v>0</v>
      </c>
      <c r="L273" s="1838">
        <v>0</v>
      </c>
    </row>
    <row r="274" spans="1:12" ht="12" customHeight="1" x14ac:dyDescent="0.2">
      <c r="A274" s="1414" t="s">
        <v>1061</v>
      </c>
      <c r="B274" s="597">
        <v>2630</v>
      </c>
      <c r="C274" s="599"/>
      <c r="D274" s="1838">
        <v>0</v>
      </c>
      <c r="E274" s="599"/>
      <c r="F274" s="599"/>
      <c r="G274" s="599"/>
      <c r="H274" s="599"/>
      <c r="I274" s="599"/>
      <c r="J274" s="599"/>
      <c r="K274" s="1576">
        <f>D274</f>
        <v>0</v>
      </c>
      <c r="L274" s="1838">
        <v>0</v>
      </c>
    </row>
    <row r="275" spans="1:12" x14ac:dyDescent="0.2">
      <c r="A275" s="1414" t="s">
        <v>403</v>
      </c>
      <c r="B275" s="597">
        <v>2640</v>
      </c>
      <c r="C275" s="599"/>
      <c r="D275" s="1838">
        <v>0</v>
      </c>
      <c r="E275" s="599"/>
      <c r="F275" s="599"/>
      <c r="G275" s="599"/>
      <c r="H275" s="599"/>
      <c r="I275" s="599"/>
      <c r="J275" s="599"/>
      <c r="K275" s="1576">
        <f>D275</f>
        <v>0</v>
      </c>
      <c r="L275" s="1838">
        <v>0</v>
      </c>
    </row>
    <row r="276" spans="1:12" x14ac:dyDescent="0.2">
      <c r="A276" s="1414" t="s">
        <v>404</v>
      </c>
      <c r="B276" s="597">
        <v>2660</v>
      </c>
      <c r="C276" s="599"/>
      <c r="D276" s="1838">
        <v>0</v>
      </c>
      <c r="E276" s="599"/>
      <c r="F276" s="599"/>
      <c r="G276" s="599"/>
      <c r="H276" s="599"/>
      <c r="I276" s="599"/>
      <c r="J276" s="599"/>
      <c r="K276" s="1576">
        <f>D276</f>
        <v>0</v>
      </c>
      <c r="L276" s="1838">
        <v>0</v>
      </c>
    </row>
    <row r="277" spans="1:12" ht="12.75" customHeight="1" thickBot="1" x14ac:dyDescent="0.25">
      <c r="A277" s="1595" t="s">
        <v>37</v>
      </c>
      <c r="B277" s="1573" t="s">
        <v>36</v>
      </c>
      <c r="C277" s="599"/>
      <c r="D277" s="1574">
        <f>SUM(D272:D276)</f>
        <v>0</v>
      </c>
      <c r="E277" s="599"/>
      <c r="F277" s="599"/>
      <c r="G277" s="599"/>
      <c r="H277" s="599"/>
      <c r="I277" s="599"/>
      <c r="J277" s="599"/>
      <c r="K277" s="1574">
        <f>SUM(K272:K276)</f>
        <v>0</v>
      </c>
      <c r="L277" s="1574">
        <f>SUM(L272:L276)</f>
        <v>0</v>
      </c>
    </row>
    <row r="278" spans="1:12" ht="13.5" customHeight="1" thickTop="1" x14ac:dyDescent="0.2">
      <c r="A278" s="1420" t="s">
        <v>980</v>
      </c>
      <c r="B278" s="636" t="s">
        <v>574</v>
      </c>
      <c r="C278" s="599"/>
      <c r="D278" s="1838">
        <v>0</v>
      </c>
      <c r="E278" s="599"/>
      <c r="F278" s="599"/>
      <c r="G278" s="599"/>
      <c r="H278" s="599"/>
      <c r="I278" s="599"/>
      <c r="J278" s="599"/>
      <c r="K278" s="1589">
        <f>D278</f>
        <v>0</v>
      </c>
      <c r="L278" s="1861">
        <v>0</v>
      </c>
    </row>
    <row r="279" spans="1:12" ht="12.75" customHeight="1" thickBot="1" x14ac:dyDescent="0.25">
      <c r="A279" s="1602" t="s">
        <v>811</v>
      </c>
      <c r="B279" s="1585">
        <v>2000</v>
      </c>
      <c r="C279" s="599"/>
      <c r="D279" s="1581">
        <f>SUM(D238,D243,D257,D261,D270,D277,D278)</f>
        <v>100095</v>
      </c>
      <c r="E279" s="599"/>
      <c r="F279" s="599"/>
      <c r="G279" s="599"/>
      <c r="H279" s="599"/>
      <c r="I279" s="599"/>
      <c r="J279" s="599"/>
      <c r="K279" s="1581">
        <f>SUM(K238,K243,K257,K261,K270,K277,K278)</f>
        <v>100095</v>
      </c>
      <c r="L279" s="1581">
        <f>SUM(L238,L243,L257,L261,L270,L277,L278)</f>
        <v>119620</v>
      </c>
    </row>
    <row r="280" spans="1:12" ht="15.75" customHeight="1" thickTop="1" thickBot="1" x14ac:dyDescent="0.25">
      <c r="A280" s="1534" t="s">
        <v>875</v>
      </c>
      <c r="B280" s="1523">
        <v>3000</v>
      </c>
      <c r="C280" s="599"/>
      <c r="D280" s="1838">
        <v>0</v>
      </c>
      <c r="E280" s="599"/>
      <c r="F280" s="599"/>
      <c r="G280" s="599"/>
      <c r="H280" s="599"/>
      <c r="I280" s="599"/>
      <c r="J280" s="599"/>
      <c r="K280" s="1583">
        <f>D280</f>
        <v>0</v>
      </c>
      <c r="L280" s="1857">
        <v>0</v>
      </c>
    </row>
    <row r="281" spans="1:12" ht="15.75" customHeight="1" thickTop="1" x14ac:dyDescent="0.2">
      <c r="A281" s="1524" t="s">
        <v>142</v>
      </c>
      <c r="B281" s="1525" t="s">
        <v>860</v>
      </c>
      <c r="C281" s="599"/>
      <c r="D281" s="563"/>
      <c r="E281" s="599"/>
      <c r="F281" s="599"/>
      <c r="G281" s="599"/>
      <c r="H281" s="599"/>
      <c r="I281" s="599"/>
      <c r="J281" s="599"/>
      <c r="K281" s="599"/>
      <c r="L281" s="599"/>
    </row>
    <row r="282" spans="1:12" ht="15.75" customHeight="1" x14ac:dyDescent="0.2">
      <c r="A282" s="1734" t="s">
        <v>496</v>
      </c>
      <c r="B282" s="670" t="s">
        <v>1819</v>
      </c>
      <c r="C282" s="599"/>
      <c r="D282" s="1838">
        <v>0</v>
      </c>
      <c r="E282" s="599"/>
      <c r="F282" s="599"/>
      <c r="G282" s="599"/>
      <c r="H282" s="599"/>
      <c r="I282" s="599"/>
      <c r="J282" s="599"/>
      <c r="K282" s="1575">
        <f>D282</f>
        <v>0</v>
      </c>
      <c r="L282" s="1838">
        <v>0</v>
      </c>
    </row>
    <row r="283" spans="1:12" x14ac:dyDescent="0.2">
      <c r="A283" s="1414" t="s">
        <v>304</v>
      </c>
      <c r="B283" s="597">
        <v>4120</v>
      </c>
      <c r="C283" s="599"/>
      <c r="D283" s="1838">
        <v>0</v>
      </c>
      <c r="E283" s="599"/>
      <c r="F283" s="599"/>
      <c r="G283" s="599"/>
      <c r="H283" s="599"/>
      <c r="I283" s="599"/>
      <c r="J283" s="599"/>
      <c r="K283" s="1575">
        <f>D283</f>
        <v>0</v>
      </c>
      <c r="L283" s="1838">
        <v>0</v>
      </c>
    </row>
    <row r="284" spans="1:12" x14ac:dyDescent="0.2">
      <c r="A284" s="1414" t="s">
        <v>697</v>
      </c>
      <c r="B284" s="597">
        <v>4140</v>
      </c>
      <c r="C284" s="599"/>
      <c r="D284" s="1838">
        <v>0</v>
      </c>
      <c r="E284" s="599"/>
      <c r="F284" s="599"/>
      <c r="G284" s="599"/>
      <c r="H284" s="599"/>
      <c r="I284" s="599"/>
      <c r="J284" s="599"/>
      <c r="K284" s="1575">
        <f>D284</f>
        <v>0</v>
      </c>
      <c r="L284" s="1838">
        <v>0</v>
      </c>
    </row>
    <row r="285" spans="1:12" ht="12.75" customHeight="1" thickBot="1" x14ac:dyDescent="0.25">
      <c r="A285" s="1572" t="s">
        <v>1485</v>
      </c>
      <c r="B285" s="1573" t="s">
        <v>860</v>
      </c>
      <c r="C285" s="599"/>
      <c r="D285" s="1574">
        <f>SUM(D282:D284)</f>
        <v>0</v>
      </c>
      <c r="E285" s="599"/>
      <c r="F285" s="599"/>
      <c r="G285" s="599"/>
      <c r="H285" s="599"/>
      <c r="I285" s="599"/>
      <c r="J285" s="599"/>
      <c r="K285" s="1574">
        <f>SUM(K282:K284)</f>
        <v>0</v>
      </c>
      <c r="L285" s="1574">
        <f>SUM(L282:L284)</f>
        <v>0</v>
      </c>
    </row>
    <row r="286" spans="1:12" ht="15.75" customHeight="1" thickTop="1" x14ac:dyDescent="0.2">
      <c r="A286" s="1522" t="s">
        <v>876</v>
      </c>
      <c r="B286" s="1519"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38">
        <v>0</v>
      </c>
      <c r="I288" s="599"/>
      <c r="J288" s="599"/>
      <c r="K288" s="1575">
        <f>H288</f>
        <v>0</v>
      </c>
      <c r="L288" s="1838">
        <v>0</v>
      </c>
    </row>
    <row r="289" spans="1:14" x14ac:dyDescent="0.2">
      <c r="A289" s="1414" t="s">
        <v>88</v>
      </c>
      <c r="B289" s="597">
        <v>5120</v>
      </c>
      <c r="C289" s="599"/>
      <c r="D289" s="599"/>
      <c r="E289" s="599"/>
      <c r="F289" s="599"/>
      <c r="G289" s="599"/>
      <c r="H289" s="1838">
        <v>0</v>
      </c>
      <c r="I289" s="599"/>
      <c r="J289" s="599"/>
      <c r="K289" s="1575">
        <f>H289</f>
        <v>0</v>
      </c>
      <c r="L289" s="1838">
        <v>0</v>
      </c>
    </row>
    <row r="290" spans="1:14" ht="12.75" customHeight="1" x14ac:dyDescent="0.2">
      <c r="A290" s="1414" t="s">
        <v>1170</v>
      </c>
      <c r="B290" s="611" t="s">
        <v>617</v>
      </c>
      <c r="C290" s="599"/>
      <c r="D290" s="599"/>
      <c r="E290" s="599"/>
      <c r="F290" s="599"/>
      <c r="G290" s="599"/>
      <c r="H290" s="1838">
        <v>0</v>
      </c>
      <c r="I290" s="599"/>
      <c r="J290" s="599"/>
      <c r="K290" s="1575">
        <f>H290</f>
        <v>0</v>
      </c>
      <c r="L290" s="1838">
        <v>0</v>
      </c>
    </row>
    <row r="291" spans="1:14" x14ac:dyDescent="0.2">
      <c r="A291" s="1414" t="s">
        <v>89</v>
      </c>
      <c r="B291" s="597" t="s">
        <v>589</v>
      </c>
      <c r="C291" s="599"/>
      <c r="D291" s="599"/>
      <c r="E291" s="599"/>
      <c r="F291" s="599"/>
      <c r="G291" s="599"/>
      <c r="H291" s="1838">
        <v>0</v>
      </c>
      <c r="I291" s="599"/>
      <c r="J291" s="599"/>
      <c r="K291" s="1575">
        <f>H291</f>
        <v>0</v>
      </c>
      <c r="L291" s="1838">
        <v>0</v>
      </c>
    </row>
    <row r="292" spans="1:14" x14ac:dyDescent="0.2">
      <c r="A292" s="1414" t="s">
        <v>762</v>
      </c>
      <c r="B292" s="597" t="s">
        <v>618</v>
      </c>
      <c r="C292" s="599"/>
      <c r="D292" s="599"/>
      <c r="E292" s="599"/>
      <c r="F292" s="599"/>
      <c r="G292" s="599"/>
      <c r="H292" s="1838">
        <v>0</v>
      </c>
      <c r="I292" s="599"/>
      <c r="J292" s="599"/>
      <c r="K292" s="1575">
        <f>H292</f>
        <v>0</v>
      </c>
      <c r="L292" s="1838">
        <v>0</v>
      </c>
    </row>
    <row r="293" spans="1:14" ht="12.75" customHeight="1" thickBot="1" x14ac:dyDescent="0.25">
      <c r="A293" s="1572" t="s">
        <v>484</v>
      </c>
      <c r="B293" s="1573" t="s">
        <v>492</v>
      </c>
      <c r="C293" s="599"/>
      <c r="D293" s="599"/>
      <c r="E293" s="599"/>
      <c r="F293" s="599"/>
      <c r="G293" s="599"/>
      <c r="H293" s="1574">
        <f>SUM(H288:H292)</f>
        <v>0</v>
      </c>
      <c r="I293" s="599"/>
      <c r="J293" s="599"/>
      <c r="K293" s="1574">
        <f>SUM(K288:K292)</f>
        <v>0</v>
      </c>
      <c r="L293" s="1574">
        <f>SUM(L288:L292)</f>
        <v>0</v>
      </c>
    </row>
    <row r="294" spans="1:14" ht="15.75" customHeight="1" thickTop="1" thickBot="1" x14ac:dyDescent="0.25">
      <c r="A294" s="1535" t="s">
        <v>877</v>
      </c>
      <c r="B294" s="1523" t="s">
        <v>861</v>
      </c>
      <c r="C294" s="599"/>
      <c r="D294" s="606"/>
      <c r="E294" s="599"/>
      <c r="F294" s="599"/>
      <c r="G294" s="599"/>
      <c r="H294" s="666"/>
      <c r="I294" s="599"/>
      <c r="J294" s="599"/>
      <c r="K294" s="666"/>
      <c r="L294" s="1857">
        <v>0</v>
      </c>
    </row>
    <row r="295" spans="1:14" ht="12.75" customHeight="1" thickTop="1" thickBot="1" x14ac:dyDescent="0.25">
      <c r="A295" s="2172" t="s">
        <v>505</v>
      </c>
      <c r="B295" s="2173"/>
      <c r="C295" s="599"/>
      <c r="D295" s="1574">
        <f>SUM(D229,D279,D280,D285)</f>
        <v>166651</v>
      </c>
      <c r="E295" s="599"/>
      <c r="F295" s="599"/>
      <c r="G295" s="599"/>
      <c r="H295" s="1574">
        <f>H293</f>
        <v>0</v>
      </c>
      <c r="I295" s="599"/>
      <c r="J295" s="599"/>
      <c r="K295" s="1574">
        <f>SUM(K229,K279,K280,K285,K293,K294)</f>
        <v>166651</v>
      </c>
      <c r="L295" s="1574">
        <f>SUM(L229,L279,L280,L285,L293,L294)</f>
        <v>194240</v>
      </c>
    </row>
    <row r="296" spans="1:14" ht="13.5" thickTop="1" x14ac:dyDescent="0.2">
      <c r="A296" s="2181" t="s">
        <v>996</v>
      </c>
      <c r="B296" s="2182"/>
      <c r="C296" s="599"/>
      <c r="D296" s="601"/>
      <c r="E296" s="599"/>
      <c r="F296" s="599"/>
      <c r="G296" s="599"/>
      <c r="H296" s="667"/>
      <c r="I296" s="599"/>
      <c r="J296" s="599"/>
      <c r="K296" s="1588">
        <f>'Revenues 9-14'!G268-'Expenditures 15-22'!K295</f>
        <v>-785</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64" t="s">
        <v>143</v>
      </c>
      <c r="B298" s="2158"/>
      <c r="C298" s="1461"/>
      <c r="D298" s="1462"/>
      <c r="E298" s="1462"/>
      <c r="F298" s="1462"/>
      <c r="G298" s="1462"/>
      <c r="H298" s="1462"/>
      <c r="I298" s="1462"/>
      <c r="J298" s="1462"/>
      <c r="K298" s="1462"/>
      <c r="L298" s="1463"/>
    </row>
    <row r="299" spans="1:14" ht="15.75" customHeight="1" x14ac:dyDescent="0.2">
      <c r="A299" s="1522" t="s">
        <v>144</v>
      </c>
      <c r="B299" s="1525"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38">
        <v>0</v>
      </c>
      <c r="D301" s="1838">
        <v>0</v>
      </c>
      <c r="E301" s="1838">
        <v>0</v>
      </c>
      <c r="F301" s="1838">
        <v>0</v>
      </c>
      <c r="G301" s="1838">
        <v>4356553</v>
      </c>
      <c r="H301" s="1838">
        <v>0</v>
      </c>
      <c r="I301" s="1838">
        <v>0</v>
      </c>
      <c r="J301" s="1838">
        <v>0</v>
      </c>
      <c r="K301" s="1575">
        <f>SUM(C301:J301)</f>
        <v>4356553</v>
      </c>
      <c r="L301" s="1838">
        <v>7295000</v>
      </c>
    </row>
    <row r="302" spans="1:14" ht="13.5" customHeight="1" x14ac:dyDescent="0.2">
      <c r="A302" s="1427" t="s">
        <v>980</v>
      </c>
      <c r="B302" s="597" t="s">
        <v>574</v>
      </c>
      <c r="C302" s="1838">
        <v>0</v>
      </c>
      <c r="D302" s="1838">
        <v>0</v>
      </c>
      <c r="E302" s="1838">
        <v>0</v>
      </c>
      <c r="F302" s="1838">
        <v>0</v>
      </c>
      <c r="G302" s="1838">
        <v>0</v>
      </c>
      <c r="H302" s="1838">
        <v>0</v>
      </c>
      <c r="I302" s="1838">
        <v>0</v>
      </c>
      <c r="J302" s="1838">
        <v>0</v>
      </c>
      <c r="K302" s="1575">
        <f>SUM(C302:J302)</f>
        <v>0</v>
      </c>
      <c r="L302" s="1838">
        <v>0</v>
      </c>
    </row>
    <row r="303" spans="1:14" ht="12.75" customHeight="1" thickBot="1" x14ac:dyDescent="0.25">
      <c r="A303" s="1572" t="s">
        <v>811</v>
      </c>
      <c r="B303" s="1573" t="s">
        <v>569</v>
      </c>
      <c r="C303" s="1581">
        <f>SUM(C301:C302)</f>
        <v>0</v>
      </c>
      <c r="D303" s="1581">
        <f t="shared" ref="D303:L303" si="23">SUM(D301:D302)</f>
        <v>0</v>
      </c>
      <c r="E303" s="1581">
        <f t="shared" si="23"/>
        <v>0</v>
      </c>
      <c r="F303" s="1581">
        <f t="shared" si="23"/>
        <v>0</v>
      </c>
      <c r="G303" s="1581">
        <f t="shared" si="23"/>
        <v>4356553</v>
      </c>
      <c r="H303" s="1581">
        <f t="shared" si="23"/>
        <v>0</v>
      </c>
      <c r="I303" s="1581">
        <f t="shared" si="23"/>
        <v>0</v>
      </c>
      <c r="J303" s="1581">
        <f t="shared" si="23"/>
        <v>0</v>
      </c>
      <c r="K303" s="1581">
        <f t="shared" si="23"/>
        <v>4356553</v>
      </c>
      <c r="L303" s="1581">
        <f t="shared" si="23"/>
        <v>7295000</v>
      </c>
    </row>
    <row r="304" spans="1:14" ht="15.75" customHeight="1" thickTop="1" x14ac:dyDescent="0.2">
      <c r="A304" s="1522" t="s">
        <v>145</v>
      </c>
      <c r="B304" s="1523"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1824</v>
      </c>
      <c r="B306" s="670" t="s">
        <v>1819</v>
      </c>
      <c r="C306" s="599"/>
      <c r="D306" s="599"/>
      <c r="E306" s="1838">
        <v>0</v>
      </c>
      <c r="F306" s="599"/>
      <c r="G306" s="599"/>
      <c r="H306" s="1838">
        <v>0</v>
      </c>
      <c r="I306" s="599"/>
      <c r="J306" s="599"/>
      <c r="K306" s="1575">
        <f>SUM(E306,H306)</f>
        <v>0</v>
      </c>
      <c r="L306" s="1838">
        <v>0</v>
      </c>
    </row>
    <row r="307" spans="1:14" x14ac:dyDescent="0.2">
      <c r="A307" s="1414" t="s">
        <v>304</v>
      </c>
      <c r="B307" s="597">
        <v>4120</v>
      </c>
      <c r="C307" s="599"/>
      <c r="D307" s="599"/>
      <c r="E307" s="1838">
        <v>0</v>
      </c>
      <c r="F307" s="599"/>
      <c r="G307" s="599"/>
      <c r="H307" s="1838">
        <v>0</v>
      </c>
      <c r="I307" s="477"/>
      <c r="J307" s="599"/>
      <c r="K307" s="1575">
        <f>SUM(E307,H307)</f>
        <v>0</v>
      </c>
      <c r="L307" s="1838">
        <v>0</v>
      </c>
    </row>
    <row r="308" spans="1:14" x14ac:dyDescent="0.2">
      <c r="A308" s="1414" t="s">
        <v>697</v>
      </c>
      <c r="B308" s="597">
        <v>4140</v>
      </c>
      <c r="C308" s="599"/>
      <c r="D308" s="599"/>
      <c r="E308" s="1838">
        <v>0</v>
      </c>
      <c r="F308" s="599"/>
      <c r="G308" s="599"/>
      <c r="H308" s="1838">
        <v>0</v>
      </c>
      <c r="I308" s="477"/>
      <c r="J308" s="599"/>
      <c r="K308" s="1575">
        <f>SUM(E308,H308)</f>
        <v>0</v>
      </c>
      <c r="L308" s="1838">
        <v>0</v>
      </c>
    </row>
    <row r="309" spans="1:14" ht="12.75" customHeight="1" x14ac:dyDescent="0.2">
      <c r="A309" s="1418" t="s">
        <v>698</v>
      </c>
      <c r="B309" s="611">
        <v>4190</v>
      </c>
      <c r="C309" s="599"/>
      <c r="D309" s="599"/>
      <c r="E309" s="1838">
        <v>0</v>
      </c>
      <c r="F309" s="599"/>
      <c r="G309" s="599"/>
      <c r="H309" s="1838">
        <v>0</v>
      </c>
      <c r="I309" s="477"/>
      <c r="J309" s="599"/>
      <c r="K309" s="1575">
        <f>SUM(E309,H309)</f>
        <v>0</v>
      </c>
      <c r="L309" s="1838">
        <v>0</v>
      </c>
    </row>
    <row r="310" spans="1:14" ht="12.75" customHeight="1" thickBot="1" x14ac:dyDescent="0.25">
      <c r="A310" s="1572" t="s">
        <v>1485</v>
      </c>
      <c r="B310" s="1579" t="s">
        <v>860</v>
      </c>
      <c r="C310" s="599"/>
      <c r="D310" s="599"/>
      <c r="E310" s="1574">
        <f>SUM(E306:E309)</f>
        <v>0</v>
      </c>
      <c r="F310" s="599"/>
      <c r="G310" s="599"/>
      <c r="H310" s="1574">
        <f>SUM(H306:H309)</f>
        <v>0</v>
      </c>
      <c r="I310" s="477"/>
      <c r="J310" s="599"/>
      <c r="K310" s="1574">
        <f>SUM(K306:K309)</f>
        <v>0</v>
      </c>
      <c r="L310" s="1581">
        <f>SUM(L306:L309)</f>
        <v>0</v>
      </c>
    </row>
    <row r="311" spans="1:14" ht="15.75" customHeight="1" thickTop="1" thickBot="1" x14ac:dyDescent="0.25">
      <c r="A311" s="1529" t="s">
        <v>895</v>
      </c>
      <c r="B311" s="1521" t="s">
        <v>861</v>
      </c>
      <c r="C311" s="606"/>
      <c r="D311" s="606"/>
      <c r="E311" s="606"/>
      <c r="F311" s="606"/>
      <c r="G311" s="606"/>
      <c r="H311" s="606"/>
      <c r="I311" s="606"/>
      <c r="J311" s="599"/>
      <c r="K311" s="606"/>
      <c r="L311" s="1857">
        <v>0</v>
      </c>
    </row>
    <row r="312" spans="1:14" s="654" customFormat="1" ht="12.75" customHeight="1" thickTop="1" thickBot="1" x14ac:dyDescent="0.25">
      <c r="A312" s="2169" t="s">
        <v>277</v>
      </c>
      <c r="B312" s="2170"/>
      <c r="C312" s="1574">
        <f>SUM(C303)</f>
        <v>0</v>
      </c>
      <c r="D312" s="1574">
        <f>SUM(D303)</f>
        <v>0</v>
      </c>
      <c r="E312" s="1574">
        <f>SUM(E303,E310)</f>
        <v>0</v>
      </c>
      <c r="F312" s="1574">
        <f>SUM(F303)</f>
        <v>0</v>
      </c>
      <c r="G312" s="1574">
        <f>SUM(G303)</f>
        <v>4356553</v>
      </c>
      <c r="H312" s="1574">
        <f>SUM(H303,H310)</f>
        <v>0</v>
      </c>
      <c r="I312" s="1574">
        <f>SUM(I303)</f>
        <v>0</v>
      </c>
      <c r="J312" s="1574">
        <f>SUM(J303)</f>
        <v>0</v>
      </c>
      <c r="K312" s="1574">
        <f>SUM(K303,K310,K311)</f>
        <v>4356553</v>
      </c>
      <c r="L312" s="1574">
        <f>SUM(L303,L310,L311)</f>
        <v>7295000</v>
      </c>
      <c r="M312" s="645"/>
      <c r="N312" s="645"/>
    </row>
    <row r="313" spans="1:14" ht="13.5" thickTop="1" x14ac:dyDescent="0.2">
      <c r="A313" s="2165" t="s">
        <v>996</v>
      </c>
      <c r="B313" s="2166"/>
      <c r="C313" s="609"/>
      <c r="D313" s="609"/>
      <c r="E313" s="609"/>
      <c r="F313" s="609"/>
      <c r="G313" s="609"/>
      <c r="H313" s="609"/>
      <c r="I313" s="609"/>
      <c r="J313" s="609"/>
      <c r="K313" s="1589">
        <f>'Revenues 9-14'!H268-'Expenditures 15-22'!K312</f>
        <v>-4204279</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8" t="s">
        <v>149</v>
      </c>
      <c r="B315" s="2179"/>
      <c r="C315" s="1466"/>
      <c r="D315" s="1467"/>
      <c r="E315" s="1467"/>
      <c r="F315" s="1467"/>
      <c r="G315" s="1467"/>
      <c r="H315" s="1467"/>
      <c r="I315" s="1467"/>
      <c r="J315" s="1467"/>
      <c r="K315" s="1467"/>
      <c r="L315" s="146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80" t="s">
        <v>898</v>
      </c>
      <c r="B317" s="2179"/>
      <c r="C317" s="1466"/>
      <c r="D317" s="1467"/>
      <c r="E317" s="1467"/>
      <c r="F317" s="1467"/>
      <c r="G317" s="1467"/>
      <c r="H317" s="1467"/>
      <c r="I317" s="1467"/>
      <c r="J317" s="1467"/>
      <c r="K317" s="1467"/>
      <c r="L317" s="1468"/>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38">
        <v>0</v>
      </c>
      <c r="D319" s="1838">
        <v>0</v>
      </c>
      <c r="E319" s="1838">
        <v>0</v>
      </c>
      <c r="F319" s="1838">
        <v>0</v>
      </c>
      <c r="G319" s="1838">
        <v>0</v>
      </c>
      <c r="H319" s="1838">
        <v>0</v>
      </c>
      <c r="I319" s="1838">
        <v>0</v>
      </c>
      <c r="J319" s="1838">
        <v>0</v>
      </c>
      <c r="K319" s="1575">
        <f>SUM(C319:J319)</f>
        <v>0</v>
      </c>
      <c r="L319" s="1838">
        <v>0</v>
      </c>
      <c r="M319" s="645"/>
      <c r="N319" s="645"/>
    </row>
    <row r="320" spans="1:14" s="654" customFormat="1" x14ac:dyDescent="0.2">
      <c r="A320" s="1433" t="s">
        <v>1780</v>
      </c>
      <c r="B320" s="678" t="s">
        <v>282</v>
      </c>
      <c r="C320" s="1838">
        <v>0</v>
      </c>
      <c r="D320" s="1838">
        <v>0</v>
      </c>
      <c r="E320" s="1838">
        <v>0</v>
      </c>
      <c r="F320" s="1838">
        <v>0</v>
      </c>
      <c r="G320" s="1838">
        <v>0</v>
      </c>
      <c r="H320" s="1838">
        <v>0</v>
      </c>
      <c r="I320" s="1838">
        <v>0</v>
      </c>
      <c r="J320" s="1838">
        <v>0</v>
      </c>
      <c r="K320" s="1575">
        <f t="shared" ref="K320:K327" si="24">SUM(C320:J320)</f>
        <v>0</v>
      </c>
      <c r="L320" s="1838">
        <v>0</v>
      </c>
      <c r="M320" s="645"/>
      <c r="N320" s="645"/>
    </row>
    <row r="321" spans="1:14" s="654" customFormat="1" x14ac:dyDescent="0.2">
      <c r="A321" s="1429" t="s">
        <v>300</v>
      </c>
      <c r="B321" s="677" t="s">
        <v>283</v>
      </c>
      <c r="C321" s="1838">
        <v>0</v>
      </c>
      <c r="D321" s="1838">
        <v>0</v>
      </c>
      <c r="E321" s="1838">
        <v>0</v>
      </c>
      <c r="F321" s="1838">
        <v>0</v>
      </c>
      <c r="G321" s="1838">
        <v>0</v>
      </c>
      <c r="H321" s="1838">
        <v>0</v>
      </c>
      <c r="I321" s="1838">
        <v>0</v>
      </c>
      <c r="J321" s="1838">
        <v>0</v>
      </c>
      <c r="K321" s="1575">
        <f t="shared" si="24"/>
        <v>0</v>
      </c>
      <c r="L321" s="1838">
        <v>0</v>
      </c>
      <c r="M321" s="645"/>
      <c r="N321" s="645"/>
    </row>
    <row r="322" spans="1:14" s="654" customFormat="1" x14ac:dyDescent="0.2">
      <c r="A322" s="1429" t="s">
        <v>238</v>
      </c>
      <c r="B322" s="677" t="s">
        <v>284</v>
      </c>
      <c r="C322" s="1838">
        <v>0</v>
      </c>
      <c r="D322" s="1838">
        <v>0</v>
      </c>
      <c r="E322" s="1838">
        <v>0</v>
      </c>
      <c r="F322" s="1838">
        <v>0</v>
      </c>
      <c r="G322" s="1838">
        <v>0</v>
      </c>
      <c r="H322" s="1838">
        <v>0</v>
      </c>
      <c r="I322" s="1838">
        <v>0</v>
      </c>
      <c r="J322" s="1838">
        <v>0</v>
      </c>
      <c r="K322" s="1575">
        <f t="shared" si="24"/>
        <v>0</v>
      </c>
      <c r="L322" s="1838">
        <v>0</v>
      </c>
      <c r="M322" s="645"/>
      <c r="N322" s="645"/>
    </row>
    <row r="323" spans="1:14" s="654" customFormat="1" x14ac:dyDescent="0.2">
      <c r="A323" s="1429" t="s">
        <v>702</v>
      </c>
      <c r="B323" s="677" t="s">
        <v>285</v>
      </c>
      <c r="C323" s="1838">
        <v>0</v>
      </c>
      <c r="D323" s="1838">
        <v>0</v>
      </c>
      <c r="E323" s="1838">
        <v>0</v>
      </c>
      <c r="F323" s="1838">
        <v>0</v>
      </c>
      <c r="G323" s="1838">
        <v>0</v>
      </c>
      <c r="H323" s="1838">
        <v>0</v>
      </c>
      <c r="I323" s="1838">
        <v>0</v>
      </c>
      <c r="J323" s="1838">
        <v>0</v>
      </c>
      <c r="K323" s="1575">
        <f t="shared" si="24"/>
        <v>0</v>
      </c>
      <c r="L323" s="1838">
        <v>0</v>
      </c>
      <c r="M323" s="645"/>
      <c r="N323" s="645"/>
    </row>
    <row r="324" spans="1:14" s="654" customFormat="1" x14ac:dyDescent="0.2">
      <c r="A324" s="1429" t="s">
        <v>239</v>
      </c>
      <c r="B324" s="677" t="s">
        <v>286</v>
      </c>
      <c r="C324" s="1838">
        <v>0</v>
      </c>
      <c r="D324" s="1838">
        <v>0</v>
      </c>
      <c r="E324" s="1838">
        <v>0</v>
      </c>
      <c r="F324" s="1838">
        <v>0</v>
      </c>
      <c r="G324" s="1838">
        <v>0</v>
      </c>
      <c r="H324" s="1838">
        <v>0</v>
      </c>
      <c r="I324" s="1838">
        <v>0</v>
      </c>
      <c r="J324" s="1838">
        <v>0</v>
      </c>
      <c r="K324" s="1575">
        <f t="shared" si="24"/>
        <v>0</v>
      </c>
      <c r="L324" s="1838">
        <v>0</v>
      </c>
      <c r="M324" s="645"/>
      <c r="N324" s="645"/>
    </row>
    <row r="325" spans="1:14" s="654" customFormat="1" ht="22.5" x14ac:dyDescent="0.2">
      <c r="A325" s="1429" t="s">
        <v>1029</v>
      </c>
      <c r="B325" s="678" t="s">
        <v>287</v>
      </c>
      <c r="C325" s="1838">
        <v>0</v>
      </c>
      <c r="D325" s="1838">
        <v>0</v>
      </c>
      <c r="E325" s="1838">
        <v>0</v>
      </c>
      <c r="F325" s="1838">
        <v>0</v>
      </c>
      <c r="G325" s="1838">
        <v>0</v>
      </c>
      <c r="H325" s="1838">
        <v>0</v>
      </c>
      <c r="I325" s="1838">
        <v>0</v>
      </c>
      <c r="J325" s="1838">
        <v>0</v>
      </c>
      <c r="K325" s="1575">
        <f t="shared" si="24"/>
        <v>0</v>
      </c>
      <c r="L325" s="1838">
        <v>0</v>
      </c>
      <c r="M325" s="645"/>
      <c r="N325" s="645"/>
    </row>
    <row r="326" spans="1:14" s="654" customFormat="1" x14ac:dyDescent="0.2">
      <c r="A326" s="1429" t="s">
        <v>1030</v>
      </c>
      <c r="B326" s="677" t="s">
        <v>288</v>
      </c>
      <c r="C326" s="1838">
        <v>0</v>
      </c>
      <c r="D326" s="1838">
        <v>0</v>
      </c>
      <c r="E326" s="1838">
        <v>0</v>
      </c>
      <c r="F326" s="1838">
        <v>0</v>
      </c>
      <c r="G326" s="1838">
        <v>0</v>
      </c>
      <c r="H326" s="1838">
        <v>0</v>
      </c>
      <c r="I326" s="1838">
        <v>0</v>
      </c>
      <c r="J326" s="1838">
        <v>0</v>
      </c>
      <c r="K326" s="1575">
        <f t="shared" si="24"/>
        <v>0</v>
      </c>
      <c r="L326" s="1838">
        <v>0</v>
      </c>
      <c r="M326" s="645"/>
      <c r="N326" s="645"/>
    </row>
    <row r="327" spans="1:14" s="654" customFormat="1" x14ac:dyDescent="0.2">
      <c r="A327" s="1429" t="s">
        <v>971</v>
      </c>
      <c r="B327" s="677" t="s">
        <v>289</v>
      </c>
      <c r="C327" s="1838">
        <v>0</v>
      </c>
      <c r="D327" s="1838">
        <v>0</v>
      </c>
      <c r="E327" s="1838">
        <v>0</v>
      </c>
      <c r="F327" s="1838">
        <v>0</v>
      </c>
      <c r="G327" s="1838">
        <v>0</v>
      </c>
      <c r="H327" s="1838">
        <v>0</v>
      </c>
      <c r="I327" s="1838">
        <v>0</v>
      </c>
      <c r="J327" s="1838">
        <v>0</v>
      </c>
      <c r="K327" s="1575">
        <f t="shared" si="24"/>
        <v>0</v>
      </c>
      <c r="L327" s="1838">
        <v>0</v>
      </c>
      <c r="M327" s="645"/>
      <c r="N327" s="645"/>
    </row>
    <row r="328" spans="1:14" s="654" customFormat="1" x14ac:dyDescent="0.2">
      <c r="A328" s="1430" t="s">
        <v>472</v>
      </c>
      <c r="B328" s="670" t="s">
        <v>1132</v>
      </c>
      <c r="C328" s="1838">
        <v>0</v>
      </c>
      <c r="D328" s="1838">
        <v>0</v>
      </c>
      <c r="E328" s="1838">
        <v>0</v>
      </c>
      <c r="F328" s="1838">
        <v>0</v>
      </c>
      <c r="G328" s="1838">
        <v>0</v>
      </c>
      <c r="H328" s="1838">
        <v>0</v>
      </c>
      <c r="I328" s="1838">
        <v>0</v>
      </c>
      <c r="J328" s="1838">
        <v>0</v>
      </c>
      <c r="K328" s="1603">
        <f>SUM(C328:J328)</f>
        <v>0</v>
      </c>
      <c r="L328" s="1838">
        <v>0</v>
      </c>
      <c r="M328" s="645"/>
      <c r="N328" s="645"/>
    </row>
    <row r="329" spans="1:14" s="654" customFormat="1" x14ac:dyDescent="0.2">
      <c r="A329" s="1430" t="s">
        <v>1133</v>
      </c>
      <c r="B329" s="670" t="s">
        <v>1134</v>
      </c>
      <c r="C329" s="1838">
        <v>0</v>
      </c>
      <c r="D329" s="1838">
        <v>0</v>
      </c>
      <c r="E329" s="1838">
        <v>0</v>
      </c>
      <c r="F329" s="1838">
        <v>0</v>
      </c>
      <c r="G329" s="1838">
        <v>0</v>
      </c>
      <c r="H329" s="1838">
        <v>0</v>
      </c>
      <c r="I329" s="1838">
        <v>0</v>
      </c>
      <c r="J329" s="1838">
        <v>0</v>
      </c>
      <c r="K329" s="1603">
        <f>SUM(C329:J329)</f>
        <v>0</v>
      </c>
      <c r="L329" s="1838">
        <v>0</v>
      </c>
      <c r="M329" s="645"/>
      <c r="N329" s="645"/>
    </row>
    <row r="330" spans="1:14" s="654" customFormat="1" ht="12.75" customHeight="1" thickBot="1" x14ac:dyDescent="0.25">
      <c r="A330" s="1604" t="s">
        <v>717</v>
      </c>
      <c r="B330" s="1573" t="s">
        <v>569</v>
      </c>
      <c r="C330" s="1574">
        <f>SUM(C319:C329)</f>
        <v>0</v>
      </c>
      <c r="D330" s="1574">
        <f t="shared" ref="D330:J330" si="25">SUM(D319:D329)</f>
        <v>0</v>
      </c>
      <c r="E330" s="1574">
        <f t="shared" si="25"/>
        <v>0</v>
      </c>
      <c r="F330" s="1574">
        <f t="shared" si="25"/>
        <v>0</v>
      </c>
      <c r="G330" s="1574">
        <f t="shared" si="25"/>
        <v>0</v>
      </c>
      <c r="H330" s="1574">
        <f t="shared" si="25"/>
        <v>0</v>
      </c>
      <c r="I330" s="1574">
        <f t="shared" si="25"/>
        <v>0</v>
      </c>
      <c r="J330" s="1574">
        <f t="shared" si="25"/>
        <v>0</v>
      </c>
      <c r="K330" s="1574">
        <f>SUM(K319:K329)</f>
        <v>0</v>
      </c>
      <c r="L330" s="1574">
        <f>SUM(L319:L329)</f>
        <v>0</v>
      </c>
      <c r="M330" s="645"/>
      <c r="N330" s="645"/>
    </row>
    <row r="331" spans="1:14" s="654" customFormat="1" ht="12.75" customHeight="1" thickTop="1" x14ac:dyDescent="0.2">
      <c r="A331" s="1735" t="s">
        <v>1825</v>
      </c>
      <c r="B331" s="628" t="s">
        <v>860</v>
      </c>
      <c r="C331" s="1737"/>
      <c r="D331" s="1737"/>
      <c r="E331" s="1737"/>
      <c r="F331" s="1737"/>
      <c r="G331" s="1737"/>
      <c r="H331" s="1737"/>
      <c r="I331" s="1737"/>
      <c r="J331" s="1737"/>
      <c r="K331" s="1737"/>
      <c r="L331" s="1737"/>
      <c r="M331" s="645"/>
      <c r="N331" s="645"/>
    </row>
    <row r="332" spans="1:14" s="654" customFormat="1" ht="12.75" customHeight="1" x14ac:dyDescent="0.2">
      <c r="A332" s="1736" t="s">
        <v>496</v>
      </c>
      <c r="B332" s="1731" t="s">
        <v>1819</v>
      </c>
      <c r="C332" s="1737"/>
      <c r="D332" s="1737"/>
      <c r="E332" s="1737"/>
      <c r="F332" s="1737"/>
      <c r="G332" s="1737"/>
      <c r="H332" s="1838">
        <v>0</v>
      </c>
      <c r="I332" s="1737"/>
      <c r="J332" s="1737"/>
      <c r="K332" s="1575">
        <f>H332</f>
        <v>0</v>
      </c>
      <c r="L332" s="1837">
        <v>0</v>
      </c>
      <c r="M332" s="645"/>
      <c r="N332" s="645"/>
    </row>
    <row r="333" spans="1:14" s="654" customFormat="1" ht="12.75" customHeight="1" x14ac:dyDescent="0.2">
      <c r="A333" s="1736" t="s">
        <v>304</v>
      </c>
      <c r="B333" s="1731" t="s">
        <v>1821</v>
      </c>
      <c r="C333" s="1737"/>
      <c r="D333" s="1737"/>
      <c r="E333" s="1737"/>
      <c r="F333" s="1737"/>
      <c r="G333" s="1737"/>
      <c r="H333" s="1838">
        <v>0</v>
      </c>
      <c r="I333" s="1737"/>
      <c r="J333" s="1737"/>
      <c r="K333" s="1575">
        <f>H333</f>
        <v>0</v>
      </c>
      <c r="L333" s="1837">
        <v>0</v>
      </c>
      <c r="M333" s="645"/>
      <c r="N333" s="645"/>
    </row>
    <row r="334" spans="1:14" s="654" customFormat="1" ht="12.75" customHeight="1" thickBot="1" x14ac:dyDescent="0.25">
      <c r="A334" s="1736" t="s">
        <v>1826</v>
      </c>
      <c r="B334" s="1731" t="s">
        <v>860</v>
      </c>
      <c r="C334" s="1737"/>
      <c r="D334" s="1737"/>
      <c r="E334" s="1737"/>
      <c r="F334" s="1737"/>
      <c r="G334" s="1737"/>
      <c r="H334" s="1574">
        <f>SUM(H332:H333)</f>
        <v>0</v>
      </c>
      <c r="I334" s="1737"/>
      <c r="J334" s="1737"/>
      <c r="K334" s="1574">
        <f>SUM(K332:K333)</f>
        <v>0</v>
      </c>
      <c r="L334" s="1574">
        <f>SUM(L332:L333)</f>
        <v>0</v>
      </c>
      <c r="M334" s="645"/>
      <c r="N334" s="645"/>
    </row>
    <row r="335" spans="1:14" ht="15.75" customHeight="1" thickTop="1" x14ac:dyDescent="0.2">
      <c r="A335" s="1526" t="s">
        <v>899</v>
      </c>
      <c r="B335" s="1517"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38">
        <v>0</v>
      </c>
      <c r="I337" s="620"/>
      <c r="J337" s="620"/>
      <c r="K337" s="1575">
        <f>H337</f>
        <v>0</v>
      </c>
      <c r="L337" s="1837">
        <v>0</v>
      </c>
    </row>
    <row r="338" spans="1:14" ht="12.75" customHeight="1" x14ac:dyDescent="0.2">
      <c r="A338" s="1428" t="s">
        <v>1170</v>
      </c>
      <c r="B338" s="670" t="s">
        <v>617</v>
      </c>
      <c r="C338" s="620"/>
      <c r="D338" s="620"/>
      <c r="E338" s="620"/>
      <c r="F338" s="620"/>
      <c r="G338" s="620"/>
      <c r="H338" s="1838">
        <v>0</v>
      </c>
      <c r="I338" s="620"/>
      <c r="J338" s="620"/>
      <c r="K338" s="1575">
        <f>H338</f>
        <v>0</v>
      </c>
      <c r="L338" s="1837">
        <v>0</v>
      </c>
    </row>
    <row r="339" spans="1:14" x14ac:dyDescent="0.2">
      <c r="A339" s="1414" t="s">
        <v>901</v>
      </c>
      <c r="B339" s="611">
        <v>5150</v>
      </c>
      <c r="C339" s="620"/>
      <c r="D339" s="620"/>
      <c r="E339" s="620"/>
      <c r="F339" s="620"/>
      <c r="G339" s="620"/>
      <c r="H339" s="1838">
        <v>0</v>
      </c>
      <c r="I339" s="620"/>
      <c r="J339" s="620"/>
      <c r="K339" s="1575">
        <f>H339</f>
        <v>0</v>
      </c>
      <c r="L339" s="1838">
        <v>0</v>
      </c>
    </row>
    <row r="340" spans="1:14" ht="13.5" thickBot="1" x14ac:dyDescent="0.25">
      <c r="A340" s="1598" t="s">
        <v>902</v>
      </c>
      <c r="B340" s="1573" t="s">
        <v>492</v>
      </c>
      <c r="C340" s="599"/>
      <c r="D340" s="599"/>
      <c r="E340" s="599"/>
      <c r="F340" s="599"/>
      <c r="G340" s="599"/>
      <c r="H340" s="1592">
        <f>SUM(H337:H339)</f>
        <v>0</v>
      </c>
      <c r="I340" s="599"/>
      <c r="J340" s="599"/>
      <c r="K340" s="1592">
        <f>SUM(K337:K339)</f>
        <v>0</v>
      </c>
      <c r="L340" s="1592">
        <f>SUM(L337:L339)</f>
        <v>0</v>
      </c>
    </row>
    <row r="341" spans="1:14" ht="15.75" customHeight="1" thickTop="1" thickBot="1" x14ac:dyDescent="0.25">
      <c r="A341" s="1529" t="s">
        <v>903</v>
      </c>
      <c r="B341" s="1521" t="s">
        <v>861</v>
      </c>
      <c r="C341" s="599"/>
      <c r="D341" s="599"/>
      <c r="E341" s="477"/>
      <c r="F341" s="468"/>
      <c r="G341" s="468"/>
      <c r="H341" s="477"/>
      <c r="I341" s="477"/>
      <c r="J341" s="468"/>
      <c r="K341" s="477"/>
      <c r="L341" s="1857">
        <v>0</v>
      </c>
    </row>
    <row r="342" spans="1:14" ht="12.75" customHeight="1" thickTop="1" thickBot="1" x14ac:dyDescent="0.25">
      <c r="A342" s="1590" t="s">
        <v>505</v>
      </c>
      <c r="B342" s="1605"/>
      <c r="C342" s="1574">
        <f>SUM(C330)</f>
        <v>0</v>
      </c>
      <c r="D342" s="1574">
        <f>SUM(D330)</f>
        <v>0</v>
      </c>
      <c r="E342" s="1574">
        <f>SUM(E330)</f>
        <v>0</v>
      </c>
      <c r="F342" s="1574">
        <f>SUM(F330)</f>
        <v>0</v>
      </c>
      <c r="G342" s="1574">
        <f>SUM(G330)</f>
        <v>0</v>
      </c>
      <c r="H342" s="1574">
        <f>SUM(H330,H334,H340)</f>
        <v>0</v>
      </c>
      <c r="I342" s="1574">
        <f>SUM(I330)</f>
        <v>0</v>
      </c>
      <c r="J342" s="1574">
        <f>SUM(J330)</f>
        <v>0</v>
      </c>
      <c r="K342" s="1574">
        <f>SUM(K330,K334,K340)</f>
        <v>0</v>
      </c>
      <c r="L342" s="1581">
        <f>SUM(L330,L340,L341)</f>
        <v>0</v>
      </c>
    </row>
    <row r="343" spans="1:14" ht="12.75" customHeight="1" thickTop="1" x14ac:dyDescent="0.2">
      <c r="A343" s="2167" t="s">
        <v>996</v>
      </c>
      <c r="B343" s="2168"/>
      <c r="C343" s="599"/>
      <c r="D343" s="599"/>
      <c r="E343" s="599"/>
      <c r="F343" s="599"/>
      <c r="G343" s="599"/>
      <c r="H343" s="599"/>
      <c r="I343" s="599"/>
      <c r="J343" s="599"/>
      <c r="K343" s="1588">
        <f>'Revenues 9-14'!J268-'Expenditures 15-22'!K342</f>
        <v>0</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7" t="s">
        <v>966</v>
      </c>
      <c r="B345" s="2158"/>
      <c r="C345" s="1461"/>
      <c r="D345" s="1462"/>
      <c r="E345" s="1462"/>
      <c r="F345" s="1462"/>
      <c r="G345" s="1462"/>
      <c r="H345" s="1462"/>
      <c r="I345" s="1462"/>
      <c r="J345" s="1462"/>
      <c r="K345" s="1462"/>
      <c r="L345" s="1463"/>
      <c r="M345" s="647"/>
      <c r="N345" s="647"/>
    </row>
    <row r="346" spans="1:14" s="343" customFormat="1" ht="15.75" customHeight="1" x14ac:dyDescent="0.2">
      <c r="A346" s="1533" t="s">
        <v>844</v>
      </c>
      <c r="B346" s="1525"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38">
        <v>0</v>
      </c>
      <c r="D348" s="1838">
        <v>0</v>
      </c>
      <c r="E348" s="1838">
        <v>0</v>
      </c>
      <c r="F348" s="1838">
        <v>0</v>
      </c>
      <c r="G348" s="1838">
        <v>0</v>
      </c>
      <c r="H348" s="1838">
        <v>0</v>
      </c>
      <c r="I348" s="1838">
        <v>0</v>
      </c>
      <c r="J348" s="1838">
        <v>0</v>
      </c>
      <c r="K348" s="1575">
        <f>SUM(C348:J348)</f>
        <v>0</v>
      </c>
      <c r="L348" s="1838">
        <v>0</v>
      </c>
    </row>
    <row r="349" spans="1:14" x14ac:dyDescent="0.2">
      <c r="A349" s="1414" t="s">
        <v>197</v>
      </c>
      <c r="B349" s="597">
        <v>2540</v>
      </c>
      <c r="C349" s="1838">
        <v>0</v>
      </c>
      <c r="D349" s="1838">
        <v>0</v>
      </c>
      <c r="E349" s="1838">
        <v>0</v>
      </c>
      <c r="F349" s="1838">
        <v>0</v>
      </c>
      <c r="G349" s="1838">
        <v>0</v>
      </c>
      <c r="H349" s="1838">
        <v>0</v>
      </c>
      <c r="I349" s="1838">
        <v>0</v>
      </c>
      <c r="J349" s="1838">
        <v>0</v>
      </c>
      <c r="K349" s="1575">
        <f>SUM(C349:J349)</f>
        <v>0</v>
      </c>
      <c r="L349" s="1838">
        <v>0</v>
      </c>
    </row>
    <row r="350" spans="1:14" ht="12.75" customHeight="1" thickBot="1" x14ac:dyDescent="0.25">
      <c r="A350" s="1572" t="s">
        <v>719</v>
      </c>
      <c r="B350" s="1573" t="s">
        <v>35</v>
      </c>
      <c r="C350" s="1574">
        <f>SUM(C348:C349)</f>
        <v>0</v>
      </c>
      <c r="D350" s="1574">
        <f t="shared" ref="D350:L350" si="26">SUM(D348:D349)</f>
        <v>0</v>
      </c>
      <c r="E350" s="1574">
        <f t="shared" si="26"/>
        <v>0</v>
      </c>
      <c r="F350" s="1574">
        <f t="shared" si="26"/>
        <v>0</v>
      </c>
      <c r="G350" s="1574">
        <f t="shared" si="26"/>
        <v>0</v>
      </c>
      <c r="H350" s="1574">
        <f t="shared" si="26"/>
        <v>0</v>
      </c>
      <c r="I350" s="1574">
        <f t="shared" si="26"/>
        <v>0</v>
      </c>
      <c r="J350" s="1574">
        <f t="shared" si="26"/>
        <v>0</v>
      </c>
      <c r="K350" s="1574">
        <f t="shared" si="26"/>
        <v>0</v>
      </c>
      <c r="L350" s="1574">
        <f t="shared" si="26"/>
        <v>0</v>
      </c>
    </row>
    <row r="351" spans="1:14" ht="12.75" customHeight="1" thickTop="1" x14ac:dyDescent="0.2">
      <c r="A351" s="1420" t="s">
        <v>980</v>
      </c>
      <c r="B351" s="624" t="s">
        <v>574</v>
      </c>
      <c r="C351" s="1838">
        <v>0</v>
      </c>
      <c r="D351" s="1838">
        <v>0</v>
      </c>
      <c r="E351" s="1838">
        <v>0</v>
      </c>
      <c r="F351" s="1838">
        <v>0</v>
      </c>
      <c r="G351" s="1838">
        <v>0</v>
      </c>
      <c r="H351" s="1838">
        <v>0</v>
      </c>
      <c r="I351" s="1838">
        <v>0</v>
      </c>
      <c r="J351" s="1838">
        <v>0</v>
      </c>
      <c r="K351" s="598">
        <f>SUM(C351:J351)</f>
        <v>0</v>
      </c>
      <c r="L351" s="1837">
        <v>0</v>
      </c>
    </row>
    <row r="352" spans="1:14" ht="12.75" customHeight="1" thickBot="1" x14ac:dyDescent="0.25">
      <c r="A352" s="1572" t="s">
        <v>624</v>
      </c>
      <c r="B352" s="1579" t="s">
        <v>569</v>
      </c>
      <c r="C352" s="1574">
        <f>SUM(C350:C351)</f>
        <v>0</v>
      </c>
      <c r="D352" s="1574">
        <f t="shared" ref="D352:L352" si="27">SUM(D350:D351)</f>
        <v>0</v>
      </c>
      <c r="E352" s="1574">
        <f t="shared" si="27"/>
        <v>0</v>
      </c>
      <c r="F352" s="1574">
        <f t="shared" si="27"/>
        <v>0</v>
      </c>
      <c r="G352" s="1574">
        <f t="shared" si="27"/>
        <v>0</v>
      </c>
      <c r="H352" s="1574">
        <f t="shared" si="27"/>
        <v>0</v>
      </c>
      <c r="I352" s="1574">
        <f t="shared" si="27"/>
        <v>0</v>
      </c>
      <c r="J352" s="1574">
        <f t="shared" si="27"/>
        <v>0</v>
      </c>
      <c r="K352" s="1574">
        <f t="shared" si="27"/>
        <v>0</v>
      </c>
      <c r="L352" s="1574">
        <f t="shared" si="27"/>
        <v>0</v>
      </c>
    </row>
    <row r="353" spans="1:14" s="343" customFormat="1" ht="15.75" customHeight="1" thickTop="1" x14ac:dyDescent="0.2">
      <c r="A353" s="1522" t="s">
        <v>625</v>
      </c>
      <c r="B353" s="1519" t="s">
        <v>860</v>
      </c>
      <c r="C353" s="599"/>
      <c r="D353" s="599"/>
      <c r="E353" s="599"/>
      <c r="F353" s="599"/>
      <c r="G353" s="599"/>
      <c r="H353" s="599"/>
      <c r="I353" s="599"/>
      <c r="J353" s="599"/>
      <c r="K353" s="599"/>
      <c r="L353" s="599"/>
      <c r="M353" s="592"/>
      <c r="N353" s="592"/>
    </row>
    <row r="354" spans="1:14" ht="13.5" thickBot="1" x14ac:dyDescent="0.25">
      <c r="A354" s="1738" t="s">
        <v>1827</v>
      </c>
      <c r="B354" s="663" t="s">
        <v>1819</v>
      </c>
      <c r="C354" s="599"/>
      <c r="D354" s="599"/>
      <c r="E354" s="599"/>
      <c r="F354" s="599"/>
      <c r="G354" s="599"/>
      <c r="H354" s="1838">
        <v>0</v>
      </c>
      <c r="I354" s="681"/>
      <c r="J354" s="599"/>
      <c r="K354" s="1603">
        <f>H354</f>
        <v>0</v>
      </c>
      <c r="L354" s="1858">
        <v>0</v>
      </c>
    </row>
    <row r="355" spans="1:14" ht="12.75" customHeight="1" thickTop="1" thickBot="1" x14ac:dyDescent="0.25">
      <c r="A355" s="1423" t="s">
        <v>1828</v>
      </c>
      <c r="B355" s="670" t="s">
        <v>1821</v>
      </c>
      <c r="C355" s="599"/>
      <c r="D355" s="599"/>
      <c r="E355" s="599"/>
      <c r="F355" s="599"/>
      <c r="G355" s="599"/>
      <c r="H355" s="1838">
        <v>0</v>
      </c>
      <c r="I355" s="681"/>
      <c r="J355" s="599"/>
      <c r="K355" s="1647">
        <f>H355</f>
        <v>0</v>
      </c>
      <c r="L355" s="1858">
        <v>0</v>
      </c>
    </row>
    <row r="356" spans="1:14" ht="12.75" customHeight="1" thickTop="1" thickBot="1" x14ac:dyDescent="0.25">
      <c r="A356" s="1738" t="s">
        <v>698</v>
      </c>
      <c r="B356" s="663" t="s">
        <v>558</v>
      </c>
      <c r="C356" s="599"/>
      <c r="D356" s="599"/>
      <c r="E356" s="599"/>
      <c r="F356" s="599"/>
      <c r="G356" s="599"/>
      <c r="H356" s="1838">
        <v>0</v>
      </c>
      <c r="I356" s="681"/>
      <c r="J356" s="599"/>
      <c r="K356" s="1644">
        <f>H356</f>
        <v>0</v>
      </c>
      <c r="L356" s="1858">
        <v>0</v>
      </c>
    </row>
    <row r="357" spans="1:14" ht="12.75" customHeight="1" thickTop="1" thickBot="1" x14ac:dyDescent="0.25">
      <c r="A357" s="1572" t="s">
        <v>1485</v>
      </c>
      <c r="B357" s="1573" t="s">
        <v>860</v>
      </c>
      <c r="C357" s="599"/>
      <c r="D357" s="599"/>
      <c r="E357" s="599"/>
      <c r="F357" s="599"/>
      <c r="G357" s="599"/>
      <c r="H357" s="1592">
        <f>SUM(H354:H356)</f>
        <v>0</v>
      </c>
      <c r="I357" s="681"/>
      <c r="J357" s="599"/>
      <c r="K357" s="1592">
        <f>SUM(K354:K356)</f>
        <v>0</v>
      </c>
      <c r="L357" s="1592">
        <f>SUM(L354:L356)</f>
        <v>0</v>
      </c>
    </row>
    <row r="358" spans="1:14" s="343" customFormat="1" ht="15.75" customHeight="1" thickTop="1" x14ac:dyDescent="0.2">
      <c r="A358" s="1522" t="s">
        <v>948</v>
      </c>
      <c r="B358" s="1519"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38">
        <v>0</v>
      </c>
      <c r="I360" s="599"/>
      <c r="J360" s="599"/>
      <c r="K360" s="1575">
        <f>SUM(C360:J360)</f>
        <v>0</v>
      </c>
      <c r="L360" s="1838">
        <v>0</v>
      </c>
    </row>
    <row r="361" spans="1:14" ht="12.75" customHeight="1" x14ac:dyDescent="0.2">
      <c r="A361" s="1415" t="s">
        <v>619</v>
      </c>
      <c r="B361" s="585" t="s">
        <v>618</v>
      </c>
      <c r="C361" s="599"/>
      <c r="D361" s="599"/>
      <c r="E361" s="599"/>
      <c r="F361" s="599"/>
      <c r="G361" s="599"/>
      <c r="H361" s="1838">
        <v>0</v>
      </c>
      <c r="I361" s="599"/>
      <c r="J361" s="599"/>
      <c r="K361" s="1575">
        <f>SUM(C361:J361)</f>
        <v>0</v>
      </c>
      <c r="L361" s="1838">
        <v>0</v>
      </c>
    </row>
    <row r="362" spans="1:14" ht="12.75" customHeight="1" thickBot="1" x14ac:dyDescent="0.25">
      <c r="A362" s="1572" t="s">
        <v>626</v>
      </c>
      <c r="B362" s="1573" t="s">
        <v>718</v>
      </c>
      <c r="C362" s="599"/>
      <c r="D362" s="599"/>
      <c r="E362" s="599"/>
      <c r="F362" s="599"/>
      <c r="G362" s="599"/>
      <c r="H362" s="1607">
        <f>SUM(H360:H361)</f>
        <v>0</v>
      </c>
      <c r="I362" s="599"/>
      <c r="J362" s="599"/>
      <c r="K362" s="1607">
        <f>SUM(K360:K361)</f>
        <v>0</v>
      </c>
      <c r="L362" s="1607">
        <f>SUM(L360:L361)</f>
        <v>0</v>
      </c>
    </row>
    <row r="363" spans="1:14" s="654" customFormat="1" ht="15.75" customHeight="1" thickTop="1" x14ac:dyDescent="0.2">
      <c r="A363" s="640" t="s">
        <v>83</v>
      </c>
      <c r="B363" s="641" t="s">
        <v>38</v>
      </c>
      <c r="C363" s="620"/>
      <c r="D363" s="620"/>
      <c r="E363" s="620"/>
      <c r="F363" s="620"/>
      <c r="G363" s="620"/>
      <c r="H363" s="1838">
        <v>0</v>
      </c>
      <c r="I363" s="620"/>
      <c r="J363" s="620"/>
      <c r="K363" s="1603">
        <f>SUM(C363:J363)</f>
        <v>0</v>
      </c>
      <c r="L363" s="1860">
        <v>0</v>
      </c>
      <c r="M363" s="645"/>
      <c r="N363" s="645"/>
    </row>
    <row r="364" spans="1:14" s="686" customFormat="1" ht="29.25" customHeight="1" x14ac:dyDescent="0.2">
      <c r="A364" s="682" t="s">
        <v>1666</v>
      </c>
      <c r="B364" s="683">
        <v>5300</v>
      </c>
      <c r="C364" s="684"/>
      <c r="D364" s="685"/>
      <c r="E364" s="685"/>
      <c r="F364" s="684"/>
      <c r="G364" s="685"/>
      <c r="H364" s="1838">
        <v>0</v>
      </c>
      <c r="I364" s="685"/>
      <c r="J364" s="685"/>
      <c r="K364" s="1575">
        <f>SUM(C364:J364)</f>
        <v>0</v>
      </c>
      <c r="L364" s="1862">
        <v>0</v>
      </c>
    </row>
    <row r="365" spans="1:14" s="654" customFormat="1" ht="12.75" customHeight="1" thickBot="1" x14ac:dyDescent="0.25">
      <c r="A365" s="1431" t="s">
        <v>590</v>
      </c>
      <c r="B365" s="639" t="s">
        <v>492</v>
      </c>
      <c r="C365" s="620"/>
      <c r="D365" s="620"/>
      <c r="E365" s="620"/>
      <c r="F365" s="620"/>
      <c r="G365" s="620"/>
      <c r="H365" s="1607">
        <f>SUM(H362,H363,H364)</f>
        <v>0</v>
      </c>
      <c r="I365" s="620"/>
      <c r="J365" s="620"/>
      <c r="K365" s="1607">
        <f>SUM(K362,K363,K364)</f>
        <v>0</v>
      </c>
      <c r="L365" s="1607">
        <f>SUM(L362,L363,L364)</f>
        <v>0</v>
      </c>
      <c r="M365" s="645"/>
      <c r="N365" s="645"/>
    </row>
    <row r="366" spans="1:14" s="343" customFormat="1" ht="15.75" customHeight="1" thickTop="1" thickBot="1" x14ac:dyDescent="0.25">
      <c r="A366" s="1516" t="s">
        <v>949</v>
      </c>
      <c r="B366" s="1523" t="s">
        <v>861</v>
      </c>
      <c r="C366" s="606"/>
      <c r="D366" s="606"/>
      <c r="E366" s="606"/>
      <c r="F366" s="606"/>
      <c r="G366" s="606"/>
      <c r="H366" s="606"/>
      <c r="I366" s="606"/>
      <c r="J366" s="599"/>
      <c r="K366" s="606"/>
      <c r="L366" s="1859">
        <v>0</v>
      </c>
      <c r="M366" s="592"/>
      <c r="N366" s="592"/>
    </row>
    <row r="367" spans="1:14" ht="12.75" customHeight="1" thickTop="1" thickBot="1" x14ac:dyDescent="0.25">
      <c r="A367" s="1596" t="s">
        <v>505</v>
      </c>
      <c r="B367" s="1608"/>
      <c r="C367" s="1574">
        <f t="shared" ref="C367:L367" si="28">SUM(C352,C357,C365,C366)</f>
        <v>0</v>
      </c>
      <c r="D367" s="1574">
        <f t="shared" si="28"/>
        <v>0</v>
      </c>
      <c r="E367" s="1574">
        <f t="shared" si="28"/>
        <v>0</v>
      </c>
      <c r="F367" s="1574">
        <f t="shared" si="28"/>
        <v>0</v>
      </c>
      <c r="G367" s="1574">
        <f t="shared" si="28"/>
        <v>0</v>
      </c>
      <c r="H367" s="1574">
        <f t="shared" si="28"/>
        <v>0</v>
      </c>
      <c r="I367" s="1574">
        <f t="shared" si="28"/>
        <v>0</v>
      </c>
      <c r="J367" s="1574">
        <f t="shared" si="28"/>
        <v>0</v>
      </c>
      <c r="K367" s="1574">
        <f t="shared" si="28"/>
        <v>0</v>
      </c>
      <c r="L367" s="1574">
        <f t="shared" si="28"/>
        <v>0</v>
      </c>
    </row>
    <row r="368" spans="1:14" ht="13.5" thickTop="1" x14ac:dyDescent="0.2">
      <c r="A368" s="2181" t="s">
        <v>996</v>
      </c>
      <c r="B368" s="2182"/>
      <c r="C368" s="635"/>
      <c r="D368" s="635"/>
      <c r="E368" s="609"/>
      <c r="F368" s="609"/>
      <c r="G368" s="609"/>
      <c r="H368" s="609"/>
      <c r="I368" s="609"/>
      <c r="J368" s="606"/>
      <c r="K368" s="1575">
        <f>'Revenues 9-14'!K268-'Expenditures 15-22'!K367</f>
        <v>0</v>
      </c>
      <c r="L368" s="635"/>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36" sqref="D36"/>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85" t="s">
        <v>104</v>
      </c>
    </row>
    <row r="2" spans="1:6" ht="39.75" customHeight="1" x14ac:dyDescent="0.2">
      <c r="A2" s="2183" t="s">
        <v>1777</v>
      </c>
      <c r="B2" s="1438" t="s">
        <v>1925</v>
      </c>
      <c r="C2" s="692" t="s">
        <v>1926</v>
      </c>
      <c r="D2" s="692" t="s">
        <v>1927</v>
      </c>
      <c r="E2" s="692" t="s">
        <v>1928</v>
      </c>
      <c r="F2" s="692" t="s">
        <v>1929</v>
      </c>
    </row>
    <row r="3" spans="1:6" ht="12" customHeight="1" x14ac:dyDescent="0.2">
      <c r="A3" s="2184"/>
      <c r="B3" s="1435"/>
      <c r="C3" s="1436"/>
      <c r="D3" s="1437" t="s">
        <v>256</v>
      </c>
      <c r="E3" s="1436"/>
      <c r="F3" s="1437" t="s">
        <v>257</v>
      </c>
    </row>
    <row r="4" spans="1:6" ht="13.7" customHeight="1" x14ac:dyDescent="0.2">
      <c r="A4" s="693" t="s">
        <v>1155</v>
      </c>
      <c r="B4" s="1653">
        <f>'Revenues 9-14'!C5</f>
        <v>7066950</v>
      </c>
      <c r="C4" s="1434">
        <v>3569434</v>
      </c>
      <c r="D4" s="1656">
        <f>B4-C4</f>
        <v>3497516</v>
      </c>
      <c r="E4" s="1434">
        <v>7344431</v>
      </c>
      <c r="F4" s="1656">
        <f>E4-C4</f>
        <v>3774997</v>
      </c>
    </row>
    <row r="5" spans="1:6" ht="13.7" customHeight="1" x14ac:dyDescent="0.2">
      <c r="A5" s="693" t="s">
        <v>870</v>
      </c>
      <c r="B5" s="1654">
        <f>'Revenues 9-14'!D5</f>
        <v>1165418</v>
      </c>
      <c r="C5" s="572">
        <v>590398</v>
      </c>
      <c r="D5" s="1657">
        <f t="shared" ref="D5:D18" si="0">B5-C5</f>
        <v>575020</v>
      </c>
      <c r="E5" s="572">
        <v>1214796</v>
      </c>
      <c r="F5" s="1657">
        <f>E5-C5</f>
        <v>624398</v>
      </c>
    </row>
    <row r="6" spans="1:6" ht="13.7" customHeight="1" x14ac:dyDescent="0.2">
      <c r="A6" s="693" t="s">
        <v>411</v>
      </c>
      <c r="B6" s="1654">
        <f>'Revenues 9-14'!E5</f>
        <v>1714002</v>
      </c>
      <c r="C6" s="572">
        <v>856210</v>
      </c>
      <c r="D6" s="1657">
        <f t="shared" si="0"/>
        <v>857792</v>
      </c>
      <c r="E6" s="572">
        <v>1761729</v>
      </c>
      <c r="F6" s="1657">
        <f t="shared" ref="F6:F18" si="1">E6-C6</f>
        <v>905519</v>
      </c>
    </row>
    <row r="7" spans="1:6" ht="13.7" customHeight="1" x14ac:dyDescent="0.2">
      <c r="A7" s="693" t="s">
        <v>155</v>
      </c>
      <c r="B7" s="1654">
        <f>'Revenues 9-14'!F5</f>
        <v>473365</v>
      </c>
      <c r="C7" s="572">
        <v>247780</v>
      </c>
      <c r="D7" s="1657">
        <f t="shared" si="0"/>
        <v>225585</v>
      </c>
      <c r="E7" s="572">
        <v>509829</v>
      </c>
      <c r="F7" s="1657">
        <f t="shared" si="1"/>
        <v>262049</v>
      </c>
    </row>
    <row r="8" spans="1:6" ht="13.7" customHeight="1" x14ac:dyDescent="0.2">
      <c r="A8" s="693" t="s">
        <v>1179</v>
      </c>
      <c r="B8" s="1654">
        <f>'Revenues 9-14'!G5</f>
        <v>81831</v>
      </c>
      <c r="C8" s="572">
        <v>41074</v>
      </c>
      <c r="D8" s="1657">
        <f t="shared" si="0"/>
        <v>40757</v>
      </c>
      <c r="E8" s="572">
        <v>84514</v>
      </c>
      <c r="F8" s="1657">
        <f t="shared" si="1"/>
        <v>43440</v>
      </c>
    </row>
    <row r="9" spans="1:6" ht="13.7" customHeight="1" x14ac:dyDescent="0.2">
      <c r="A9" s="693" t="s">
        <v>408</v>
      </c>
      <c r="B9" s="1654">
        <f>'Revenues 9-14'!H5</f>
        <v>0</v>
      </c>
      <c r="C9" s="572"/>
      <c r="D9" s="1657">
        <f t="shared" si="0"/>
        <v>0</v>
      </c>
      <c r="E9" s="572"/>
      <c r="F9" s="1657">
        <f t="shared" si="1"/>
        <v>0</v>
      </c>
    </row>
    <row r="10" spans="1:6" ht="13.7" customHeight="1" x14ac:dyDescent="0.2">
      <c r="A10" s="693" t="s">
        <v>407</v>
      </c>
      <c r="B10" s="1654">
        <f>'Revenues 9-14'!I5</f>
        <v>0</v>
      </c>
      <c r="C10" s="572"/>
      <c r="D10" s="1657">
        <f t="shared" si="0"/>
        <v>0</v>
      </c>
      <c r="E10" s="572"/>
      <c r="F10" s="1657">
        <f t="shared" si="1"/>
        <v>0</v>
      </c>
    </row>
    <row r="11" spans="1:6" x14ac:dyDescent="0.2">
      <c r="A11" s="693" t="s">
        <v>409</v>
      </c>
      <c r="B11" s="1654">
        <f>'Revenues 9-14'!J5</f>
        <v>0</v>
      </c>
      <c r="C11" s="572"/>
      <c r="D11" s="1657">
        <f t="shared" si="0"/>
        <v>0</v>
      </c>
      <c r="E11" s="572"/>
      <c r="F11" s="1657">
        <f t="shared" si="1"/>
        <v>0</v>
      </c>
    </row>
    <row r="12" spans="1:6" ht="13.7" customHeight="1" x14ac:dyDescent="0.2">
      <c r="A12" s="693" t="s">
        <v>157</v>
      </c>
      <c r="B12" s="1654">
        <f>'Revenues 9-14'!K5</f>
        <v>0</v>
      </c>
      <c r="C12" s="572"/>
      <c r="D12" s="1657">
        <f t="shared" si="0"/>
        <v>0</v>
      </c>
      <c r="E12" s="572"/>
      <c r="F12" s="1657">
        <f t="shared" si="1"/>
        <v>0</v>
      </c>
    </row>
    <row r="13" spans="1:6" ht="13.7" customHeight="1" x14ac:dyDescent="0.2">
      <c r="A13" s="693" t="s">
        <v>936</v>
      </c>
      <c r="B13" s="1654">
        <f>SUM('Revenues 9-14'!C6:D6)</f>
        <v>0</v>
      </c>
      <c r="C13" s="572"/>
      <c r="D13" s="1657">
        <f t="shared" si="0"/>
        <v>0</v>
      </c>
      <c r="E13" s="572"/>
      <c r="F13" s="1657">
        <f t="shared" si="1"/>
        <v>0</v>
      </c>
    </row>
    <row r="14" spans="1:6" ht="13.7" customHeight="1" x14ac:dyDescent="0.2">
      <c r="A14" s="693" t="s">
        <v>410</v>
      </c>
      <c r="B14" s="1654">
        <f>SUM('Revenues 9-14'!C7:D7,'Revenues 9-14'!F7:H7)</f>
        <v>0</v>
      </c>
      <c r="C14" s="572"/>
      <c r="D14" s="1657">
        <f t="shared" si="0"/>
        <v>0</v>
      </c>
      <c r="E14" s="572"/>
      <c r="F14" s="1657">
        <f t="shared" si="1"/>
        <v>0</v>
      </c>
    </row>
    <row r="15" spans="1:6" ht="13.7" customHeight="1" x14ac:dyDescent="0.2">
      <c r="A15" s="693" t="s">
        <v>1158</v>
      </c>
      <c r="B15" s="1654">
        <f>SUM('Revenues 9-14'!D9:E9,'Revenues 9-14'!H9)</f>
        <v>0</v>
      </c>
      <c r="C15" s="572"/>
      <c r="D15" s="1657">
        <f t="shared" si="0"/>
        <v>0</v>
      </c>
      <c r="E15" s="572"/>
      <c r="F15" s="1657">
        <f t="shared" si="1"/>
        <v>0</v>
      </c>
    </row>
    <row r="16" spans="1:6" ht="13.7" customHeight="1" x14ac:dyDescent="0.2">
      <c r="A16" s="693" t="s">
        <v>1159</v>
      </c>
      <c r="B16" s="1654">
        <f>'Revenues 9-14'!G8</f>
        <v>81831</v>
      </c>
      <c r="C16" s="572">
        <v>41074</v>
      </c>
      <c r="D16" s="1657">
        <f t="shared" si="0"/>
        <v>40757</v>
      </c>
      <c r="E16" s="572">
        <v>84514</v>
      </c>
      <c r="F16" s="1657">
        <f t="shared" si="1"/>
        <v>43440</v>
      </c>
    </row>
    <row r="17" spans="1:6" ht="13.7" customHeight="1" x14ac:dyDescent="0.2">
      <c r="A17" s="693" t="s">
        <v>1160</v>
      </c>
      <c r="B17" s="1654">
        <f>'Revenues 9-14'!C10</f>
        <v>0</v>
      </c>
      <c r="C17" s="572"/>
      <c r="D17" s="1657">
        <f t="shared" si="0"/>
        <v>0</v>
      </c>
      <c r="E17" s="572"/>
      <c r="F17" s="1657">
        <f t="shared" si="1"/>
        <v>0</v>
      </c>
    </row>
    <row r="18" spans="1:6" ht="13.7" customHeight="1" x14ac:dyDescent="0.2">
      <c r="A18" s="693" t="s">
        <v>762</v>
      </c>
      <c r="B18" s="1654">
        <f>SUM('Revenues 9-14'!C11:K11)</f>
        <v>0</v>
      </c>
      <c r="C18" s="572"/>
      <c r="D18" s="1657">
        <f t="shared" si="0"/>
        <v>0</v>
      </c>
      <c r="E18" s="572"/>
      <c r="F18" s="1657">
        <f t="shared" si="1"/>
        <v>0</v>
      </c>
    </row>
    <row r="19" spans="1:6" ht="13.7" customHeight="1" thickBot="1" x14ac:dyDescent="0.25">
      <c r="A19" s="1658" t="s">
        <v>1161</v>
      </c>
      <c r="B19" s="1655">
        <f>SUM(B4:B18)</f>
        <v>10583397</v>
      </c>
      <c r="C19" s="1655">
        <f>SUM(C4:C18)</f>
        <v>5345970</v>
      </c>
      <c r="D19" s="1655">
        <f>SUM(D4:D18)</f>
        <v>5237427</v>
      </c>
      <c r="E19" s="1655">
        <f>SUM(E4:E18)</f>
        <v>10999813</v>
      </c>
      <c r="F19" s="1655">
        <f>SUM(F4:F18)</f>
        <v>5653843</v>
      </c>
    </row>
    <row r="20" spans="1:6" ht="13.5" thickTop="1" x14ac:dyDescent="0.2">
      <c r="B20" s="691"/>
      <c r="F20" s="694"/>
    </row>
    <row r="21" spans="1:6" x14ac:dyDescent="0.2">
      <c r="A21" s="695" t="s">
        <v>1783</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59"/>
  <sheetViews>
    <sheetView showGridLines="0" defaultGridColor="0" topLeftCell="A25" colorId="8" zoomScale="110" zoomScaleNormal="110" workbookViewId="0">
      <selection activeCell="D36" sqref="D36"/>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1" width="9.140625" style="384"/>
    <col min="12" max="12" width="9.42578125" style="384" bestFit="1" customWidth="1"/>
    <col min="13" max="16384" width="9.140625" style="384"/>
  </cols>
  <sheetData>
    <row r="1" spans="1:7" ht="27" customHeight="1" x14ac:dyDescent="0.2">
      <c r="A1" s="2189" t="s">
        <v>629</v>
      </c>
      <c r="B1" s="2190"/>
      <c r="C1" s="699"/>
    </row>
    <row r="2" spans="1:7" ht="33.75" x14ac:dyDescent="0.2">
      <c r="A2" s="2198" t="s">
        <v>1777</v>
      </c>
      <c r="B2" s="2199"/>
      <c r="C2" s="1786" t="s">
        <v>1930</v>
      </c>
      <c r="D2" s="701" t="s">
        <v>1931</v>
      </c>
      <c r="E2" s="701" t="s">
        <v>1932</v>
      </c>
      <c r="F2" s="1786" t="s">
        <v>1933</v>
      </c>
    </row>
    <row r="3" spans="1:7" ht="15.75" customHeight="1" x14ac:dyDescent="0.2">
      <c r="A3" s="2202" t="s">
        <v>1114</v>
      </c>
      <c r="B3" s="2203"/>
      <c r="C3" s="2191"/>
      <c r="D3" s="2192"/>
      <c r="E3" s="2192"/>
      <c r="F3" s="2193"/>
    </row>
    <row r="4" spans="1:7" ht="12.75" customHeight="1" thickBot="1" x14ac:dyDescent="0.25">
      <c r="A4" s="2200" t="s">
        <v>630</v>
      </c>
      <c r="B4" s="2201"/>
      <c r="C4" s="569"/>
      <c r="D4" s="569"/>
      <c r="E4" s="569"/>
      <c r="F4" s="1659">
        <f>SUM(C4+D4)-E4</f>
        <v>0</v>
      </c>
    </row>
    <row r="5" spans="1:7" ht="15.75" customHeight="1" thickTop="1" x14ac:dyDescent="0.2">
      <c r="A5" s="2185" t="s">
        <v>1110</v>
      </c>
      <c r="B5" s="2186"/>
      <c r="C5" s="2194"/>
      <c r="D5" s="2195"/>
      <c r="E5" s="2195"/>
      <c r="F5" s="2196"/>
    </row>
    <row r="6" spans="1:7" ht="12.75" customHeight="1" thickBot="1" x14ac:dyDescent="0.25">
      <c r="A6" s="702" t="s">
        <v>64</v>
      </c>
      <c r="B6" s="703"/>
      <c r="C6" s="704"/>
      <c r="D6" s="572"/>
      <c r="E6" s="704"/>
      <c r="F6" s="1659">
        <f t="shared" ref="F6:F14" si="0">SUM(C6+D6)-E6</f>
        <v>0</v>
      </c>
    </row>
    <row r="7" spans="1:7" ht="12.75" customHeight="1" thickTop="1" thickBot="1" x14ac:dyDescent="0.25">
      <c r="A7" s="702" t="s">
        <v>6</v>
      </c>
      <c r="B7" s="703"/>
      <c r="C7" s="704"/>
      <c r="D7" s="572"/>
      <c r="E7" s="704"/>
      <c r="F7" s="1659">
        <f t="shared" si="0"/>
        <v>0</v>
      </c>
    </row>
    <row r="8" spans="1:7" ht="12.75" customHeight="1" thickTop="1" thickBot="1" x14ac:dyDescent="0.25">
      <c r="A8" s="702" t="s">
        <v>508</v>
      </c>
      <c r="B8" s="703"/>
      <c r="C8" s="704"/>
      <c r="D8" s="572"/>
      <c r="E8" s="704"/>
      <c r="F8" s="1659">
        <f t="shared" si="0"/>
        <v>0</v>
      </c>
    </row>
    <row r="9" spans="1:7" ht="12.75" customHeight="1" thickTop="1" thickBot="1" x14ac:dyDescent="0.25">
      <c r="A9" s="702" t="s">
        <v>509</v>
      </c>
      <c r="B9" s="703"/>
      <c r="C9" s="704"/>
      <c r="D9" s="572"/>
      <c r="E9" s="704"/>
      <c r="F9" s="1659">
        <f t="shared" si="0"/>
        <v>0</v>
      </c>
    </row>
    <row r="10" spans="1:7" ht="12.75" customHeight="1" thickTop="1" thickBot="1" x14ac:dyDescent="0.25">
      <c r="A10" s="702" t="s">
        <v>510</v>
      </c>
      <c r="B10" s="703"/>
      <c r="C10" s="704"/>
      <c r="D10" s="572"/>
      <c r="E10" s="704"/>
      <c r="F10" s="1659">
        <f t="shared" si="0"/>
        <v>0</v>
      </c>
    </row>
    <row r="11" spans="1:7" ht="12.75" customHeight="1" thickTop="1" thickBot="1" x14ac:dyDescent="0.25">
      <c r="A11" s="702" t="s">
        <v>341</v>
      </c>
      <c r="B11" s="703"/>
      <c r="C11" s="704"/>
      <c r="D11" s="572"/>
      <c r="E11" s="704"/>
      <c r="F11" s="1659">
        <f t="shared" si="0"/>
        <v>0</v>
      </c>
    </row>
    <row r="12" spans="1:7" ht="12.75" customHeight="1" thickTop="1" thickBot="1" x14ac:dyDescent="0.25">
      <c r="A12" s="702" t="s">
        <v>1157</v>
      </c>
      <c r="B12" s="703"/>
      <c r="C12" s="704"/>
      <c r="D12" s="572"/>
      <c r="E12" s="704"/>
      <c r="F12" s="1659">
        <f t="shared" si="0"/>
        <v>0</v>
      </c>
    </row>
    <row r="13" spans="1:7" ht="12.75" customHeight="1" thickTop="1" thickBot="1" x14ac:dyDescent="0.25">
      <c r="A13" s="702" t="s">
        <v>388</v>
      </c>
      <c r="B13" s="703"/>
      <c r="C13" s="704"/>
      <c r="D13" s="572"/>
      <c r="E13" s="704"/>
      <c r="F13" s="1659">
        <f t="shared" si="0"/>
        <v>0</v>
      </c>
    </row>
    <row r="14" spans="1:7" ht="12.75" customHeight="1" thickTop="1" thickBot="1" x14ac:dyDescent="0.25">
      <c r="A14" s="702" t="s">
        <v>448</v>
      </c>
      <c r="B14" s="703"/>
      <c r="C14" s="704"/>
      <c r="D14" s="572"/>
      <c r="E14" s="704"/>
      <c r="F14" s="1659">
        <f t="shared" si="0"/>
        <v>0</v>
      </c>
    </row>
    <row r="15" spans="1:7" ht="14.25" thickTop="1" thickBot="1" x14ac:dyDescent="0.25">
      <c r="A15" s="2187" t="s">
        <v>631</v>
      </c>
      <c r="B15" s="2188"/>
      <c r="C15" s="1659">
        <f>SUM(C6:C14)</f>
        <v>0</v>
      </c>
      <c r="D15" s="1659">
        <f>SUM(D6:D14)</f>
        <v>0</v>
      </c>
      <c r="E15" s="1659">
        <f>SUM(E6:E14)</f>
        <v>0</v>
      </c>
      <c r="F15" s="1659">
        <f>SUM(F6:F14)</f>
        <v>0</v>
      </c>
      <c r="G15" s="550"/>
    </row>
    <row r="16" spans="1:7" s="202" customFormat="1" ht="15.75" customHeight="1" thickTop="1" x14ac:dyDescent="0.2">
      <c r="A16" s="2197" t="s">
        <v>1111</v>
      </c>
      <c r="B16" s="2186"/>
      <c r="C16" s="2194"/>
      <c r="D16" s="2195"/>
      <c r="E16" s="2195"/>
      <c r="F16" s="2196"/>
    </row>
    <row r="17" spans="1:11" ht="12.75" customHeight="1" thickBot="1" x14ac:dyDescent="0.25">
      <c r="A17" s="2210" t="s">
        <v>64</v>
      </c>
      <c r="B17" s="2211"/>
      <c r="C17" s="704"/>
      <c r="D17" s="572"/>
      <c r="E17" s="704"/>
      <c r="F17" s="1659">
        <f>SUM(C17+D17)-E17</f>
        <v>0</v>
      </c>
    </row>
    <row r="18" spans="1:11" ht="12.75" customHeight="1" thickTop="1" thickBot="1" x14ac:dyDescent="0.25">
      <c r="A18" s="2210" t="s">
        <v>6</v>
      </c>
      <c r="B18" s="2211"/>
      <c r="C18" s="704"/>
      <c r="D18" s="572"/>
      <c r="E18" s="704"/>
      <c r="F18" s="1659">
        <f>SUM(C18+D18)-E18</f>
        <v>0</v>
      </c>
    </row>
    <row r="19" spans="1:11" ht="12.75" customHeight="1" thickTop="1" thickBot="1" x14ac:dyDescent="0.25">
      <c r="A19" s="2210" t="s">
        <v>388</v>
      </c>
      <c r="B19" s="2211"/>
      <c r="C19" s="704"/>
      <c r="D19" s="572"/>
      <c r="E19" s="704"/>
      <c r="F19" s="1659">
        <f>SUM(C19+D19)-E19</f>
        <v>0</v>
      </c>
    </row>
    <row r="20" spans="1:11" ht="12.75" customHeight="1" thickTop="1" thickBot="1" x14ac:dyDescent="0.25">
      <c r="A20" s="2210" t="s">
        <v>448</v>
      </c>
      <c r="B20" s="2211"/>
      <c r="C20" s="704"/>
      <c r="D20" s="572"/>
      <c r="E20" s="704"/>
      <c r="F20" s="1659">
        <f>SUM(C20+D20)-E20</f>
        <v>0</v>
      </c>
    </row>
    <row r="21" spans="1:11" ht="14.25" thickTop="1" thickBot="1" x14ac:dyDescent="0.25">
      <c r="A21" s="2187" t="s">
        <v>632</v>
      </c>
      <c r="B21" s="2188"/>
      <c r="C21" s="1659">
        <f>SUM(C17:C20)</f>
        <v>0</v>
      </c>
      <c r="D21" s="1659">
        <f>SUM(D17:D20)</f>
        <v>0</v>
      </c>
      <c r="E21" s="1659">
        <f>SUM(E17:E20)</f>
        <v>0</v>
      </c>
      <c r="F21" s="1659">
        <f>SUM(F17:F20)</f>
        <v>0</v>
      </c>
      <c r="G21" s="550"/>
    </row>
    <row r="22" spans="1:11" ht="15.75" customHeight="1" thickTop="1" x14ac:dyDescent="0.2">
      <c r="A22" s="2212" t="s">
        <v>1112</v>
      </c>
      <c r="B22" s="2186"/>
      <c r="C22" s="2194"/>
      <c r="D22" s="2195"/>
      <c r="E22" s="2195"/>
      <c r="F22" s="2196"/>
    </row>
    <row r="23" spans="1:11" ht="13.5" thickBot="1" x14ac:dyDescent="0.25">
      <c r="A23" s="2200" t="s">
        <v>633</v>
      </c>
      <c r="B23" s="2201"/>
      <c r="C23" s="569"/>
      <c r="D23" s="569"/>
      <c r="E23" s="569"/>
      <c r="F23" s="1659">
        <f>SUM(C23+D23)-E23</f>
        <v>0</v>
      </c>
      <c r="G23" s="550"/>
    </row>
    <row r="24" spans="1:11" ht="15.75" customHeight="1" thickTop="1" x14ac:dyDescent="0.2">
      <c r="A24" s="2212" t="s">
        <v>1113</v>
      </c>
      <c r="B24" s="2186"/>
      <c r="C24" s="2194"/>
      <c r="D24" s="2195"/>
      <c r="E24" s="2195"/>
      <c r="F24" s="2196"/>
    </row>
    <row r="25" spans="1:11" ht="13.5" thickBot="1" x14ac:dyDescent="0.25">
      <c r="A25" s="2200" t="s">
        <v>634</v>
      </c>
      <c r="B25" s="2201"/>
      <c r="C25" s="569"/>
      <c r="D25" s="569"/>
      <c r="E25" s="569"/>
      <c r="F25" s="1659">
        <f>SUM(C25+D25)-E25</f>
        <v>0</v>
      </c>
      <c r="G25" s="550"/>
    </row>
    <row r="26" spans="1:11" ht="15.75" customHeight="1" thickTop="1" x14ac:dyDescent="0.2">
      <c r="A26" s="2185" t="s">
        <v>657</v>
      </c>
      <c r="B26" s="2186"/>
      <c r="C26" s="705"/>
      <c r="D26" s="705"/>
      <c r="E26" s="705"/>
      <c r="F26" s="706"/>
    </row>
    <row r="27" spans="1:11" ht="13.5" thickBot="1" x14ac:dyDescent="0.25">
      <c r="A27" s="2187" t="s">
        <v>1070</v>
      </c>
      <c r="B27" s="2188"/>
      <c r="C27" s="572"/>
      <c r="D27" s="572"/>
      <c r="E27" s="572"/>
      <c r="F27" s="1659">
        <f>SUM(C27+D27)-E27</f>
        <v>0</v>
      </c>
      <c r="G27" s="550"/>
    </row>
    <row r="28" spans="1:11" ht="7.5" customHeight="1" thickTop="1" x14ac:dyDescent="0.2">
      <c r="A28" s="576"/>
    </row>
    <row r="29" spans="1:11" ht="23.25" customHeight="1" x14ac:dyDescent="0.2">
      <c r="A29" s="2213" t="s">
        <v>582</v>
      </c>
      <c r="B29" s="2190"/>
      <c r="C29" s="707"/>
      <c r="D29" s="707"/>
      <c r="E29" s="707"/>
      <c r="F29" s="707"/>
      <c r="G29" s="707"/>
      <c r="H29" s="707"/>
      <c r="I29" s="707"/>
      <c r="J29" s="707"/>
    </row>
    <row r="30" spans="1:11" ht="33.75" x14ac:dyDescent="0.2">
      <c r="A30" s="1439" t="s">
        <v>1071</v>
      </c>
      <c r="B30" s="708" t="s">
        <v>1124</v>
      </c>
      <c r="C30" s="1787" t="s">
        <v>583</v>
      </c>
      <c r="D30" s="1787" t="s">
        <v>1667</v>
      </c>
      <c r="E30" s="1787" t="s">
        <v>1934</v>
      </c>
      <c r="F30" s="1787" t="s">
        <v>1935</v>
      </c>
      <c r="G30" s="1787" t="s">
        <v>1885</v>
      </c>
      <c r="H30" s="1787" t="s">
        <v>1936</v>
      </c>
      <c r="I30" s="1787" t="s">
        <v>1937</v>
      </c>
      <c r="J30" s="1788" t="s">
        <v>2</v>
      </c>
      <c r="K30" s="709"/>
    </row>
    <row r="31" spans="1:11" ht="12" customHeight="1" x14ac:dyDescent="0.2">
      <c r="A31" s="710" t="s">
        <v>2077</v>
      </c>
      <c r="B31" s="711">
        <v>40148</v>
      </c>
      <c r="C31" s="712">
        <v>1250000</v>
      </c>
      <c r="D31" s="713">
        <v>7</v>
      </c>
      <c r="E31" s="712">
        <v>160000</v>
      </c>
      <c r="F31" s="712"/>
      <c r="G31" s="712"/>
      <c r="H31" s="712">
        <v>160000</v>
      </c>
      <c r="I31" s="1660">
        <f>((E31+F31)-H31)+G31</f>
        <v>0</v>
      </c>
      <c r="J31" s="712">
        <v>0</v>
      </c>
      <c r="K31" s="714"/>
    </row>
    <row r="32" spans="1:11" ht="12" customHeight="1" x14ac:dyDescent="0.2">
      <c r="A32" s="710" t="s">
        <v>2077</v>
      </c>
      <c r="B32" s="711">
        <v>41723</v>
      </c>
      <c r="C32" s="712">
        <v>2631023</v>
      </c>
      <c r="D32" s="713">
        <v>7</v>
      </c>
      <c r="E32" s="712">
        <v>1664072</v>
      </c>
      <c r="F32" s="712"/>
      <c r="G32" s="712"/>
      <c r="H32" s="712">
        <v>258890</v>
      </c>
      <c r="I32" s="1660">
        <f>((E32+F32)-H32)+G32</f>
        <v>1405182</v>
      </c>
      <c r="J32" s="712">
        <v>0</v>
      </c>
      <c r="K32" s="714"/>
    </row>
    <row r="33" spans="1:12" ht="12" customHeight="1" x14ac:dyDescent="0.2">
      <c r="A33" s="710" t="s">
        <v>2078</v>
      </c>
      <c r="B33" s="711">
        <v>42808</v>
      </c>
      <c r="C33" s="712">
        <v>7805000</v>
      </c>
      <c r="D33" s="713">
        <v>6</v>
      </c>
      <c r="E33" s="712">
        <v>7805000</v>
      </c>
      <c r="F33" s="712"/>
      <c r="G33" s="712"/>
      <c r="H33" s="712">
        <v>1460000</v>
      </c>
      <c r="I33" s="1660">
        <f t="shared" ref="I33:I48" si="1">((E33+F33)-H33)+G33</f>
        <v>6345000</v>
      </c>
      <c r="J33" s="712">
        <v>5128382</v>
      </c>
      <c r="K33" s="714"/>
    </row>
    <row r="34" spans="1:12" ht="12" customHeight="1" x14ac:dyDescent="0.2">
      <c r="A34" s="710"/>
      <c r="B34" s="711"/>
      <c r="C34" s="712"/>
      <c r="D34" s="713"/>
      <c r="E34" s="712"/>
      <c r="F34" s="712"/>
      <c r="G34" s="712"/>
      <c r="H34" s="712"/>
      <c r="I34" s="1660">
        <f t="shared" si="1"/>
        <v>0</v>
      </c>
      <c r="J34" s="712"/>
      <c r="K34" s="715"/>
    </row>
    <row r="35" spans="1:12" ht="12" customHeight="1" x14ac:dyDescent="0.2">
      <c r="A35" s="710"/>
      <c r="B35" s="711"/>
      <c r="C35" s="716"/>
      <c r="D35" s="713"/>
      <c r="E35" s="716"/>
      <c r="F35" s="716"/>
      <c r="G35" s="716"/>
      <c r="H35" s="716"/>
      <c r="I35" s="1660">
        <f t="shared" si="1"/>
        <v>0</v>
      </c>
      <c r="J35" s="716"/>
      <c r="K35" s="715"/>
    </row>
    <row r="36" spans="1:12" ht="12" customHeight="1" x14ac:dyDescent="0.2">
      <c r="A36" s="710"/>
      <c r="B36" s="711"/>
      <c r="C36" s="712"/>
      <c r="D36" s="713"/>
      <c r="E36" s="712"/>
      <c r="F36" s="712"/>
      <c r="G36" s="712"/>
      <c r="H36" s="712"/>
      <c r="I36" s="1660">
        <f t="shared" si="1"/>
        <v>0</v>
      </c>
      <c r="J36" s="712"/>
      <c r="K36" s="717"/>
      <c r="L36" s="550"/>
    </row>
    <row r="37" spans="1:12" ht="12" customHeight="1" x14ac:dyDescent="0.2">
      <c r="A37" s="710"/>
      <c r="B37" s="711"/>
      <c r="C37" s="467"/>
      <c r="D37" s="718"/>
      <c r="E37" s="467"/>
      <c r="F37" s="467"/>
      <c r="G37" s="467"/>
      <c r="H37" s="467"/>
      <c r="I37" s="1660">
        <f t="shared" si="1"/>
        <v>0</v>
      </c>
      <c r="J37" s="467"/>
      <c r="K37" s="715"/>
    </row>
    <row r="38" spans="1:12" ht="12" customHeight="1" x14ac:dyDescent="0.2">
      <c r="A38" s="710"/>
      <c r="B38" s="711"/>
      <c r="C38" s="712"/>
      <c r="D38" s="719"/>
      <c r="E38" s="720"/>
      <c r="F38" s="720"/>
      <c r="G38" s="720"/>
      <c r="H38" s="720"/>
      <c r="I38" s="1660">
        <f t="shared" si="1"/>
        <v>0</v>
      </c>
      <c r="J38" s="721" t="s">
        <v>264</v>
      </c>
      <c r="K38" s="722"/>
    </row>
    <row r="39" spans="1:12" ht="12" customHeight="1" x14ac:dyDescent="0.2">
      <c r="A39" s="710"/>
      <c r="B39" s="711"/>
      <c r="C39" s="712"/>
      <c r="D39" s="719"/>
      <c r="E39" s="720"/>
      <c r="F39" s="720"/>
      <c r="G39" s="720"/>
      <c r="H39" s="720"/>
      <c r="I39" s="1660">
        <f t="shared" si="1"/>
        <v>0</v>
      </c>
      <c r="J39" s="721"/>
      <c r="K39" s="722"/>
    </row>
    <row r="40" spans="1:12" ht="12" customHeight="1" x14ac:dyDescent="0.2">
      <c r="A40" s="710"/>
      <c r="B40" s="711"/>
      <c r="C40" s="712"/>
      <c r="D40" s="719"/>
      <c r="E40" s="720"/>
      <c r="F40" s="720"/>
      <c r="G40" s="720"/>
      <c r="H40" s="720"/>
      <c r="I40" s="1660">
        <f t="shared" si="1"/>
        <v>0</v>
      </c>
      <c r="J40" s="721"/>
      <c r="K40" s="722"/>
    </row>
    <row r="41" spans="1:12" ht="12" customHeight="1" x14ac:dyDescent="0.2">
      <c r="A41" s="710"/>
      <c r="B41" s="711"/>
      <c r="C41" s="712"/>
      <c r="D41" s="719"/>
      <c r="E41" s="720"/>
      <c r="F41" s="720"/>
      <c r="G41" s="720"/>
      <c r="H41" s="720"/>
      <c r="I41" s="1660">
        <f t="shared" si="1"/>
        <v>0</v>
      </c>
      <c r="J41" s="721"/>
      <c r="K41" s="722"/>
    </row>
    <row r="42" spans="1:12" ht="12" customHeight="1" x14ac:dyDescent="0.2">
      <c r="A42" s="710"/>
      <c r="B42" s="711"/>
      <c r="C42" s="712"/>
      <c r="D42" s="719"/>
      <c r="E42" s="720"/>
      <c r="F42" s="720"/>
      <c r="G42" s="720"/>
      <c r="H42" s="720"/>
      <c r="I42" s="1660">
        <f t="shared" si="1"/>
        <v>0</v>
      </c>
      <c r="J42" s="721"/>
      <c r="K42" s="722"/>
    </row>
    <row r="43" spans="1:12" ht="12" customHeight="1" x14ac:dyDescent="0.2">
      <c r="A43" s="710"/>
      <c r="B43" s="711"/>
      <c r="C43" s="712"/>
      <c r="D43" s="719"/>
      <c r="E43" s="720"/>
      <c r="F43" s="720"/>
      <c r="G43" s="720"/>
      <c r="H43" s="720"/>
      <c r="I43" s="1660">
        <f t="shared" si="1"/>
        <v>0</v>
      </c>
      <c r="J43" s="721"/>
      <c r="K43" s="722"/>
    </row>
    <row r="44" spans="1:12" ht="12" customHeight="1" x14ac:dyDescent="0.2">
      <c r="A44" s="710"/>
      <c r="B44" s="711"/>
      <c r="C44" s="712"/>
      <c r="D44" s="713"/>
      <c r="E44" s="712"/>
      <c r="F44" s="712"/>
      <c r="G44" s="712"/>
      <c r="H44" s="712"/>
      <c r="I44" s="1660">
        <f t="shared" si="1"/>
        <v>0</v>
      </c>
      <c r="J44" s="712"/>
      <c r="K44" s="715"/>
    </row>
    <row r="45" spans="1:12" ht="12" customHeight="1" x14ac:dyDescent="0.2">
      <c r="A45" s="710"/>
      <c r="B45" s="711"/>
      <c r="C45" s="712"/>
      <c r="D45" s="713"/>
      <c r="E45" s="712"/>
      <c r="F45" s="712"/>
      <c r="G45" s="712"/>
      <c r="H45" s="712"/>
      <c r="I45" s="1660">
        <f t="shared" si="1"/>
        <v>0</v>
      </c>
      <c r="J45" s="712"/>
      <c r="K45" s="715"/>
    </row>
    <row r="46" spans="1:12" ht="12" customHeight="1" x14ac:dyDescent="0.2">
      <c r="A46" s="710"/>
      <c r="B46" s="711"/>
      <c r="C46" s="712"/>
      <c r="D46" s="713"/>
      <c r="E46" s="712"/>
      <c r="F46" s="712"/>
      <c r="G46" s="712"/>
      <c r="H46" s="712"/>
      <c r="I46" s="1660">
        <f t="shared" si="1"/>
        <v>0</v>
      </c>
      <c r="J46" s="712"/>
      <c r="K46" s="715"/>
    </row>
    <row r="47" spans="1:12" ht="12" customHeight="1" x14ac:dyDescent="0.2">
      <c r="A47" s="710"/>
      <c r="B47" s="711"/>
      <c r="C47" s="716"/>
      <c r="D47" s="713"/>
      <c r="E47" s="716"/>
      <c r="F47" s="716"/>
      <c r="G47" s="716"/>
      <c r="H47" s="716"/>
      <c r="I47" s="1660">
        <f t="shared" si="1"/>
        <v>0</v>
      </c>
      <c r="J47" s="716"/>
      <c r="K47" s="715"/>
    </row>
    <row r="48" spans="1:12" ht="12" customHeight="1" x14ac:dyDescent="0.2">
      <c r="A48" s="710"/>
      <c r="B48" s="711"/>
      <c r="C48" s="712"/>
      <c r="D48" s="713"/>
      <c r="E48" s="712"/>
      <c r="F48" s="712"/>
      <c r="G48" s="712"/>
      <c r="H48" s="712"/>
      <c r="I48" s="1660">
        <f t="shared" si="1"/>
        <v>0</v>
      </c>
      <c r="J48" s="712"/>
      <c r="K48" s="715"/>
    </row>
    <row r="49" spans="1:11" ht="12" customHeight="1" x14ac:dyDescent="0.2">
      <c r="A49" s="710"/>
      <c r="B49" s="711"/>
      <c r="C49" s="1660">
        <f>SUM(C31:C48)</f>
        <v>11686023</v>
      </c>
      <c r="D49" s="723"/>
      <c r="E49" s="1660">
        <f t="shared" ref="E49:J49" si="2">SUM(E31:E48)</f>
        <v>9629072</v>
      </c>
      <c r="F49" s="1660">
        <f t="shared" si="2"/>
        <v>0</v>
      </c>
      <c r="G49" s="1660">
        <f t="shared" si="2"/>
        <v>0</v>
      </c>
      <c r="H49" s="1660">
        <f t="shared" si="2"/>
        <v>1878890</v>
      </c>
      <c r="I49" s="1660">
        <f t="shared" si="2"/>
        <v>7750182</v>
      </c>
      <c r="J49" s="1660">
        <f t="shared" si="2"/>
        <v>5128382</v>
      </c>
      <c r="K49" s="715"/>
    </row>
    <row r="50" spans="1:11" ht="6" customHeight="1" x14ac:dyDescent="0.2">
      <c r="A50" s="724"/>
      <c r="B50" s="714"/>
      <c r="C50" s="714"/>
      <c r="D50" s="714"/>
      <c r="E50" s="714"/>
      <c r="F50" s="714"/>
      <c r="G50" s="714"/>
      <c r="H50" s="714"/>
      <c r="I50" s="714"/>
      <c r="J50" s="724"/>
    </row>
    <row r="51" spans="1:11" x14ac:dyDescent="0.2">
      <c r="A51" s="725" t="s">
        <v>1782</v>
      </c>
      <c r="B51" s="724"/>
      <c r="C51" s="715"/>
      <c r="D51" s="715"/>
      <c r="E51" s="715"/>
      <c r="F51" s="715"/>
      <c r="G51" s="715"/>
      <c r="H51" s="714"/>
      <c r="I51" s="714"/>
      <c r="J51" s="724"/>
    </row>
    <row r="52" spans="1:11" ht="11.25" customHeight="1" x14ac:dyDescent="0.2">
      <c r="A52" s="726" t="s">
        <v>912</v>
      </c>
      <c r="B52" s="2204" t="s">
        <v>584</v>
      </c>
      <c r="C52" s="2205"/>
      <c r="D52" s="2205"/>
      <c r="E52" s="727" t="s">
        <v>845</v>
      </c>
      <c r="F52" s="2206" t="s">
        <v>2079</v>
      </c>
      <c r="G52" s="2207"/>
      <c r="H52" s="714"/>
      <c r="I52" s="714"/>
      <c r="J52" s="724"/>
    </row>
    <row r="53" spans="1:11" ht="11.25" customHeight="1" x14ac:dyDescent="0.2">
      <c r="A53" s="728" t="s">
        <v>913</v>
      </c>
      <c r="B53" s="729" t="s">
        <v>951</v>
      </c>
      <c r="C53" s="724"/>
      <c r="D53" s="715"/>
      <c r="E53" s="727" t="s">
        <v>497</v>
      </c>
      <c r="F53" s="2208"/>
      <c r="G53" s="2209"/>
      <c r="H53" s="714"/>
      <c r="I53" s="714"/>
      <c r="J53" s="724"/>
    </row>
    <row r="54" spans="1:11" ht="11.25" customHeight="1" x14ac:dyDescent="0.2">
      <c r="A54" s="730" t="s">
        <v>914</v>
      </c>
      <c r="B54" s="725" t="s">
        <v>952</v>
      </c>
      <c r="C54" s="724"/>
      <c r="D54" s="715"/>
      <c r="E54" s="727" t="s">
        <v>498</v>
      </c>
      <c r="F54" s="2208"/>
      <c r="G54" s="2209"/>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colorId="8" zoomScale="110" zoomScaleNormal="110" workbookViewId="0">
      <selection activeCell="D36" sqref="D3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8" t="s">
        <v>856</v>
      </c>
      <c r="B1" s="2239"/>
      <c r="C1" s="2239"/>
      <c r="D1" s="2239"/>
      <c r="E1" s="2239"/>
      <c r="F1" s="2239"/>
      <c r="G1" s="2240"/>
      <c r="H1" s="1440"/>
      <c r="I1" s="738"/>
      <c r="J1" s="433"/>
    </row>
    <row r="2" spans="1:11" ht="26.25" x14ac:dyDescent="0.2">
      <c r="A2" s="2217" t="s">
        <v>1671</v>
      </c>
      <c r="B2" s="2218"/>
      <c r="C2" s="2218"/>
      <c r="D2" s="2218"/>
      <c r="E2" s="2219"/>
      <c r="F2" s="739" t="s">
        <v>904</v>
      </c>
      <c r="G2" s="740" t="s">
        <v>1668</v>
      </c>
      <c r="H2" s="740" t="s">
        <v>410</v>
      </c>
      <c r="I2" s="740" t="s">
        <v>1158</v>
      </c>
      <c r="J2" s="740" t="s">
        <v>1787</v>
      </c>
      <c r="K2" s="740" t="s">
        <v>138</v>
      </c>
    </row>
    <row r="3" spans="1:11" x14ac:dyDescent="0.2">
      <c r="A3" s="2220" t="s">
        <v>1938</v>
      </c>
      <c r="B3" s="2221"/>
      <c r="C3" s="2221"/>
      <c r="D3" s="2221"/>
      <c r="E3" s="2222"/>
      <c r="F3" s="741"/>
      <c r="G3" s="742"/>
      <c r="H3" s="742"/>
      <c r="I3" s="742"/>
      <c r="J3" s="743"/>
      <c r="K3" s="743"/>
    </row>
    <row r="4" spans="1:11" x14ac:dyDescent="0.2">
      <c r="A4" s="2223" t="s">
        <v>369</v>
      </c>
      <c r="B4" s="2224"/>
      <c r="C4" s="2224"/>
      <c r="D4" s="2224"/>
      <c r="E4" s="2205"/>
      <c r="F4" s="744"/>
      <c r="G4" s="745"/>
      <c r="H4" s="746"/>
      <c r="I4" s="745"/>
      <c r="J4" s="747"/>
      <c r="K4" s="747"/>
    </row>
    <row r="5" spans="1:11" x14ac:dyDescent="0.2">
      <c r="A5" s="2241" t="s">
        <v>1069</v>
      </c>
      <c r="B5" s="2214"/>
      <c r="C5" s="2214"/>
      <c r="D5" s="2214"/>
      <c r="E5" s="2242"/>
      <c r="F5" s="748" t="s">
        <v>848</v>
      </c>
      <c r="G5" s="749"/>
      <c r="H5" s="742"/>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row>
    <row r="8" spans="1:11" x14ac:dyDescent="0.2">
      <c r="A8" s="756" t="s">
        <v>345</v>
      </c>
      <c r="B8" s="757"/>
      <c r="C8" s="757"/>
      <c r="D8" s="757"/>
      <c r="E8" s="758"/>
      <c r="F8" s="748" t="s">
        <v>851</v>
      </c>
      <c r="G8" s="760"/>
      <c r="H8" s="760"/>
      <c r="I8" s="760"/>
      <c r="J8" s="743"/>
      <c r="K8" s="747"/>
    </row>
    <row r="9" spans="1:11" x14ac:dyDescent="0.2">
      <c r="A9" s="756" t="s">
        <v>138</v>
      </c>
      <c r="B9" s="757"/>
      <c r="C9" s="757"/>
      <c r="D9" s="757"/>
      <c r="E9" s="758"/>
      <c r="F9" s="755" t="s">
        <v>853</v>
      </c>
      <c r="G9" s="760"/>
      <c r="H9" s="749"/>
      <c r="I9" s="749"/>
      <c r="J9" s="759"/>
      <c r="K9" s="743"/>
    </row>
    <row r="10" spans="1:11" x14ac:dyDescent="0.2">
      <c r="A10" s="2241" t="s">
        <v>1788</v>
      </c>
      <c r="B10" s="2214"/>
      <c r="C10" s="2214"/>
      <c r="D10" s="2214"/>
      <c r="E10" s="2243"/>
      <c r="F10" s="761" t="s">
        <v>862</v>
      </c>
      <c r="G10" s="760"/>
      <c r="H10" s="762"/>
      <c r="I10" s="742"/>
      <c r="J10" s="743"/>
      <c r="K10" s="743"/>
    </row>
    <row r="11" spans="1:11" x14ac:dyDescent="0.2">
      <c r="A11" s="2241" t="s">
        <v>160</v>
      </c>
      <c r="B11" s="2214"/>
      <c r="C11" s="2214"/>
      <c r="D11" s="2214"/>
      <c r="E11" s="2242"/>
      <c r="F11" s="748" t="s">
        <v>852</v>
      </c>
      <c r="G11" s="749"/>
      <c r="H11" s="742"/>
      <c r="I11" s="742"/>
      <c r="J11" s="743"/>
      <c r="K11" s="751"/>
    </row>
    <row r="12" spans="1:11" ht="13.5" thickBot="1" x14ac:dyDescent="0.25">
      <c r="A12" s="2231" t="s">
        <v>905</v>
      </c>
      <c r="B12" s="2232"/>
      <c r="C12" s="2232"/>
      <c r="D12" s="2232"/>
      <c r="E12" s="2233"/>
      <c r="F12" s="1661"/>
      <c r="G12" s="1662">
        <f>SUM(G5:G11)</f>
        <v>0</v>
      </c>
      <c r="H12" s="1662">
        <f>SUM(H5:H11)</f>
        <v>0</v>
      </c>
      <c r="I12" s="1662">
        <f>SUM(I5:I11)</f>
        <v>0</v>
      </c>
      <c r="J12" s="1662">
        <f>SUM(J5:J11)</f>
        <v>0</v>
      </c>
      <c r="K12" s="1662">
        <f>SUM(K5:K11)</f>
        <v>0</v>
      </c>
    </row>
    <row r="13" spans="1:11" ht="13.5" thickTop="1" x14ac:dyDescent="0.2">
      <c r="A13" s="2225" t="s">
        <v>370</v>
      </c>
      <c r="B13" s="2226"/>
      <c r="C13" s="2226"/>
      <c r="D13" s="2226"/>
      <c r="E13" s="2227"/>
      <c r="F13" s="763"/>
      <c r="G13" s="764"/>
      <c r="H13" s="765"/>
      <c r="I13" s="766"/>
      <c r="J13" s="766"/>
      <c r="K13" s="766"/>
    </row>
    <row r="14" spans="1:11" x14ac:dyDescent="0.2">
      <c r="A14" s="2247" t="s">
        <v>456</v>
      </c>
      <c r="B14" s="2247"/>
      <c r="C14" s="2247"/>
      <c r="D14" s="2247"/>
      <c r="E14" s="2248"/>
      <c r="F14" s="767" t="s">
        <v>854</v>
      </c>
      <c r="G14" s="760"/>
      <c r="H14" s="742"/>
      <c r="I14" s="749"/>
      <c r="J14" s="751"/>
      <c r="K14" s="743"/>
    </row>
    <row r="15" spans="1:11" x14ac:dyDescent="0.2">
      <c r="A15" s="2214" t="s">
        <v>4</v>
      </c>
      <c r="B15" s="2214"/>
      <c r="C15" s="2214"/>
      <c r="D15" s="2214"/>
      <c r="E15" s="2242"/>
      <c r="F15" s="767" t="s">
        <v>855</v>
      </c>
      <c r="G15" s="749"/>
      <c r="H15" s="742"/>
      <c r="I15" s="742"/>
      <c r="J15" s="743"/>
      <c r="K15" s="743"/>
    </row>
    <row r="16" spans="1:11" x14ac:dyDescent="0.2">
      <c r="A16" s="2214" t="s">
        <v>298</v>
      </c>
      <c r="B16" s="2214"/>
      <c r="C16" s="2214"/>
      <c r="D16" s="2214"/>
      <c r="E16" s="2242"/>
      <c r="F16" s="767" t="s">
        <v>923</v>
      </c>
      <c r="G16" s="750"/>
      <c r="H16" s="745"/>
      <c r="I16" s="745"/>
      <c r="J16" s="747"/>
      <c r="K16" s="747"/>
    </row>
    <row r="17" spans="1:11" x14ac:dyDescent="0.2">
      <c r="A17" s="2236" t="s">
        <v>935</v>
      </c>
      <c r="B17" s="2236"/>
      <c r="C17" s="2236"/>
      <c r="D17" s="2236"/>
      <c r="E17" s="2237"/>
      <c r="F17" s="768"/>
      <c r="G17" s="769"/>
      <c r="H17" s="770"/>
      <c r="I17" s="770"/>
      <c r="J17" s="771"/>
      <c r="K17" s="772"/>
    </row>
    <row r="18" spans="1:11" x14ac:dyDescent="0.2">
      <c r="A18" s="2228" t="s">
        <v>368</v>
      </c>
      <c r="B18" s="2229"/>
      <c r="C18" s="2229"/>
      <c r="D18" s="2229"/>
      <c r="E18" s="2230"/>
      <c r="F18" s="767" t="s">
        <v>932</v>
      </c>
      <c r="G18" s="760"/>
      <c r="H18" s="760"/>
      <c r="I18" s="760"/>
      <c r="J18" s="743"/>
      <c r="K18" s="773"/>
    </row>
    <row r="19" spans="1:11" ht="21.75" customHeight="1" x14ac:dyDescent="0.2">
      <c r="A19" s="2249" t="s">
        <v>1784</v>
      </c>
      <c r="B19" s="2249"/>
      <c r="C19" s="2249"/>
      <c r="D19" s="2249"/>
      <c r="E19" s="2250"/>
      <c r="F19" s="767" t="s">
        <v>933</v>
      </c>
      <c r="G19" s="760"/>
      <c r="H19" s="760"/>
      <c r="I19" s="760"/>
      <c r="J19" s="743"/>
      <c r="K19" s="773"/>
    </row>
    <row r="20" spans="1:11" x14ac:dyDescent="0.2">
      <c r="A20" s="2228" t="s">
        <v>1789</v>
      </c>
      <c r="B20" s="2229"/>
      <c r="C20" s="2229"/>
      <c r="D20" s="2229"/>
      <c r="E20" s="2230"/>
      <c r="F20" s="767" t="s">
        <v>934</v>
      </c>
      <c r="G20" s="760"/>
      <c r="H20" s="760"/>
      <c r="I20" s="760"/>
      <c r="J20" s="743"/>
      <c r="K20" s="773"/>
    </row>
    <row r="21" spans="1:11" ht="13.5" thickBot="1" x14ac:dyDescent="0.25">
      <c r="A21" s="2234" t="s">
        <v>638</v>
      </c>
      <c r="B21" s="2234"/>
      <c r="C21" s="2234"/>
      <c r="D21" s="2234"/>
      <c r="E21" s="2234"/>
      <c r="F21" s="1663"/>
      <c r="G21" s="770"/>
      <c r="H21" s="774"/>
      <c r="I21" s="774"/>
      <c r="J21" s="1664">
        <f>SUM(J18:J20)</f>
        <v>0</v>
      </c>
      <c r="K21" s="771"/>
    </row>
    <row r="22" spans="1:11" ht="13.5" thickTop="1" x14ac:dyDescent="0.2">
      <c r="A22" s="2214" t="s">
        <v>1790</v>
      </c>
      <c r="B22" s="2214"/>
      <c r="C22" s="2214"/>
      <c r="D22" s="2214"/>
      <c r="E22" s="2242"/>
      <c r="F22" s="767" t="s">
        <v>862</v>
      </c>
      <c r="G22" s="760"/>
      <c r="H22" s="742"/>
      <c r="I22" s="742"/>
      <c r="J22" s="775"/>
      <c r="K22" s="743"/>
    </row>
    <row r="23" spans="1:11" ht="13.5" thickBot="1" x14ac:dyDescent="0.25">
      <c r="A23" s="2235" t="s">
        <v>906</v>
      </c>
      <c r="B23" s="2234"/>
      <c r="C23" s="2234"/>
      <c r="D23" s="2234"/>
      <c r="E23" s="2234"/>
      <c r="F23" s="1665"/>
      <c r="G23" s="1662">
        <f>SUM(G14:G16,G21,G22)</f>
        <v>0</v>
      </c>
      <c r="H23" s="1662">
        <f>SUM(H14:H16,H21,H22)</f>
        <v>0</v>
      </c>
      <c r="I23" s="1662">
        <f>SUM(I14:I16,I21,I22)</f>
        <v>0</v>
      </c>
      <c r="J23" s="1662">
        <f>SUM(J14:J16,J21,J22)</f>
        <v>0</v>
      </c>
      <c r="K23" s="1662">
        <f>SUM(K14:K16,K21,K22)</f>
        <v>0</v>
      </c>
    </row>
    <row r="24" spans="1:11" ht="14.25" thickTop="1" thickBot="1" x14ac:dyDescent="0.25">
      <c r="A24" s="2235" t="s">
        <v>1939</v>
      </c>
      <c r="B24" s="2234"/>
      <c r="C24" s="2234"/>
      <c r="D24" s="2234"/>
      <c r="E24" s="2234"/>
      <c r="F24" s="1666"/>
      <c r="G24" s="1667">
        <f>SUM(G3,G12)-G23</f>
        <v>0</v>
      </c>
      <c r="H24" s="1667">
        <f>SUM(H3,H12)-H23</f>
        <v>0</v>
      </c>
      <c r="I24" s="1667">
        <f>SUM(I3,I12)-I23</f>
        <v>0</v>
      </c>
      <c r="J24" s="1667">
        <f>SUM(J3,J12)-J23</f>
        <v>0</v>
      </c>
      <c r="K24" s="1667">
        <f>SUM(K3,K12)-K23</f>
        <v>0</v>
      </c>
    </row>
    <row r="25" spans="1:11" ht="13.5" thickTop="1" x14ac:dyDescent="0.2">
      <c r="A25" s="776" t="s">
        <v>420</v>
      </c>
      <c r="B25" s="777"/>
      <c r="C25" s="777"/>
      <c r="D25" s="777"/>
      <c r="E25" s="778"/>
      <c r="F25" s="779">
        <v>714</v>
      </c>
      <c r="G25" s="780"/>
      <c r="H25" s="780"/>
      <c r="I25" s="780"/>
      <c r="J25" s="775"/>
      <c r="K25" s="775"/>
    </row>
    <row r="26" spans="1:11" ht="13.5" thickBot="1" x14ac:dyDescent="0.25">
      <c r="A26" s="776" t="s">
        <v>342</v>
      </c>
      <c r="B26" s="777"/>
      <c r="C26" s="777"/>
      <c r="D26" s="777"/>
      <c r="E26" s="778"/>
      <c r="F26" s="779">
        <v>730</v>
      </c>
      <c r="G26" s="1662">
        <f>G24-G25</f>
        <v>0</v>
      </c>
      <c r="H26" s="1662">
        <f>H24-H25</f>
        <v>0</v>
      </c>
      <c r="I26" s="1662">
        <f>I24-I25</f>
        <v>0</v>
      </c>
      <c r="J26" s="1662">
        <f>J24-J25</f>
        <v>0</v>
      </c>
      <c r="K26" s="1662">
        <f>K24-K25</f>
        <v>0</v>
      </c>
    </row>
    <row r="27" spans="1:11" ht="5.25" customHeight="1" thickTop="1" x14ac:dyDescent="0.2">
      <c r="I27" s="202"/>
      <c r="J27" s="202"/>
    </row>
    <row r="28" spans="1:11" ht="29.25" customHeight="1" x14ac:dyDescent="0.2">
      <c r="A28" s="1782" t="s">
        <v>1884</v>
      </c>
      <c r="B28" s="1783"/>
      <c r="C28" s="1783"/>
      <c r="D28" s="1783"/>
      <c r="E28" s="1784"/>
      <c r="F28" s="781"/>
      <c r="G28" s="782"/>
    </row>
    <row r="29" spans="1:11" x14ac:dyDescent="0.2">
      <c r="B29" s="501"/>
      <c r="C29" s="501"/>
      <c r="D29" s="501"/>
      <c r="F29" s="202"/>
      <c r="G29" s="783"/>
    </row>
    <row r="30" spans="1:11" x14ac:dyDescent="0.2">
      <c r="A30" s="784" t="s">
        <v>572</v>
      </c>
      <c r="B30" s="785"/>
      <c r="C30" s="784" t="s">
        <v>383</v>
      </c>
      <c r="D30" s="785" t="s">
        <v>2038</v>
      </c>
      <c r="E30" s="786" t="s">
        <v>768</v>
      </c>
      <c r="F30" s="202"/>
      <c r="G30" s="783"/>
    </row>
    <row r="31" spans="1:11" x14ac:dyDescent="0.2">
      <c r="A31" s="787"/>
      <c r="D31" s="237"/>
      <c r="E31" s="788" t="s">
        <v>769</v>
      </c>
      <c r="F31" s="789" t="s">
        <v>539</v>
      </c>
      <c r="G31" s="742"/>
      <c r="H31" s="2244"/>
      <c r="I31" s="2245"/>
      <c r="J31" s="2245"/>
      <c r="K31" s="2245"/>
    </row>
    <row r="32" spans="1:11" x14ac:dyDescent="0.2">
      <c r="A32" s="787"/>
      <c r="B32" s="237"/>
      <c r="C32" s="237"/>
      <c r="D32" s="237"/>
      <c r="E32" s="783"/>
      <c r="F32" s="789" t="s">
        <v>540</v>
      </c>
      <c r="G32" s="742"/>
      <c r="H32" s="2246"/>
      <c r="I32" s="2245"/>
      <c r="J32" s="2245"/>
      <c r="K32" s="2245"/>
    </row>
    <row r="33" spans="1:11" ht="1.5" customHeight="1" x14ac:dyDescent="0.2">
      <c r="A33" s="790" t="s">
        <v>1169</v>
      </c>
      <c r="B33" s="364"/>
      <c r="C33" s="364"/>
      <c r="D33" s="364"/>
      <c r="E33" s="364"/>
      <c r="F33" s="364"/>
      <c r="G33" s="791"/>
      <c r="H33" s="2246"/>
      <c r="I33" s="2245"/>
      <c r="J33" s="2245"/>
      <c r="K33" s="2245"/>
    </row>
    <row r="34" spans="1:11" x14ac:dyDescent="0.2">
      <c r="A34" s="792" t="s">
        <v>1791</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14" t="s">
        <v>541</v>
      </c>
      <c r="B41" s="2215"/>
      <c r="C41" s="2215"/>
      <c r="D41" s="2215"/>
      <c r="E41" s="2215"/>
      <c r="F41" s="2216"/>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1785</v>
      </c>
      <c r="B46" s="408" t="s">
        <v>1669</v>
      </c>
    </row>
    <row r="47" spans="1:11" s="801" customFormat="1" ht="12.75" customHeight="1" x14ac:dyDescent="0.2">
      <c r="A47" s="799"/>
      <c r="B47" s="800" t="s">
        <v>1670</v>
      </c>
      <c r="E47" s="800"/>
      <c r="K47" s="802"/>
    </row>
    <row r="48" spans="1:11" ht="12.75" customHeight="1" x14ac:dyDescent="0.2">
      <c r="A48" s="1442" t="s">
        <v>1786</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36" sqref="D36"/>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1883</v>
      </c>
      <c r="B1" s="2254"/>
      <c r="C1" s="2255"/>
      <c r="D1" s="804"/>
      <c r="E1" s="805"/>
      <c r="F1" s="805"/>
      <c r="G1" s="806"/>
      <c r="H1" s="807"/>
      <c r="I1" s="808"/>
      <c r="J1" s="2251"/>
      <c r="K1" s="2252"/>
      <c r="L1" s="2252"/>
    </row>
    <row r="2" spans="1:14" ht="69.75" customHeight="1" x14ac:dyDescent="0.2">
      <c r="A2" s="809" t="s">
        <v>1672</v>
      </c>
      <c r="B2" s="810" t="s">
        <v>378</v>
      </c>
      <c r="C2" s="811" t="s">
        <v>1940</v>
      </c>
      <c r="D2" s="811" t="s">
        <v>1941</v>
      </c>
      <c r="E2" s="811" t="s">
        <v>1942</v>
      </c>
      <c r="F2" s="811" t="s">
        <v>1943</v>
      </c>
      <c r="G2" s="811" t="s">
        <v>605</v>
      </c>
      <c r="H2" s="811" t="s">
        <v>1944</v>
      </c>
      <c r="I2" s="811" t="s">
        <v>1945</v>
      </c>
      <c r="J2" s="811" t="s">
        <v>1946</v>
      </c>
      <c r="K2" s="811" t="s">
        <v>1947</v>
      </c>
      <c r="L2" s="811" t="s">
        <v>1948</v>
      </c>
      <c r="M2" s="812"/>
      <c r="N2" s="812"/>
    </row>
    <row r="3" spans="1:14" ht="13.5" thickBot="1" x14ac:dyDescent="0.25">
      <c r="A3" s="1539" t="s">
        <v>892</v>
      </c>
      <c r="B3" s="1540">
        <v>210</v>
      </c>
      <c r="C3" s="813"/>
      <c r="D3" s="813"/>
      <c r="E3" s="813"/>
      <c r="F3" s="1664">
        <f>(C3+D3)-E3</f>
        <v>0</v>
      </c>
      <c r="G3" s="814"/>
      <c r="H3" s="813"/>
      <c r="I3" s="813"/>
      <c r="J3" s="813"/>
      <c r="K3" s="1673">
        <f>(H3+I3)-J3</f>
        <v>0</v>
      </c>
      <c r="L3" s="1673">
        <f>F3-K3</f>
        <v>0</v>
      </c>
      <c r="M3" s="812"/>
      <c r="N3" s="812"/>
    </row>
    <row r="4" spans="1:14" ht="15" customHeight="1" thickTop="1" x14ac:dyDescent="0.2">
      <c r="A4" s="1541" t="s">
        <v>158</v>
      </c>
      <c r="B4" s="1540">
        <v>220</v>
      </c>
      <c r="C4" s="759"/>
      <c r="D4" s="759"/>
      <c r="E4" s="759"/>
      <c r="F4" s="751"/>
      <c r="G4" s="815"/>
      <c r="H4" s="816"/>
      <c r="I4" s="816"/>
      <c r="J4" s="816"/>
      <c r="K4" s="817"/>
      <c r="L4" s="751"/>
    </row>
    <row r="5" spans="1:14" ht="13.5" thickBot="1" x14ac:dyDescent="0.25">
      <c r="A5" s="756" t="s">
        <v>893</v>
      </c>
      <c r="B5" s="818">
        <v>221</v>
      </c>
      <c r="C5" s="819">
        <v>274299</v>
      </c>
      <c r="D5" s="819"/>
      <c r="E5" s="819"/>
      <c r="F5" s="1664">
        <f>(C5+D5)-E5</f>
        <v>274299</v>
      </c>
      <c r="G5" s="815"/>
      <c r="H5" s="820"/>
      <c r="I5" s="820"/>
      <c r="J5" s="820"/>
      <c r="K5" s="771"/>
      <c r="L5" s="1673">
        <f>F5-K5</f>
        <v>274299</v>
      </c>
    </row>
    <row r="6" spans="1:14" ht="14.25" thickTop="1" thickBot="1" x14ac:dyDescent="0.25">
      <c r="A6" s="756" t="s">
        <v>1117</v>
      </c>
      <c r="B6" s="818">
        <v>222</v>
      </c>
      <c r="C6" s="743"/>
      <c r="D6" s="743"/>
      <c r="E6" s="743"/>
      <c r="F6" s="1664">
        <f>(C6+D6)-E6</f>
        <v>0</v>
      </c>
      <c r="G6" s="815">
        <v>50</v>
      </c>
      <c r="H6" s="743"/>
      <c r="I6" s="743"/>
      <c r="J6" s="743"/>
      <c r="K6" s="1673">
        <f>(H6+I6)-J6</f>
        <v>0</v>
      </c>
      <c r="L6" s="1673">
        <f>F6-K6</f>
        <v>0</v>
      </c>
    </row>
    <row r="7" spans="1:14" ht="15" customHeight="1" thickTop="1" x14ac:dyDescent="0.2">
      <c r="A7" s="1541" t="s">
        <v>159</v>
      </c>
      <c r="B7" s="1540">
        <v>230</v>
      </c>
      <c r="C7" s="759"/>
      <c r="D7" s="759"/>
      <c r="E7" s="759"/>
      <c r="F7" s="751"/>
      <c r="G7" s="821"/>
      <c r="H7" s="759"/>
      <c r="I7" s="759"/>
      <c r="J7" s="759"/>
      <c r="K7" s="751"/>
      <c r="L7" s="751"/>
    </row>
    <row r="8" spans="1:14" ht="13.5" thickBot="1" x14ac:dyDescent="0.25">
      <c r="A8" s="756" t="s">
        <v>1118</v>
      </c>
      <c r="B8" s="818">
        <v>231</v>
      </c>
      <c r="C8" s="822">
        <v>15845557</v>
      </c>
      <c r="D8" s="822">
        <v>5057493</v>
      </c>
      <c r="E8" s="822"/>
      <c r="F8" s="1664">
        <f>(C8+D8)-E8</f>
        <v>20903050</v>
      </c>
      <c r="G8" s="821">
        <v>50</v>
      </c>
      <c r="H8" s="743">
        <v>6453013</v>
      </c>
      <c r="I8" s="743">
        <v>360296</v>
      </c>
      <c r="J8" s="743"/>
      <c r="K8" s="1673">
        <f>(H8+I8)-J8</f>
        <v>6813309</v>
      </c>
      <c r="L8" s="1673">
        <f>F8-K8</f>
        <v>14089741</v>
      </c>
    </row>
    <row r="9" spans="1:14" ht="14.25" thickTop="1" thickBot="1" x14ac:dyDescent="0.25">
      <c r="A9" s="756" t="s">
        <v>1119</v>
      </c>
      <c r="B9" s="818">
        <v>232</v>
      </c>
      <c r="C9" s="743"/>
      <c r="D9" s="743"/>
      <c r="E9" s="743"/>
      <c r="F9" s="1664">
        <f>(C9+D9)-E9</f>
        <v>0</v>
      </c>
      <c r="G9" s="821">
        <v>20</v>
      </c>
      <c r="H9" s="743"/>
      <c r="I9" s="743"/>
      <c r="J9" s="743"/>
      <c r="K9" s="1673">
        <f>(H9+I9)-J9</f>
        <v>0</v>
      </c>
      <c r="L9" s="1673">
        <f>F9-K9</f>
        <v>0</v>
      </c>
    </row>
    <row r="10" spans="1:14" ht="24" thickTop="1" thickBot="1" x14ac:dyDescent="0.25">
      <c r="A10" s="823" t="s">
        <v>1120</v>
      </c>
      <c r="B10" s="818">
        <v>240</v>
      </c>
      <c r="C10" s="824">
        <v>365194</v>
      </c>
      <c r="D10" s="824"/>
      <c r="E10" s="824"/>
      <c r="F10" s="1668">
        <f>(C10+D10)-E10</f>
        <v>365194</v>
      </c>
      <c r="G10" s="821">
        <v>20</v>
      </c>
      <c r="H10" s="825">
        <v>290913</v>
      </c>
      <c r="I10" s="825">
        <v>5929</v>
      </c>
      <c r="J10" s="825"/>
      <c r="K10" s="1673">
        <f>(H10+I10)-J10</f>
        <v>296842</v>
      </c>
      <c r="L10" s="1673">
        <f>F10-K10</f>
        <v>68352</v>
      </c>
    </row>
    <row r="11" spans="1:14" ht="13.5" thickTop="1" x14ac:dyDescent="0.2">
      <c r="A11" s="1542" t="s">
        <v>1136</v>
      </c>
      <c r="B11" s="1540">
        <v>250</v>
      </c>
      <c r="C11" s="759"/>
      <c r="D11" s="759"/>
      <c r="E11" s="759"/>
      <c r="F11" s="751"/>
      <c r="G11" s="821"/>
      <c r="H11" s="759"/>
      <c r="I11" s="759"/>
      <c r="J11" s="759"/>
      <c r="K11" s="751"/>
      <c r="L11" s="751"/>
    </row>
    <row r="12" spans="1:14" ht="13.5" thickBot="1" x14ac:dyDescent="0.25">
      <c r="A12" s="826" t="s">
        <v>1121</v>
      </c>
      <c r="B12" s="818">
        <v>251</v>
      </c>
      <c r="C12" s="822">
        <v>3093910</v>
      </c>
      <c r="D12" s="822">
        <v>128934</v>
      </c>
      <c r="E12" s="822"/>
      <c r="F12" s="1664">
        <f>(C12+D12)-E12</f>
        <v>3222844</v>
      </c>
      <c r="G12" s="821">
        <v>10</v>
      </c>
      <c r="H12" s="743">
        <v>2557942</v>
      </c>
      <c r="I12" s="743">
        <v>126797</v>
      </c>
      <c r="J12" s="743"/>
      <c r="K12" s="1673">
        <f>(H12+I12)-J12</f>
        <v>2684739</v>
      </c>
      <c r="L12" s="1673">
        <f>F12-K12</f>
        <v>538105</v>
      </c>
    </row>
    <row r="13" spans="1:14" ht="14.25" thickTop="1" thickBot="1" x14ac:dyDescent="0.25">
      <c r="A13" s="826" t="s">
        <v>1122</v>
      </c>
      <c r="B13" s="818">
        <v>252</v>
      </c>
      <c r="C13" s="822">
        <v>723449</v>
      </c>
      <c r="D13" s="822">
        <v>9906</v>
      </c>
      <c r="E13" s="822"/>
      <c r="F13" s="1664">
        <f>(C13+D13)-E13</f>
        <v>733355</v>
      </c>
      <c r="G13" s="821">
        <v>5</v>
      </c>
      <c r="H13" s="743">
        <v>501092</v>
      </c>
      <c r="I13" s="743">
        <v>84103</v>
      </c>
      <c r="J13" s="743"/>
      <c r="K13" s="1673">
        <f>(H13+I13)-J13</f>
        <v>585195</v>
      </c>
      <c r="L13" s="1673">
        <f>F13-K13</f>
        <v>148160</v>
      </c>
    </row>
    <row r="14" spans="1:14" ht="14.25" thickTop="1" thickBot="1" x14ac:dyDescent="0.25">
      <c r="A14" s="826" t="s">
        <v>1123</v>
      </c>
      <c r="B14" s="818">
        <v>253</v>
      </c>
      <c r="C14" s="743"/>
      <c r="D14" s="743"/>
      <c r="E14" s="743"/>
      <c r="F14" s="1664">
        <f>(C14+D14)-E14</f>
        <v>0</v>
      </c>
      <c r="G14" s="821">
        <v>3</v>
      </c>
      <c r="H14" s="743"/>
      <c r="I14" s="743"/>
      <c r="J14" s="743"/>
      <c r="K14" s="1673">
        <f>(H14+I14)-J14</f>
        <v>0</v>
      </c>
      <c r="L14" s="1673">
        <f>F14-K14</f>
        <v>0</v>
      </c>
    </row>
    <row r="15" spans="1:14" ht="15" customHeight="1" thickTop="1" thickBot="1" x14ac:dyDescent="0.25">
      <c r="A15" s="1541" t="s">
        <v>528</v>
      </c>
      <c r="B15" s="1540">
        <v>260</v>
      </c>
      <c r="C15" s="822">
        <v>422919</v>
      </c>
      <c r="D15" s="822">
        <v>50072</v>
      </c>
      <c r="E15" s="822">
        <v>422919</v>
      </c>
      <c r="F15" s="1664">
        <f>(C15+D15)-E15</f>
        <v>50072</v>
      </c>
      <c r="G15" s="827" t="s">
        <v>862</v>
      </c>
      <c r="H15" s="759"/>
      <c r="I15" s="759"/>
      <c r="J15" s="759"/>
      <c r="K15" s="759"/>
      <c r="L15" s="1673">
        <f>F15-K15</f>
        <v>50072</v>
      </c>
    </row>
    <row r="16" spans="1:14" ht="15" customHeight="1" thickTop="1" thickBot="1" x14ac:dyDescent="0.25">
      <c r="A16" s="1669" t="s">
        <v>643</v>
      </c>
      <c r="B16" s="1670">
        <v>200</v>
      </c>
      <c r="C16" s="1664">
        <f>SUM(C3,C5:C6,C8:C10,C12:C15)</f>
        <v>20725328</v>
      </c>
      <c r="D16" s="1664">
        <f>SUM(D3,D5:D6,D8:D10,D12:D15)</f>
        <v>5246405</v>
      </c>
      <c r="E16" s="1664">
        <f>SUM(E3,E5:E6,E8:E10,E12:E15)</f>
        <v>422919</v>
      </c>
      <c r="F16" s="1664">
        <f>SUM(F3,F5:F6,F8:F10,F12:F15)</f>
        <v>25548814</v>
      </c>
      <c r="G16" s="821"/>
      <c r="H16" s="1664">
        <f>SUM(H3,H6,H8:H10,H12:H14,)</f>
        <v>9802960</v>
      </c>
      <c r="I16" s="1664">
        <f>SUM(I3,I6,I8:I10,I12:I14,)</f>
        <v>577125</v>
      </c>
      <c r="J16" s="1664">
        <f>SUM(J3,J6,J8:J10,J12:J14,)</f>
        <v>0</v>
      </c>
      <c r="K16" s="1664">
        <f>(H16+I16)-J16</f>
        <v>10380085</v>
      </c>
      <c r="L16" s="1664">
        <f>F16-K16</f>
        <v>15168729</v>
      </c>
    </row>
    <row r="17" spans="1:12" ht="15" customHeight="1" thickTop="1" thickBot="1" x14ac:dyDescent="0.25">
      <c r="A17" s="1543" t="s">
        <v>291</v>
      </c>
      <c r="B17" s="1540">
        <v>700</v>
      </c>
      <c r="C17" s="747"/>
      <c r="D17" s="747"/>
      <c r="E17" s="747"/>
      <c r="F17" s="1664">
        <f>SUM('Expenditures 15-22'!I114,'Expenditures 15-22'!I151,'Expenditures 15-22'!I210,'Expenditures 15-22'!I312,'Expenditures 15-22'!I342,'Expenditures 15-22'!I367)</f>
        <v>0</v>
      </c>
      <c r="G17" s="815">
        <v>10</v>
      </c>
      <c r="H17" s="747"/>
      <c r="I17" s="1673">
        <f>F17/G17</f>
        <v>0</v>
      </c>
      <c r="J17" s="747"/>
      <c r="K17" s="773"/>
      <c r="L17" s="773"/>
    </row>
    <row r="18" spans="1:12" ht="14.25" thickTop="1" thickBot="1" x14ac:dyDescent="0.25">
      <c r="A18" s="1671" t="s">
        <v>685</v>
      </c>
      <c r="B18" s="1672"/>
      <c r="C18" s="749"/>
      <c r="D18" s="749"/>
      <c r="E18" s="749"/>
      <c r="F18" s="828"/>
      <c r="G18" s="829"/>
      <c r="H18" s="751"/>
      <c r="I18" s="1664">
        <f>SUM(I16,I17)</f>
        <v>577125</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3" activePane="bottomLeft" state="frozen"/>
      <selection activeCell="D36" sqref="D36"/>
      <selection pane="bottomLeft" activeCell="D36" sqref="D36"/>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9" t="s">
        <v>1949</v>
      </c>
      <c r="B1" s="2260"/>
      <c r="C1" s="2260"/>
      <c r="D1" s="2260"/>
      <c r="E1" s="2260"/>
      <c r="F1" s="2261"/>
      <c r="G1" s="833"/>
    </row>
    <row r="2" spans="1:7" ht="15" customHeight="1" thickBot="1" x14ac:dyDescent="0.25">
      <c r="A2" s="2262" t="s">
        <v>477</v>
      </c>
      <c r="B2" s="2263"/>
      <c r="C2" s="2263"/>
      <c r="D2" s="2263"/>
      <c r="E2" s="2263"/>
      <c r="F2" s="2264"/>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10">
        <f>'Expenditures 15-22'!K114</f>
        <v>7897401</v>
      </c>
      <c r="G8" s="843"/>
    </row>
    <row r="9" spans="1:7" x14ac:dyDescent="0.2">
      <c r="A9" s="847" t="s">
        <v>460</v>
      </c>
      <c r="B9" s="848" t="s">
        <v>1851</v>
      </c>
      <c r="C9" s="849"/>
      <c r="D9" s="847" t="s">
        <v>501</v>
      </c>
      <c r="E9" s="846"/>
      <c r="F9" s="1811">
        <f>'Expenditures 15-22'!K151</f>
        <v>1463317</v>
      </c>
      <c r="G9" s="850"/>
    </row>
    <row r="10" spans="1:7" x14ac:dyDescent="0.2">
      <c r="A10" s="847" t="s">
        <v>499</v>
      </c>
      <c r="B10" s="848" t="s">
        <v>1852</v>
      </c>
      <c r="C10" s="849"/>
      <c r="D10" s="847" t="s">
        <v>501</v>
      </c>
      <c r="E10" s="846"/>
      <c r="F10" s="1811">
        <f>'Expenditures 15-22'!K174</f>
        <v>2213208</v>
      </c>
      <c r="G10" s="850"/>
    </row>
    <row r="11" spans="1:7" x14ac:dyDescent="0.2">
      <c r="A11" s="847" t="s">
        <v>461</v>
      </c>
      <c r="B11" s="848" t="s">
        <v>1853</v>
      </c>
      <c r="C11" s="849"/>
      <c r="D11" s="847" t="s">
        <v>501</v>
      </c>
      <c r="E11" s="846"/>
      <c r="F11" s="1811">
        <f>'Expenditures 15-22'!K210</f>
        <v>668508</v>
      </c>
      <c r="G11" s="850"/>
    </row>
    <row r="12" spans="1:7" x14ac:dyDescent="0.2">
      <c r="A12" s="847" t="s">
        <v>462</v>
      </c>
      <c r="B12" s="848" t="s">
        <v>1854</v>
      </c>
      <c r="C12" s="849"/>
      <c r="D12" s="847" t="s">
        <v>501</v>
      </c>
      <c r="E12" s="846"/>
      <c r="F12" s="1811">
        <f>'Expenditures 15-22'!K295</f>
        <v>166651</v>
      </c>
      <c r="G12" s="850"/>
    </row>
    <row r="13" spans="1:7" x14ac:dyDescent="0.2">
      <c r="A13" s="847" t="s">
        <v>106</v>
      </c>
      <c r="B13" s="848" t="s">
        <v>1855</v>
      </c>
      <c r="C13" s="849"/>
      <c r="D13" s="847" t="s">
        <v>501</v>
      </c>
      <c r="E13" s="846"/>
      <c r="F13" s="1811">
        <f>'Expenditures 15-22'!K342</f>
        <v>0</v>
      </c>
      <c r="G13" s="851"/>
    </row>
    <row r="14" spans="1:7" ht="12" customHeight="1" thickBot="1" x14ac:dyDescent="0.25">
      <c r="A14" s="1674"/>
      <c r="B14" s="1675"/>
      <c r="C14" s="1676"/>
      <c r="D14" s="1677" t="s">
        <v>501</v>
      </c>
      <c r="E14" s="1678" t="s">
        <v>958</v>
      </c>
      <c r="F14" s="1679">
        <f>SUM(F8:F13)</f>
        <v>12409085</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12">
        <f>'Revenues 9-14'!F43</f>
        <v>0</v>
      </c>
      <c r="G18" s="843"/>
    </row>
    <row r="19" spans="1:7" x14ac:dyDescent="0.2">
      <c r="A19" s="847" t="s">
        <v>461</v>
      </c>
      <c r="B19" s="848" t="s">
        <v>1011</v>
      </c>
      <c r="C19" s="855">
        <f>'Revenues 9-14'!B47</f>
        <v>1421</v>
      </c>
      <c r="D19" s="856" t="str">
        <f>'Revenues 9-14'!A47</f>
        <v>Summer Sch - Transp. Fees from Pupils or Parents (In State)</v>
      </c>
      <c r="E19" s="857"/>
      <c r="F19" s="1813">
        <f>'Revenues 9-14'!F47</f>
        <v>0</v>
      </c>
      <c r="G19" s="843"/>
    </row>
    <row r="20" spans="1:7" x14ac:dyDescent="0.2">
      <c r="A20" s="847" t="s">
        <v>461</v>
      </c>
      <c r="B20" s="848" t="s">
        <v>1012</v>
      </c>
      <c r="C20" s="853">
        <f>'Revenues 9-14'!B48</f>
        <v>1422</v>
      </c>
      <c r="D20" s="854" t="str">
        <f>'Revenues 9-14'!A48</f>
        <v>Summer Sch - Transp. Fees from Other Districts (In State)</v>
      </c>
      <c r="E20" s="846"/>
      <c r="F20" s="1814">
        <f>'Revenues 9-14'!F48</f>
        <v>0</v>
      </c>
      <c r="G20" s="843"/>
    </row>
    <row r="21" spans="1:7" x14ac:dyDescent="0.2">
      <c r="A21" s="847" t="s">
        <v>461</v>
      </c>
      <c r="B21" s="848" t="s">
        <v>1013</v>
      </c>
      <c r="C21" s="855">
        <f>'Revenues 9-14'!B49</f>
        <v>1423</v>
      </c>
      <c r="D21" s="854" t="str">
        <f>'Revenues 9-14'!A49</f>
        <v>Summer Sch - Transp. Fees from Other Sources (In State)</v>
      </c>
      <c r="E21" s="846"/>
      <c r="F21" s="1815">
        <f>'Revenues 9-14'!F49</f>
        <v>0</v>
      </c>
      <c r="G21" s="843"/>
    </row>
    <row r="22" spans="1:7" x14ac:dyDescent="0.2">
      <c r="A22" s="847" t="s">
        <v>461</v>
      </c>
      <c r="B22" s="848" t="s">
        <v>1014</v>
      </c>
      <c r="C22" s="855">
        <f>'Revenues 9-14'!B50</f>
        <v>1424</v>
      </c>
      <c r="D22" s="854" t="str">
        <f>'Revenues 9-14'!A50</f>
        <v>Summer Sch - Transp. Fees from Other Sources (Out of State)</v>
      </c>
      <c r="E22" s="846"/>
      <c r="F22" s="1815">
        <f>'Revenues 9-14'!F50</f>
        <v>0</v>
      </c>
      <c r="G22" s="843"/>
    </row>
    <row r="23" spans="1:7" x14ac:dyDescent="0.2">
      <c r="A23" s="847" t="s">
        <v>461</v>
      </c>
      <c r="B23" s="848" t="s">
        <v>1015</v>
      </c>
      <c r="C23" s="853">
        <f>'Revenues 9-14'!B52</f>
        <v>1432</v>
      </c>
      <c r="D23" s="854" t="str">
        <f>'Revenues 9-14'!A52</f>
        <v>CTE - Transp Fees from Other Districts (In State)</v>
      </c>
      <c r="E23" s="846"/>
      <c r="F23" s="1815">
        <f>'Revenues 9-14'!F52</f>
        <v>0</v>
      </c>
      <c r="G23" s="843"/>
    </row>
    <row r="24" spans="1:7" x14ac:dyDescent="0.2">
      <c r="A24" s="847" t="s">
        <v>461</v>
      </c>
      <c r="B24" s="848" t="s">
        <v>1016</v>
      </c>
      <c r="C24" s="853">
        <f>'Revenues 9-14'!B56</f>
        <v>1442</v>
      </c>
      <c r="D24" s="854" t="str">
        <f>'Revenues 9-14'!A56</f>
        <v>Special Ed - Transp Fees from Other Districts (In State)</v>
      </c>
      <c r="E24" s="846"/>
      <c r="F24" s="1815">
        <f>'Revenues 9-14'!F56</f>
        <v>0</v>
      </c>
      <c r="G24" s="843"/>
    </row>
    <row r="25" spans="1:7" x14ac:dyDescent="0.2">
      <c r="A25" s="847" t="s">
        <v>461</v>
      </c>
      <c r="B25" s="848" t="s">
        <v>1017</v>
      </c>
      <c r="C25" s="853">
        <f>'Revenues 9-14'!B59</f>
        <v>1451</v>
      </c>
      <c r="D25" s="854" t="str">
        <f>'Revenues 9-14'!A59</f>
        <v>Adult - Transp Fees from Pupils or Parents (In State)</v>
      </c>
      <c r="E25" s="846"/>
      <c r="F25" s="1815">
        <f>'Revenues 9-14'!F59</f>
        <v>0</v>
      </c>
      <c r="G25" s="843"/>
    </row>
    <row r="26" spans="1:7" x14ac:dyDescent="0.2">
      <c r="A26" s="847" t="s">
        <v>461</v>
      </c>
      <c r="B26" s="848" t="s">
        <v>1018</v>
      </c>
      <c r="C26" s="853">
        <f>'Revenues 9-14'!B60</f>
        <v>1452</v>
      </c>
      <c r="D26" s="854" t="str">
        <f>'Revenues 9-14'!A60</f>
        <v>Adult - Transp Fees from Other Districts (In State)</v>
      </c>
      <c r="E26" s="846"/>
      <c r="F26" s="1815">
        <f>'Revenues 9-14'!F60</f>
        <v>0</v>
      </c>
      <c r="G26" s="843"/>
    </row>
    <row r="27" spans="1:7" x14ac:dyDescent="0.2">
      <c r="A27" s="847" t="s">
        <v>461</v>
      </c>
      <c r="B27" s="848" t="s">
        <v>1019</v>
      </c>
      <c r="C27" s="853">
        <f>'Revenues 9-14'!B61</f>
        <v>1453</v>
      </c>
      <c r="D27" s="854" t="str">
        <f>'Revenues 9-14'!A61</f>
        <v>Adult - Transp Fees from Other Sources (In State)</v>
      </c>
      <c r="E27" s="846"/>
      <c r="F27" s="1815">
        <f>'Revenues 9-14'!F61</f>
        <v>0</v>
      </c>
      <c r="G27" s="843"/>
    </row>
    <row r="28" spans="1:7" x14ac:dyDescent="0.2">
      <c r="A28" s="847" t="s">
        <v>461</v>
      </c>
      <c r="B28" s="848" t="s">
        <v>1020</v>
      </c>
      <c r="C28" s="853">
        <f>'Revenues 9-14'!B62</f>
        <v>1454</v>
      </c>
      <c r="D28" s="854" t="str">
        <f>'Revenues 9-14'!A62</f>
        <v>Adult - Transp Fees from Other Sources (Out of State)</v>
      </c>
      <c r="E28" s="846"/>
      <c r="F28" s="1815">
        <f>'Revenues 9-14'!F62</f>
        <v>0</v>
      </c>
      <c r="G28" s="843"/>
    </row>
    <row r="29" spans="1:7" x14ac:dyDescent="0.2">
      <c r="A29" s="847" t="s">
        <v>1097</v>
      </c>
      <c r="B29" s="848" t="s">
        <v>810</v>
      </c>
      <c r="C29" s="858">
        <f>'Revenues 9-14'!B149</f>
        <v>3410</v>
      </c>
      <c r="D29" s="859" t="str">
        <f>'Revenues 9-14'!A149</f>
        <v>Adult Ed (from ICCB)</v>
      </c>
      <c r="E29" s="846"/>
      <c r="F29" s="1815">
        <f>SUM('Revenues 9-14'!D149,'Revenues 9-14'!F149)</f>
        <v>0</v>
      </c>
      <c r="G29" s="843"/>
    </row>
    <row r="30" spans="1:7" x14ac:dyDescent="0.2">
      <c r="A30" s="847" t="s">
        <v>1097</v>
      </c>
      <c r="B30" s="848" t="s">
        <v>1973</v>
      </c>
      <c r="C30" s="858">
        <f>'Revenues 9-14'!B150</f>
        <v>3499</v>
      </c>
      <c r="D30" s="859" t="str">
        <f>'Revenues 9-14'!A150</f>
        <v>Adult Ed - Other (Describe &amp; Itemize)</v>
      </c>
      <c r="E30" s="846"/>
      <c r="F30" s="1816">
        <f>('Revenues 9-14'!D150+'Revenues 9-14'!F150)</f>
        <v>0</v>
      </c>
      <c r="G30" s="843"/>
    </row>
    <row r="31" spans="1:7" x14ac:dyDescent="0.2">
      <c r="A31" s="847" t="s">
        <v>1097</v>
      </c>
      <c r="B31" s="848" t="s">
        <v>1974</v>
      </c>
      <c r="C31" s="853">
        <f>'Revenues 9-14'!B211</f>
        <v>4600</v>
      </c>
      <c r="D31" s="861" t="str">
        <f>'Revenues 9-14'!A211</f>
        <v>Fed - Spec Education - Preschool Flow-Through</v>
      </c>
      <c r="E31" s="862"/>
      <c r="F31" s="1815">
        <f>SUM('Revenues 9-14'!D211,'Revenues 9-14'!F211)</f>
        <v>0</v>
      </c>
      <c r="G31" s="843"/>
    </row>
    <row r="32" spans="1:7" x14ac:dyDescent="0.2">
      <c r="A32" s="847" t="s">
        <v>1097</v>
      </c>
      <c r="B32" s="848" t="s">
        <v>1975</v>
      </c>
      <c r="C32" s="853">
        <f>'Revenues 9-14'!B212</f>
        <v>4605</v>
      </c>
      <c r="D32" s="863" t="str">
        <f>'Revenues 9-14'!A212</f>
        <v>Fed - Spec Education - Preschool Discretionary</v>
      </c>
      <c r="E32" s="862"/>
      <c r="F32" s="1815">
        <f>SUM('Revenues 9-14'!D212,'Revenues 9-14'!F212)</f>
        <v>0</v>
      </c>
      <c r="G32" s="843"/>
    </row>
    <row r="33" spans="1:7" x14ac:dyDescent="0.2">
      <c r="A33" s="847" t="s">
        <v>460</v>
      </c>
      <c r="B33" s="848" t="s">
        <v>1976</v>
      </c>
      <c r="C33" s="853">
        <f>'Revenues 9-14'!B222</f>
        <v>4810</v>
      </c>
      <c r="D33" s="861" t="str">
        <f>'Revenues 9-14'!A222</f>
        <v>Federal - Adult Education</v>
      </c>
      <c r="E33" s="846"/>
      <c r="F33" s="1815">
        <f>'Revenues 9-14'!D222</f>
        <v>0</v>
      </c>
      <c r="G33" s="843"/>
    </row>
    <row r="34" spans="1:7" x14ac:dyDescent="0.2">
      <c r="A34" s="847" t="s">
        <v>459</v>
      </c>
      <c r="B34" s="847" t="s">
        <v>1467</v>
      </c>
      <c r="C34" s="864" t="str">
        <f>'Expenditures 15-22'!B7</f>
        <v>1125</v>
      </c>
      <c r="D34" s="865" t="str">
        <f>'Expenditures 15-22'!A7</f>
        <v>Pre-K Programs</v>
      </c>
      <c r="E34" s="846"/>
      <c r="F34" s="1815">
        <f>'Expenditures 15-22'!K7-SUM('Expenditures 15-22'!G7,'Expenditures 15-22'!I7)</f>
        <v>0</v>
      </c>
      <c r="G34" s="843"/>
    </row>
    <row r="35" spans="1:7" x14ac:dyDescent="0.2">
      <c r="A35" s="847" t="s">
        <v>459</v>
      </c>
      <c r="B35" s="847" t="s">
        <v>1468</v>
      </c>
      <c r="C35" s="864" t="str">
        <f>'Expenditures 15-22'!B9</f>
        <v>1225</v>
      </c>
      <c r="D35" s="865" t="str">
        <f>'Expenditures 15-22'!A9</f>
        <v>Special Education Programs Pre-K</v>
      </c>
      <c r="E35" s="846"/>
      <c r="F35" s="1815">
        <f>'Expenditures 15-22'!K9-SUM('Expenditures 15-22'!G9+'Expenditures 15-22'!I9)</f>
        <v>101594</v>
      </c>
      <c r="G35" s="843"/>
    </row>
    <row r="36" spans="1:7" x14ac:dyDescent="0.2">
      <c r="A36" s="847" t="s">
        <v>459</v>
      </c>
      <c r="B36" s="847" t="s">
        <v>116</v>
      </c>
      <c r="C36" s="864" t="str">
        <f>'Expenditures 15-22'!B11</f>
        <v>1275</v>
      </c>
      <c r="D36" s="865" t="str">
        <f>'Expenditures 15-22'!A11</f>
        <v>Remedial and Supplemental Programs Pre-K</v>
      </c>
      <c r="E36" s="846"/>
      <c r="F36" s="1815">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15">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15">
        <f>'Expenditures 15-22'!K15-SUM('Expenditures 15-22'!G15,'Expenditures 15-22'!I15)</f>
        <v>10020</v>
      </c>
      <c r="G38" s="843"/>
    </row>
    <row r="39" spans="1:7" x14ac:dyDescent="0.2">
      <c r="A39" s="847" t="s">
        <v>459</v>
      </c>
      <c r="B39" s="847" t="s">
        <v>117</v>
      </c>
      <c r="C39" s="864" t="str">
        <f>'Expenditures 15-22'!B20</f>
        <v>1910</v>
      </c>
      <c r="D39" s="866" t="str">
        <f>'Expenditures 15-22'!A20</f>
        <v>Pre-K Programs - Private Tuition</v>
      </c>
      <c r="E39" s="846"/>
      <c r="F39" s="1815">
        <f>'Expenditures 15-22'!K20</f>
        <v>0</v>
      </c>
      <c r="G39" s="843"/>
    </row>
    <row r="40" spans="1:7" x14ac:dyDescent="0.2">
      <c r="A40" s="847" t="s">
        <v>459</v>
      </c>
      <c r="B40" s="847" t="s">
        <v>118</v>
      </c>
      <c r="C40" s="864" t="str">
        <f>'Expenditures 15-22'!B21</f>
        <v>1911</v>
      </c>
      <c r="D40" s="866" t="str">
        <f>'Expenditures 15-22'!A21</f>
        <v>Regular K-12 Programs - Private Tuition</v>
      </c>
      <c r="E40" s="846"/>
      <c r="F40" s="1815">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15">
        <f>'Expenditures 15-22'!K22</f>
        <v>0</v>
      </c>
      <c r="G41" s="843"/>
    </row>
    <row r="42" spans="1:7" x14ac:dyDescent="0.2">
      <c r="A42" s="847" t="s">
        <v>459</v>
      </c>
      <c r="B42" s="847" t="s">
        <v>120</v>
      </c>
      <c r="C42" s="867" t="str">
        <f>'Expenditures 15-22'!B23</f>
        <v>1913</v>
      </c>
      <c r="D42" s="866" t="str">
        <f>'Expenditures 15-22'!A23</f>
        <v>Special Education Programs Pre-K - Tuition</v>
      </c>
      <c r="E42" s="846"/>
      <c r="F42" s="1815">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15">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15">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15">
        <f>'Expenditures 15-22'!K26</f>
        <v>0</v>
      </c>
      <c r="G45" s="843"/>
    </row>
    <row r="46" spans="1:7" x14ac:dyDescent="0.2">
      <c r="A46" s="847" t="s">
        <v>459</v>
      </c>
      <c r="B46" s="847" t="s">
        <v>124</v>
      </c>
      <c r="C46" s="864" t="str">
        <f>'Expenditures 15-22'!B27</f>
        <v>1917</v>
      </c>
      <c r="D46" s="866" t="str">
        <f>'Expenditures 15-22'!A27</f>
        <v>CTE Programs - Private Tuition</v>
      </c>
      <c r="E46" s="846"/>
      <c r="F46" s="1815">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15">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15">
        <f>'Expenditures 15-22'!K29</f>
        <v>0</v>
      </c>
      <c r="G48" s="843"/>
    </row>
    <row r="49" spans="1:7" x14ac:dyDescent="0.2">
      <c r="A49" s="847" t="s">
        <v>459</v>
      </c>
      <c r="B49" s="847" t="s">
        <v>127</v>
      </c>
      <c r="C49" s="864" t="str">
        <f>'Expenditures 15-22'!B30</f>
        <v>1920</v>
      </c>
      <c r="D49" s="866" t="str">
        <f>'Expenditures 15-22'!A30</f>
        <v>Gifted Programs - Private Tuition</v>
      </c>
      <c r="E49" s="846"/>
      <c r="F49" s="1815">
        <f>'Expenditures 15-22'!K30</f>
        <v>0</v>
      </c>
      <c r="G49" s="843"/>
    </row>
    <row r="50" spans="1:7" x14ac:dyDescent="0.2">
      <c r="A50" s="847" t="s">
        <v>459</v>
      </c>
      <c r="B50" s="847" t="s">
        <v>128</v>
      </c>
      <c r="C50" s="864" t="str">
        <f>'Expenditures 15-22'!B31</f>
        <v>1921</v>
      </c>
      <c r="D50" s="866" t="str">
        <f>'Expenditures 15-22'!A31</f>
        <v>Bilingual Programs - Private Tuition</v>
      </c>
      <c r="E50" s="846"/>
      <c r="F50" s="1815">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15">
        <f>'Expenditures 15-22'!K32</f>
        <v>0</v>
      </c>
      <c r="G51" s="843"/>
    </row>
    <row r="52" spans="1:7" x14ac:dyDescent="0.2">
      <c r="A52" s="847" t="s">
        <v>459</v>
      </c>
      <c r="B52" s="847" t="s">
        <v>1472</v>
      </c>
      <c r="C52" s="867" t="str">
        <f>'Expenditures 15-22'!B75</f>
        <v>3000</v>
      </c>
      <c r="D52" s="866" t="s">
        <v>449</v>
      </c>
      <c r="E52" s="846"/>
      <c r="F52" s="1815">
        <f>'Expenditures 15-22'!K75-SUM('Expenditures 15-22'!G75,'Expenditures 15-22'!I75)</f>
        <v>9619</v>
      </c>
      <c r="G52" s="843"/>
    </row>
    <row r="53" spans="1:7" x14ac:dyDescent="0.2">
      <c r="A53" s="847" t="s">
        <v>459</v>
      </c>
      <c r="B53" s="847" t="s">
        <v>1473</v>
      </c>
      <c r="C53" s="867">
        <f>'Expenditures 15-22'!B102</f>
        <v>4000</v>
      </c>
      <c r="D53" s="866" t="str">
        <f>'Expenditures 15-22'!A102</f>
        <v>Total Payments to Other Govt Units</v>
      </c>
      <c r="E53" s="846"/>
      <c r="F53" s="1815">
        <f>'Expenditures 15-22'!K102</f>
        <v>375932</v>
      </c>
      <c r="G53" s="843"/>
    </row>
    <row r="54" spans="1:7" x14ac:dyDescent="0.2">
      <c r="A54" s="847" t="s">
        <v>459</v>
      </c>
      <c r="B54" s="847" t="s">
        <v>1474</v>
      </c>
      <c r="C54" s="867" t="s">
        <v>982</v>
      </c>
      <c r="D54" s="863" t="s">
        <v>1095</v>
      </c>
      <c r="E54" s="846"/>
      <c r="F54" s="1815">
        <f>'Expenditures 15-22'!G114</f>
        <v>68234</v>
      </c>
      <c r="G54" s="843"/>
    </row>
    <row r="55" spans="1:7" x14ac:dyDescent="0.2">
      <c r="A55" s="847" t="s">
        <v>459</v>
      </c>
      <c r="B55" s="847" t="s">
        <v>1475</v>
      </c>
      <c r="C55" s="867" t="s">
        <v>982</v>
      </c>
      <c r="D55" s="863" t="s">
        <v>291</v>
      </c>
      <c r="E55" s="846"/>
      <c r="F55" s="1815">
        <f>'Expenditures 15-22'!I114</f>
        <v>0</v>
      </c>
      <c r="G55" s="843"/>
    </row>
    <row r="56" spans="1:7" x14ac:dyDescent="0.2">
      <c r="A56" s="847" t="s">
        <v>460</v>
      </c>
      <c r="B56" s="847" t="s">
        <v>1476</v>
      </c>
      <c r="C56" s="864" t="str">
        <f>'Expenditures 15-22'!B130</f>
        <v>3000</v>
      </c>
      <c r="D56" s="870" t="s">
        <v>449</v>
      </c>
      <c r="E56" s="846"/>
      <c r="F56" s="1815">
        <f>'Expenditures 15-22'!K130-SUM('Expenditures 15-22'!G130+'Expenditures 15-22'!I130)</f>
        <v>0</v>
      </c>
      <c r="G56" s="843"/>
    </row>
    <row r="57" spans="1:7" x14ac:dyDescent="0.2">
      <c r="A57" s="847" t="s">
        <v>460</v>
      </c>
      <c r="B57" s="847" t="s">
        <v>1856</v>
      </c>
      <c r="C57" s="867">
        <f>'Expenditures 15-22'!B139</f>
        <v>4000</v>
      </c>
      <c r="D57" s="865" t="str">
        <f>'Expenditures 15-22'!A139</f>
        <v>Total Payments to Other Govt Units</v>
      </c>
      <c r="E57" s="846"/>
      <c r="F57" s="1815">
        <f>'Expenditures 15-22'!K139</f>
        <v>0</v>
      </c>
      <c r="G57" s="843"/>
    </row>
    <row r="58" spans="1:7" x14ac:dyDescent="0.2">
      <c r="A58" s="847" t="s">
        <v>460</v>
      </c>
      <c r="B58" s="847" t="s">
        <v>1857</v>
      </c>
      <c r="C58" s="864" t="s">
        <v>982</v>
      </c>
      <c r="D58" s="863" t="s">
        <v>1095</v>
      </c>
      <c r="E58" s="846"/>
      <c r="F58" s="1817">
        <f>'Expenditures 15-22'!G151</f>
        <v>77108</v>
      </c>
      <c r="G58" s="843"/>
    </row>
    <row r="59" spans="1:7" x14ac:dyDescent="0.2">
      <c r="A59" s="871" t="s">
        <v>460</v>
      </c>
      <c r="B59" s="834" t="s">
        <v>1858</v>
      </c>
      <c r="C59" s="872" t="s">
        <v>982</v>
      </c>
      <c r="D59" s="834" t="s">
        <v>291</v>
      </c>
      <c r="F59" s="1818">
        <f>'Expenditures 15-22'!I151</f>
        <v>0</v>
      </c>
      <c r="G59" s="843"/>
    </row>
    <row r="60" spans="1:7" x14ac:dyDescent="0.2">
      <c r="A60" s="871" t="s">
        <v>499</v>
      </c>
      <c r="B60" s="834" t="s">
        <v>1859</v>
      </c>
      <c r="C60" s="872">
        <v>4000</v>
      </c>
      <c r="D60" s="834" t="s">
        <v>312</v>
      </c>
      <c r="F60" s="1816">
        <f>'Expenditures 15-22'!K160</f>
        <v>0</v>
      </c>
      <c r="G60" s="843"/>
    </row>
    <row r="61" spans="1:7" x14ac:dyDescent="0.2">
      <c r="A61" s="873" t="s">
        <v>499</v>
      </c>
      <c r="B61" s="873" t="s">
        <v>1860</v>
      </c>
      <c r="C61" s="874" t="str">
        <f>'Expenditures 15-22'!B170</f>
        <v>5300</v>
      </c>
      <c r="D61" s="875" t="s">
        <v>311</v>
      </c>
      <c r="E61" s="857"/>
      <c r="F61" s="1815">
        <f>'Expenditures 15-22'!K170</f>
        <v>1878890</v>
      </c>
      <c r="G61" s="843"/>
    </row>
    <row r="62" spans="1:7" x14ac:dyDescent="0.2">
      <c r="A62" s="847" t="s">
        <v>461</v>
      </c>
      <c r="B62" s="847" t="s">
        <v>1861</v>
      </c>
      <c r="C62" s="864">
        <f>'Expenditures 15-22'!B185</f>
        <v>3000</v>
      </c>
      <c r="D62" s="854" t="s">
        <v>449</v>
      </c>
      <c r="E62" s="846"/>
      <c r="F62" s="1815">
        <f>'Expenditures 15-22'!K185-SUM('Expenditures 15-22'!G185,'Expenditures 15-22'!I185)</f>
        <v>0</v>
      </c>
      <c r="G62" s="843"/>
    </row>
    <row r="63" spans="1:7" x14ac:dyDescent="0.2">
      <c r="A63" s="847" t="s">
        <v>461</v>
      </c>
      <c r="B63" s="847" t="s">
        <v>1862</v>
      </c>
      <c r="C63" s="864" t="str">
        <f>'Expenditures 15-22'!B196</f>
        <v>4000</v>
      </c>
      <c r="D63" s="865" t="str">
        <f>'Expenditures 15-22'!A196</f>
        <v>Total Payments to Other Govt Units</v>
      </c>
      <c r="E63" s="846"/>
      <c r="F63" s="1815">
        <f>'Expenditures 15-22'!K196</f>
        <v>0</v>
      </c>
      <c r="G63" s="843"/>
    </row>
    <row r="64" spans="1:7" x14ac:dyDescent="0.2">
      <c r="A64" s="873" t="s">
        <v>461</v>
      </c>
      <c r="B64" s="873" t="s">
        <v>1863</v>
      </c>
      <c r="C64" s="874" t="str">
        <f>'Expenditures 15-22'!B206</f>
        <v>5300</v>
      </c>
      <c r="D64" s="870" t="s">
        <v>311</v>
      </c>
      <c r="E64" s="846"/>
      <c r="F64" s="1815">
        <f>'Expenditures 15-22'!K206</f>
        <v>0</v>
      </c>
      <c r="G64" s="843"/>
    </row>
    <row r="65" spans="1:8" x14ac:dyDescent="0.2">
      <c r="A65" s="847" t="s">
        <v>461</v>
      </c>
      <c r="B65" s="847" t="s">
        <v>1864</v>
      </c>
      <c r="C65" s="864" t="s">
        <v>982</v>
      </c>
      <c r="D65" s="863" t="s">
        <v>1095</v>
      </c>
      <c r="E65" s="846"/>
      <c r="F65" s="1815">
        <f>'Expenditures 15-22'!G210</f>
        <v>0</v>
      </c>
      <c r="G65" s="843"/>
    </row>
    <row r="66" spans="1:8" x14ac:dyDescent="0.2">
      <c r="A66" s="847" t="s">
        <v>461</v>
      </c>
      <c r="B66" s="847" t="s">
        <v>1865</v>
      </c>
      <c r="C66" s="864" t="s">
        <v>982</v>
      </c>
      <c r="D66" s="863" t="s">
        <v>291</v>
      </c>
      <c r="E66" s="846"/>
      <c r="F66" s="1815">
        <f>'Expenditures 15-22'!I210</f>
        <v>0</v>
      </c>
      <c r="G66" s="843"/>
    </row>
    <row r="67" spans="1:8" x14ac:dyDescent="0.2">
      <c r="A67" s="847" t="s">
        <v>462</v>
      </c>
      <c r="B67" s="847" t="s">
        <v>1866</v>
      </c>
      <c r="C67" s="864" t="str">
        <f>'Expenditures 15-22'!B216</f>
        <v>1125</v>
      </c>
      <c r="D67" s="870" t="str">
        <f>'Expenditures 15-22'!A216</f>
        <v>Pre-K Programs</v>
      </c>
      <c r="E67" s="846"/>
      <c r="F67" s="1815">
        <f>'Expenditures 15-22'!K216</f>
        <v>0</v>
      </c>
      <c r="G67" s="843"/>
    </row>
    <row r="68" spans="1:8" x14ac:dyDescent="0.2">
      <c r="A68" s="847" t="s">
        <v>462</v>
      </c>
      <c r="B68" s="847" t="s">
        <v>1477</v>
      </c>
      <c r="C68" s="864" t="str">
        <f>'Expenditures 15-22'!B218</f>
        <v>1225</v>
      </c>
      <c r="D68" s="870" t="str">
        <f>'Expenditures 15-22'!A218</f>
        <v>Special Education Programs - Pre-K</v>
      </c>
      <c r="E68" s="846"/>
      <c r="F68" s="1815">
        <f>'Expenditures 15-22'!K218</f>
        <v>959</v>
      </c>
      <c r="G68" s="843"/>
    </row>
    <row r="69" spans="1:8" x14ac:dyDescent="0.2">
      <c r="A69" s="847" t="s">
        <v>462</v>
      </c>
      <c r="B69" s="847" t="s">
        <v>1867</v>
      </c>
      <c r="C69" s="864" t="str">
        <f>'Expenditures 15-22'!B220</f>
        <v>1275</v>
      </c>
      <c r="D69" s="870" t="str">
        <f>'Expenditures 15-22'!A220</f>
        <v>Remedial and Supplemental Programs - Pre-K</v>
      </c>
      <c r="E69" s="846"/>
      <c r="F69" s="1815">
        <f>'Expenditures 15-22'!K220</f>
        <v>0</v>
      </c>
      <c r="G69" s="843"/>
    </row>
    <row r="70" spans="1:8" x14ac:dyDescent="0.2">
      <c r="A70" s="847" t="s">
        <v>462</v>
      </c>
      <c r="B70" s="847" t="s">
        <v>1868</v>
      </c>
      <c r="C70" s="864">
        <f>'Expenditures 15-22'!B221</f>
        <v>1300</v>
      </c>
      <c r="D70" s="865" t="str">
        <f>'Expenditures 15-22'!A221</f>
        <v>Adult/Continuing Education Programs</v>
      </c>
      <c r="E70" s="846"/>
      <c r="F70" s="1815">
        <f>'Expenditures 15-22'!K221</f>
        <v>0</v>
      </c>
      <c r="G70" s="843"/>
    </row>
    <row r="71" spans="1:8" x14ac:dyDescent="0.2">
      <c r="A71" s="847" t="s">
        <v>462</v>
      </c>
      <c r="B71" s="847" t="s">
        <v>1869</v>
      </c>
      <c r="C71" s="864">
        <f>'Expenditures 15-22'!B224</f>
        <v>1600</v>
      </c>
      <c r="D71" s="865" t="str">
        <f>'Expenditures 15-22'!A224</f>
        <v>Summer School Programs</v>
      </c>
      <c r="E71" s="846"/>
      <c r="F71" s="1815">
        <f>'Expenditures 15-22'!K224</f>
        <v>138</v>
      </c>
      <c r="G71" s="843"/>
    </row>
    <row r="72" spans="1:8" x14ac:dyDescent="0.2">
      <c r="A72" s="847" t="s">
        <v>462</v>
      </c>
      <c r="B72" s="847" t="s">
        <v>1870</v>
      </c>
      <c r="C72" s="864">
        <f>'Expenditures 15-22'!B280</f>
        <v>3000</v>
      </c>
      <c r="D72" s="854" t="s">
        <v>449</v>
      </c>
      <c r="E72" s="846"/>
      <c r="F72" s="1815">
        <f>'Expenditures 15-22'!K280</f>
        <v>0</v>
      </c>
      <c r="G72" s="843"/>
    </row>
    <row r="73" spans="1:8" x14ac:dyDescent="0.2">
      <c r="A73" s="847" t="s">
        <v>462</v>
      </c>
      <c r="B73" s="847" t="s">
        <v>1871</v>
      </c>
      <c r="C73" s="864" t="str">
        <f>'Expenditures 15-22'!B285</f>
        <v>4000</v>
      </c>
      <c r="D73" s="865" t="str">
        <f>'Expenditures 15-22'!A285</f>
        <v>Total Payments to Other Govt Units</v>
      </c>
      <c r="E73" s="846"/>
      <c r="F73" s="1815">
        <f>'Expenditures 15-22'!K285</f>
        <v>0</v>
      </c>
      <c r="G73" s="843"/>
    </row>
    <row r="74" spans="1:8" x14ac:dyDescent="0.2">
      <c r="A74" s="847" t="s">
        <v>436</v>
      </c>
      <c r="B74" s="847" t="s">
        <v>1872</v>
      </c>
      <c r="C74" s="864" t="s">
        <v>860</v>
      </c>
      <c r="D74" s="865" t="s">
        <v>1485</v>
      </c>
      <c r="E74" s="846"/>
      <c r="F74" s="1819">
        <f>'Expenditures 15-22'!K334</f>
        <v>0</v>
      </c>
      <c r="G74" s="843"/>
    </row>
    <row r="75" spans="1:8" ht="5.25" customHeight="1" x14ac:dyDescent="0.2">
      <c r="A75" s="843"/>
      <c r="B75" s="853"/>
      <c r="C75" s="853"/>
      <c r="D75" s="843"/>
      <c r="E75" s="846"/>
      <c r="F75" s="860"/>
      <c r="G75" s="845"/>
    </row>
    <row r="76" spans="1:8" ht="12" thickBot="1" x14ac:dyDescent="0.25">
      <c r="A76" s="1674"/>
      <c r="B76" s="1680"/>
      <c r="C76" s="1676"/>
      <c r="D76" s="1681" t="s">
        <v>1873</v>
      </c>
      <c r="E76" s="1678" t="s">
        <v>958</v>
      </c>
      <c r="F76" s="1682">
        <f>SUM(F18:F74)</f>
        <v>2522494</v>
      </c>
      <c r="G76" s="843"/>
    </row>
    <row r="77" spans="1:8" s="871" customFormat="1" ht="12" customHeight="1" thickTop="1" thickBot="1" x14ac:dyDescent="0.25">
      <c r="A77" s="1683"/>
      <c r="B77" s="1680"/>
      <c r="C77" s="1676"/>
      <c r="D77" s="1681" t="s">
        <v>1874</v>
      </c>
      <c r="E77" s="1678"/>
      <c r="F77" s="1684">
        <f>(F14-F76)</f>
        <v>9886591</v>
      </c>
      <c r="G77" s="847"/>
    </row>
    <row r="78" spans="1:8" s="871" customFormat="1" ht="12" customHeight="1" thickTop="1" x14ac:dyDescent="0.2">
      <c r="A78" s="1685"/>
      <c r="B78" s="1680"/>
      <c r="C78" s="1676"/>
      <c r="D78" s="1681" t="s">
        <v>2036</v>
      </c>
      <c r="E78" s="1678"/>
      <c r="F78" s="876">
        <v>421.3</v>
      </c>
      <c r="G78" s="877"/>
      <c r="H78" s="847"/>
    </row>
    <row r="79" spans="1:8" s="871" customFormat="1" ht="12" customHeight="1" thickBot="1" x14ac:dyDescent="0.25">
      <c r="A79" s="1686"/>
      <c r="B79" s="1680"/>
      <c r="C79" s="1676"/>
      <c r="D79" s="1681" t="s">
        <v>1875</v>
      </c>
      <c r="E79" s="1678" t="s">
        <v>958</v>
      </c>
      <c r="F79" s="1687">
        <f>IF(F78&gt;0,F77/F78," Complete Line 78")</f>
        <v>23466.866840731069</v>
      </c>
      <c r="G79" s="847"/>
    </row>
    <row r="80" spans="1:8" s="871" customFormat="1" ht="8.25" customHeight="1" thickTop="1" x14ac:dyDescent="0.2">
      <c r="A80" s="878"/>
      <c r="B80" s="847"/>
      <c r="C80" s="849"/>
      <c r="D80" s="879"/>
      <c r="E80" s="846"/>
      <c r="F80" s="880"/>
      <c r="G80" s="847"/>
    </row>
    <row r="81" spans="1:7" s="871" customFormat="1" ht="12" thickBot="1" x14ac:dyDescent="0.25">
      <c r="A81" s="2256" t="s">
        <v>1105</v>
      </c>
      <c r="B81" s="2257"/>
      <c r="C81" s="2257"/>
      <c r="D81" s="2257"/>
      <c r="E81" s="2257"/>
      <c r="F81" s="2258"/>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09">
        <f>'Revenues 9-14'!F42</f>
        <v>8188</v>
      </c>
      <c r="G84" s="890"/>
    </row>
    <row r="85" spans="1:7" x14ac:dyDescent="0.2">
      <c r="A85" s="886" t="s">
        <v>461</v>
      </c>
      <c r="B85" s="886" t="s">
        <v>183</v>
      </c>
      <c r="C85" s="891">
        <f>'Revenues 9-14'!B44</f>
        <v>1413</v>
      </c>
      <c r="D85" s="889" t="str">
        <f>'Revenues 9-14'!A44</f>
        <v>Regular - Transp Fees from Other Sources (In State)</v>
      </c>
      <c r="E85" s="884"/>
      <c r="F85" s="1693">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3">
        <f>'Revenues 9-14'!F45</f>
        <v>0</v>
      </c>
      <c r="G86" s="892"/>
    </row>
    <row r="87" spans="1:7" x14ac:dyDescent="0.2">
      <c r="A87" s="886" t="s">
        <v>461</v>
      </c>
      <c r="B87" s="886" t="s">
        <v>167</v>
      </c>
      <c r="C87" s="888">
        <v>1416</v>
      </c>
      <c r="D87" s="889" t="str">
        <f>'Revenues 9-14'!A46</f>
        <v>Regular Transp Fees from Other Sources (Out of State)</v>
      </c>
      <c r="E87" s="884"/>
      <c r="F87" s="1693">
        <f>'Revenues 9-14'!F46</f>
        <v>0</v>
      </c>
      <c r="G87" s="892"/>
    </row>
    <row r="88" spans="1:7" x14ac:dyDescent="0.2">
      <c r="A88" s="886" t="s">
        <v>461</v>
      </c>
      <c r="B88" s="886" t="s">
        <v>168</v>
      </c>
      <c r="C88" s="888">
        <f>'Revenues 9-14'!B51</f>
        <v>1431</v>
      </c>
      <c r="D88" s="889" t="str">
        <f>'Revenues 9-14'!A51</f>
        <v>CTE - Transp Fees from Pupils or Parents (In State)</v>
      </c>
      <c r="E88" s="884"/>
      <c r="F88" s="1693">
        <f>'Revenues 9-14'!F51</f>
        <v>0</v>
      </c>
      <c r="G88" s="892"/>
    </row>
    <row r="89" spans="1:7" x14ac:dyDescent="0.2">
      <c r="A89" s="886" t="s">
        <v>461</v>
      </c>
      <c r="B89" s="886" t="s">
        <v>169</v>
      </c>
      <c r="C89" s="888">
        <f>'Revenues 9-14'!B53</f>
        <v>1433</v>
      </c>
      <c r="D89" s="889" t="str">
        <f>'Revenues 9-14'!A53</f>
        <v>CTE - Transp Fees from Other Sources (In State)</v>
      </c>
      <c r="E89" s="884"/>
      <c r="F89" s="1693">
        <f>'Revenues 9-14'!F53</f>
        <v>0</v>
      </c>
      <c r="G89" s="892"/>
    </row>
    <row r="90" spans="1:7" x14ac:dyDescent="0.2">
      <c r="A90" s="886" t="s">
        <v>461</v>
      </c>
      <c r="B90" s="886" t="s">
        <v>170</v>
      </c>
      <c r="C90" s="888">
        <f>'Revenues 9-14'!B54</f>
        <v>1434</v>
      </c>
      <c r="D90" s="889" t="str">
        <f>'Revenues 9-14'!A54</f>
        <v>CTE - Transp Fees from Other Sources (Out of State)</v>
      </c>
      <c r="E90" s="884"/>
      <c r="F90" s="1693">
        <f>'Revenues 9-14'!F54</f>
        <v>0</v>
      </c>
      <c r="G90" s="892"/>
    </row>
    <row r="91" spans="1:7" x14ac:dyDescent="0.2">
      <c r="A91" s="886" t="s">
        <v>461</v>
      </c>
      <c r="B91" s="886" t="s">
        <v>171</v>
      </c>
      <c r="C91" s="893">
        <f>'Revenues 9-14'!B55</f>
        <v>1441</v>
      </c>
      <c r="D91" s="889" t="str">
        <f>'Revenues 9-14'!A55</f>
        <v>Special Ed - Transp Fees from Pupils or Parents (In State)</v>
      </c>
      <c r="E91" s="884"/>
      <c r="F91" s="1693">
        <f>'Revenues 9-14'!F55</f>
        <v>0</v>
      </c>
      <c r="G91" s="892"/>
    </row>
    <row r="92" spans="1:7" x14ac:dyDescent="0.2">
      <c r="A92" s="886" t="s">
        <v>461</v>
      </c>
      <c r="B92" s="886" t="s">
        <v>172</v>
      </c>
      <c r="C92" s="888">
        <f>'Revenues 9-14'!B57</f>
        <v>1443</v>
      </c>
      <c r="D92" s="889" t="str">
        <f>'Revenues 9-14'!A57</f>
        <v>Special Ed - Transp Fees from Other Sources (In State)</v>
      </c>
      <c r="E92" s="884"/>
      <c r="F92" s="1693">
        <f>'Revenues 9-14'!F57</f>
        <v>0</v>
      </c>
      <c r="G92" s="894"/>
    </row>
    <row r="93" spans="1:7" x14ac:dyDescent="0.2">
      <c r="A93" s="886" t="s">
        <v>461</v>
      </c>
      <c r="B93" s="886" t="s">
        <v>173</v>
      </c>
      <c r="C93" s="888">
        <f>'Revenues 9-14'!B58</f>
        <v>1444</v>
      </c>
      <c r="D93" s="889" t="str">
        <f>'Revenues 9-14'!A58</f>
        <v>Special Ed - Transp Fees from Other Sources (Out of State)</v>
      </c>
      <c r="E93" s="884"/>
      <c r="F93" s="1693">
        <f>'Revenues 9-14'!F58</f>
        <v>0</v>
      </c>
      <c r="G93" s="894"/>
    </row>
    <row r="94" spans="1:7" x14ac:dyDescent="0.2">
      <c r="A94" s="886" t="s">
        <v>459</v>
      </c>
      <c r="B94" s="886" t="s">
        <v>174</v>
      </c>
      <c r="C94" s="888">
        <v>1600</v>
      </c>
      <c r="D94" s="895" t="str">
        <f>'Revenues 9-14'!A75</f>
        <v>Total Food Service</v>
      </c>
      <c r="E94" s="884"/>
      <c r="F94" s="1693">
        <f>'Revenues 9-14'!C75</f>
        <v>58907</v>
      </c>
      <c r="G94" s="890"/>
    </row>
    <row r="95" spans="1:7" x14ac:dyDescent="0.2">
      <c r="A95" s="886" t="s">
        <v>140</v>
      </c>
      <c r="B95" s="886" t="s">
        <v>175</v>
      </c>
      <c r="C95" s="888">
        <v>1700</v>
      </c>
      <c r="D95" s="896" t="str">
        <f>'Revenues 9-14'!A82</f>
        <v>Total District/School Activity Income</v>
      </c>
      <c r="E95" s="884"/>
      <c r="F95" s="1693">
        <f>SUM('Revenues 9-14'!C82,'Revenues 9-14'!D82)</f>
        <v>56823</v>
      </c>
      <c r="G95" s="890"/>
    </row>
    <row r="96" spans="1:7" x14ac:dyDescent="0.2">
      <c r="A96" s="886" t="s">
        <v>459</v>
      </c>
      <c r="B96" s="886" t="s">
        <v>176</v>
      </c>
      <c r="C96" s="888">
        <f>'Revenues 9-14'!B84</f>
        <v>1811</v>
      </c>
      <c r="D96" s="889" t="str">
        <f>'Revenues 9-14'!A84</f>
        <v>Rentals - Regular Textbooks</v>
      </c>
      <c r="E96" s="884"/>
      <c r="F96" s="1693">
        <f>'Revenues 9-14'!C84</f>
        <v>0</v>
      </c>
      <c r="G96" s="890"/>
    </row>
    <row r="97" spans="1:7" x14ac:dyDescent="0.2">
      <c r="A97" s="886" t="s">
        <v>459</v>
      </c>
      <c r="B97" s="886" t="s">
        <v>177</v>
      </c>
      <c r="C97" s="888">
        <f>'Revenues 9-14'!B87</f>
        <v>1819</v>
      </c>
      <c r="D97" s="889" t="str">
        <f>'Revenues 9-14'!A87</f>
        <v>Rentals - Other (Describe &amp; Itemize)</v>
      </c>
      <c r="E97" s="884"/>
      <c r="F97" s="1693">
        <f>'Revenues 9-14'!C87</f>
        <v>0</v>
      </c>
      <c r="G97" s="890"/>
    </row>
    <row r="98" spans="1:7" x14ac:dyDescent="0.2">
      <c r="A98" s="886" t="s">
        <v>459</v>
      </c>
      <c r="B98" s="886" t="s">
        <v>178</v>
      </c>
      <c r="C98" s="888">
        <f>'Revenues 9-14'!B88</f>
        <v>1821</v>
      </c>
      <c r="D98" s="889" t="str">
        <f>'Revenues 9-14'!A88</f>
        <v>Sales - Regular Textbooks</v>
      </c>
      <c r="E98" s="884"/>
      <c r="F98" s="1693">
        <f>'Revenues 9-14'!C88</f>
        <v>0</v>
      </c>
      <c r="G98" s="890"/>
    </row>
    <row r="99" spans="1:7" x14ac:dyDescent="0.2">
      <c r="A99" s="886" t="s">
        <v>459</v>
      </c>
      <c r="B99" s="886" t="s">
        <v>179</v>
      </c>
      <c r="C99" s="888">
        <f>'Revenues 9-14'!B91</f>
        <v>1829</v>
      </c>
      <c r="D99" s="889" t="str">
        <f>'Revenues 9-14'!A91</f>
        <v>Sales - Other (Describe &amp; Itemize)</v>
      </c>
      <c r="E99" s="884"/>
      <c r="F99" s="1693">
        <f>'Revenues 9-14'!C91</f>
        <v>0</v>
      </c>
      <c r="G99" s="890"/>
    </row>
    <row r="100" spans="1:7" x14ac:dyDescent="0.2">
      <c r="A100" s="886" t="s">
        <v>459</v>
      </c>
      <c r="B100" s="886" t="s">
        <v>180</v>
      </c>
      <c r="C100" s="888">
        <f>'Revenues 9-14'!B92</f>
        <v>1890</v>
      </c>
      <c r="D100" s="889" t="str">
        <f>'Revenues 9-14'!A92</f>
        <v>Other (Describe &amp; Itemize)</v>
      </c>
      <c r="E100" s="884"/>
      <c r="F100" s="1693">
        <f>'Revenues 9-14'!C92</f>
        <v>0</v>
      </c>
      <c r="G100" s="890"/>
    </row>
    <row r="101" spans="1:7" x14ac:dyDescent="0.2">
      <c r="A101" s="886" t="s">
        <v>140</v>
      </c>
      <c r="B101" s="886" t="s">
        <v>181</v>
      </c>
      <c r="C101" s="888">
        <f>'Revenues 9-14'!B95</f>
        <v>1910</v>
      </c>
      <c r="D101" s="889" t="str">
        <f>'Revenues 9-14'!A95</f>
        <v>Rentals</v>
      </c>
      <c r="E101" s="884"/>
      <c r="F101" s="1693">
        <f>SUM('Revenues 9-14'!C95:D95)</f>
        <v>246375</v>
      </c>
      <c r="G101" s="890"/>
    </row>
    <row r="102" spans="1:7" x14ac:dyDescent="0.2">
      <c r="A102" s="886" t="s">
        <v>503</v>
      </c>
      <c r="B102" s="886" t="s">
        <v>182</v>
      </c>
      <c r="C102" s="888">
        <f>'Revenues 9-14'!B98</f>
        <v>1940</v>
      </c>
      <c r="D102" s="889" t="str">
        <f>'Revenues 9-14'!A98</f>
        <v>Services Provided Other Districts</v>
      </c>
      <c r="E102" s="884"/>
      <c r="F102" s="1693">
        <f>SUM('Revenues 9-14'!C98,'Revenues 9-14'!D98,'Revenues 9-14'!F98)</f>
        <v>0</v>
      </c>
      <c r="G102" s="890"/>
    </row>
    <row r="103" spans="1:7" x14ac:dyDescent="0.2">
      <c r="A103" s="886" t="s">
        <v>1009</v>
      </c>
      <c r="B103" s="886" t="s">
        <v>801</v>
      </c>
      <c r="C103" s="888">
        <f>'Revenues 9-14'!B104</f>
        <v>1991</v>
      </c>
      <c r="D103" s="897" t="str">
        <f>'Revenues 9-14'!A104</f>
        <v>Payment from Other Districts</v>
      </c>
      <c r="E103" s="884"/>
      <c r="F103" s="1693">
        <f>SUM('Revenues 9-14'!C104,'Revenues 9-14'!D104,'Revenues 9-14'!E104,'Revenues 9-14'!F104,'Revenues 9-14'!G104)</f>
        <v>0</v>
      </c>
      <c r="G103" s="890"/>
    </row>
    <row r="104" spans="1:7" x14ac:dyDescent="0.2">
      <c r="A104" s="886" t="s">
        <v>459</v>
      </c>
      <c r="B104" s="886" t="s">
        <v>808</v>
      </c>
      <c r="C104" s="888">
        <f>'Revenues 9-14'!B106</f>
        <v>1993</v>
      </c>
      <c r="D104" s="889" t="str">
        <f>'Revenues 9-14'!A106</f>
        <v>Other Local Fees (Describe &amp; Itemize)</v>
      </c>
      <c r="E104" s="884"/>
      <c r="F104" s="1693">
        <f>('Revenues 9-14'!C106)</f>
        <v>55260</v>
      </c>
      <c r="G104" s="890"/>
    </row>
    <row r="105" spans="1:7" x14ac:dyDescent="0.2">
      <c r="A105" s="886" t="s">
        <v>503</v>
      </c>
      <c r="B105" s="886" t="s">
        <v>1977</v>
      </c>
      <c r="C105" s="891">
        <v>3100</v>
      </c>
      <c r="D105" s="897" t="str">
        <f>'Revenues 9-14'!A132</f>
        <v>Total Special Education</v>
      </c>
      <c r="E105" s="884"/>
      <c r="F105" s="1693">
        <f>SUM('Revenues 9-14'!C132:D132,'Revenues 9-14'!F132)</f>
        <v>0</v>
      </c>
      <c r="G105" s="890"/>
    </row>
    <row r="106" spans="1:7" x14ac:dyDescent="0.2">
      <c r="A106" s="886" t="s">
        <v>673</v>
      </c>
      <c r="B106" s="886" t="s">
        <v>1978</v>
      </c>
      <c r="C106" s="898">
        <v>3200</v>
      </c>
      <c r="D106" s="889" t="str">
        <f>'Revenues 9-14'!A141</f>
        <v>Total Career and Technical Education</v>
      </c>
      <c r="E106" s="884"/>
      <c r="F106" s="1693">
        <f>SUM('Revenues 9-14'!C141,'Revenues 9-14'!D141,'Revenues 9-14'!G141)</f>
        <v>0</v>
      </c>
      <c r="G106" s="890"/>
    </row>
    <row r="107" spans="1:7" x14ac:dyDescent="0.2">
      <c r="A107" s="899" t="s">
        <v>664</v>
      </c>
      <c r="B107" s="886" t="s">
        <v>1979</v>
      </c>
      <c r="C107" s="898">
        <v>3300</v>
      </c>
      <c r="D107" s="889" t="str">
        <f>'Revenues 9-14'!A145</f>
        <v>Total Bilingual Ed</v>
      </c>
      <c r="E107" s="884"/>
      <c r="F107" s="1693">
        <f>SUM('Revenues 9-14'!C145,'Revenues 9-14'!G145)</f>
        <v>0</v>
      </c>
      <c r="G107" s="890"/>
    </row>
    <row r="108" spans="1:7" x14ac:dyDescent="0.2">
      <c r="A108" s="886" t="s">
        <v>459</v>
      </c>
      <c r="B108" s="886" t="s">
        <v>1980</v>
      </c>
      <c r="C108" s="898">
        <f>'Revenues 9-14'!B146</f>
        <v>3360</v>
      </c>
      <c r="D108" s="889" t="str">
        <f>'Revenues 9-14'!A146</f>
        <v>State Free Lunch &amp; Breakfast</v>
      </c>
      <c r="E108" s="884"/>
      <c r="F108" s="1693">
        <f>'Revenues 9-14'!C146</f>
        <v>1163</v>
      </c>
      <c r="G108" s="890"/>
    </row>
    <row r="109" spans="1:7" x14ac:dyDescent="0.2">
      <c r="A109" s="886" t="s">
        <v>673</v>
      </c>
      <c r="B109" s="886" t="s">
        <v>1981</v>
      </c>
      <c r="C109" s="898">
        <f>'Revenues 9-14'!B147</f>
        <v>3365</v>
      </c>
      <c r="D109" s="889" t="str">
        <f>'Revenues 9-14'!A147</f>
        <v>School Breakfast Initiative</v>
      </c>
      <c r="E109" s="884"/>
      <c r="F109" s="1693">
        <f>SUM('Revenues 9-14'!C147,'Revenues 9-14'!D147,'Revenues 9-14'!G147)</f>
        <v>0</v>
      </c>
      <c r="G109" s="890"/>
    </row>
    <row r="110" spans="1:7" x14ac:dyDescent="0.2">
      <c r="A110" s="886" t="s">
        <v>140</v>
      </c>
      <c r="B110" s="886" t="s">
        <v>1982</v>
      </c>
      <c r="C110" s="898">
        <f>'Revenues 9-14'!B148</f>
        <v>3370</v>
      </c>
      <c r="D110" s="889" t="str">
        <f>'Revenues 9-14'!A148</f>
        <v>Driver Education</v>
      </c>
      <c r="E110" s="884"/>
      <c r="F110" s="1693">
        <f>SUM('Revenues 9-14'!C148,'Revenues 9-14'!D148)</f>
        <v>0</v>
      </c>
      <c r="G110" s="890"/>
    </row>
    <row r="111" spans="1:7" x14ac:dyDescent="0.2">
      <c r="A111" s="886" t="s">
        <v>668</v>
      </c>
      <c r="B111" s="886" t="s">
        <v>1983</v>
      </c>
      <c r="C111" s="900">
        <v>3500</v>
      </c>
      <c r="D111" s="889" t="str">
        <f>'Revenues 9-14'!A155</f>
        <v>Total Transportation</v>
      </c>
      <c r="E111" s="884"/>
      <c r="F111" s="1693">
        <f>SUM('Revenues 9-14'!C155,'Revenues 9-14'!D155,'Revenues 9-14'!F155,'Revenues 9-14'!G155)</f>
        <v>219178</v>
      </c>
      <c r="G111" s="890"/>
    </row>
    <row r="112" spans="1:7" x14ac:dyDescent="0.2">
      <c r="A112" s="886" t="s">
        <v>459</v>
      </c>
      <c r="B112" s="886" t="s">
        <v>1984</v>
      </c>
      <c r="C112" s="898">
        <f>'Revenues 9-14'!B156</f>
        <v>3610</v>
      </c>
      <c r="D112" s="889" t="str">
        <f>'Revenues 9-14'!A156</f>
        <v>Learning Improvement - Change Grants</v>
      </c>
      <c r="E112" s="884"/>
      <c r="F112" s="1693">
        <f>'Revenues 9-14'!C156</f>
        <v>0</v>
      </c>
      <c r="G112" s="890"/>
    </row>
    <row r="113" spans="1:7" x14ac:dyDescent="0.2">
      <c r="A113" s="886" t="s">
        <v>668</v>
      </c>
      <c r="B113" s="886" t="s">
        <v>1985</v>
      </c>
      <c r="C113" s="898">
        <f>'Revenues 9-14'!B157</f>
        <v>3660</v>
      </c>
      <c r="D113" s="889" t="str">
        <f>'Revenues 9-14'!A157</f>
        <v>Scientific Literacy</v>
      </c>
      <c r="E113" s="884"/>
      <c r="F113" s="1693">
        <f>SUM('Revenues 9-14'!C157,'Revenues 9-14'!D157,'Revenues 9-14'!F157,'Revenues 9-14'!G157)</f>
        <v>0</v>
      </c>
      <c r="G113" s="890"/>
    </row>
    <row r="114" spans="1:7" x14ac:dyDescent="0.2">
      <c r="A114" s="886" t="s">
        <v>5</v>
      </c>
      <c r="B114" s="886" t="s">
        <v>1986</v>
      </c>
      <c r="C114" s="898">
        <f>'Revenues 9-14'!B158</f>
        <v>3695</v>
      </c>
      <c r="D114" s="889" t="str">
        <f>'Revenues 9-14'!A158</f>
        <v>Truant Alternative/Optional Education</v>
      </c>
      <c r="E114" s="884"/>
      <c r="F114" s="1693">
        <f>SUM('Revenues 9-14'!C158,'Revenues 9-14'!F158,'Revenues 9-14'!G158)</f>
        <v>0</v>
      </c>
      <c r="G114" s="890"/>
    </row>
    <row r="115" spans="1:7" x14ac:dyDescent="0.2">
      <c r="A115" s="886" t="s">
        <v>668</v>
      </c>
      <c r="B115" s="886" t="s">
        <v>1987</v>
      </c>
      <c r="C115" s="898">
        <f>'Revenues 9-14'!B160</f>
        <v>3766</v>
      </c>
      <c r="D115" s="889" t="str">
        <f>'Revenues 9-14'!A160</f>
        <v>Chicago General Education Block Grant</v>
      </c>
      <c r="E115" s="884"/>
      <c r="F115" s="1693">
        <f>SUM('Revenues 9-14'!C160,'Revenues 9-14'!D160,'Revenues 9-14'!F160,'Revenues 9-14'!G160)</f>
        <v>0</v>
      </c>
      <c r="G115" s="890"/>
    </row>
    <row r="116" spans="1:7" x14ac:dyDescent="0.2">
      <c r="A116" s="886" t="s">
        <v>668</v>
      </c>
      <c r="B116" s="886" t="s">
        <v>1988</v>
      </c>
      <c r="C116" s="898">
        <f>'Revenues 9-14'!B161</f>
        <v>3767</v>
      </c>
      <c r="D116" s="889" t="str">
        <f>'Revenues 9-14'!A161</f>
        <v>Chicago Educational Services Block Grant</v>
      </c>
      <c r="E116" s="884"/>
      <c r="F116" s="1693">
        <f>SUM('Revenues 9-14'!C161,'Revenues 9-14'!D161,'Revenues 9-14'!F161,'Revenues 9-14'!G161)</f>
        <v>0</v>
      </c>
      <c r="G116" s="890"/>
    </row>
    <row r="117" spans="1:7" x14ac:dyDescent="0.2">
      <c r="A117" s="901" t="s">
        <v>1009</v>
      </c>
      <c r="B117" s="901" t="s">
        <v>1989</v>
      </c>
      <c r="C117" s="902">
        <f>'Revenues 9-14'!B162</f>
        <v>3775</v>
      </c>
      <c r="D117" s="903" t="str">
        <f>'Revenues 9-14'!A162</f>
        <v>School Safety &amp; Educational Improvement Block Grant</v>
      </c>
      <c r="E117" s="884"/>
      <c r="F117" s="1809">
        <f>SUM('Revenues 9-14'!C162,'Revenues 9-14'!D162,'Revenues 9-14'!E162,'Revenues 9-14'!F162,'Revenues 9-14'!G162)</f>
        <v>0</v>
      </c>
      <c r="G117" s="890"/>
    </row>
    <row r="118" spans="1:7" x14ac:dyDescent="0.2">
      <c r="A118" s="901" t="s">
        <v>1009</v>
      </c>
      <c r="B118" s="901" t="s">
        <v>1990</v>
      </c>
      <c r="C118" s="902">
        <f>'Revenues 9-14'!B163</f>
        <v>3780</v>
      </c>
      <c r="D118" s="903" t="str">
        <f>'Revenues 9-14'!A163</f>
        <v>Technology - Technology for Success</v>
      </c>
      <c r="E118" s="884"/>
      <c r="F118" s="1809">
        <f>SUM('Revenues 9-14'!C163:G163)</f>
        <v>0</v>
      </c>
      <c r="G118" s="890"/>
    </row>
    <row r="119" spans="1:7" x14ac:dyDescent="0.2">
      <c r="A119" s="901" t="s">
        <v>504</v>
      </c>
      <c r="B119" s="901" t="s">
        <v>1991</v>
      </c>
      <c r="C119" s="902">
        <f>'Revenues 9-14'!B164</f>
        <v>3815</v>
      </c>
      <c r="D119" s="903" t="str">
        <f>'Revenues 9-14'!A164</f>
        <v>State Charter Schools</v>
      </c>
      <c r="E119" s="884"/>
      <c r="F119" s="1809">
        <f>SUM('Revenues 9-14'!C164,'Revenues 9-14'!F164)</f>
        <v>0</v>
      </c>
      <c r="G119" s="890"/>
    </row>
    <row r="120" spans="1:7" x14ac:dyDescent="0.2">
      <c r="A120" s="905" t="s">
        <v>460</v>
      </c>
      <c r="B120" s="905" t="s">
        <v>1992</v>
      </c>
      <c r="C120" s="906">
        <f>'Revenues 9-14'!B167</f>
        <v>3925</v>
      </c>
      <c r="D120" s="907" t="str">
        <f>'Revenues 9-14'!A167</f>
        <v>School Infrastructure - Maintenance Projects</v>
      </c>
      <c r="E120" s="884"/>
      <c r="F120" s="1693">
        <f>'Revenues 9-14'!D167</f>
        <v>0</v>
      </c>
      <c r="G120" s="908"/>
    </row>
    <row r="121" spans="1:7" x14ac:dyDescent="0.2">
      <c r="A121" s="905" t="s">
        <v>500</v>
      </c>
      <c r="B121" s="905" t="s">
        <v>1993</v>
      </c>
      <c r="C121" s="906">
        <f>'Revenues 9-14'!B168</f>
        <v>3999</v>
      </c>
      <c r="D121" s="907" t="s">
        <v>543</v>
      </c>
      <c r="E121" s="909"/>
      <c r="F121" s="1693">
        <f>SUM('Revenues 9-14'!C168:G168,'Revenues 9-14'!J168)</f>
        <v>750</v>
      </c>
      <c r="G121" s="908"/>
    </row>
    <row r="122" spans="1:7" x14ac:dyDescent="0.2">
      <c r="A122" s="905" t="s">
        <v>459</v>
      </c>
      <c r="B122" s="905" t="s">
        <v>1994</v>
      </c>
      <c r="C122" s="910">
        <f>'Revenues 9-14'!B177</f>
        <v>4045</v>
      </c>
      <c r="D122" s="907" t="str">
        <f>'Revenues 9-14'!A177 &amp; " (Subtract)"</f>
        <v>Head Start (Subtract)</v>
      </c>
      <c r="E122" s="884"/>
      <c r="F122" s="1693">
        <f>SUM(-'Revenues 9-14'!C177)</f>
        <v>0</v>
      </c>
      <c r="G122" s="908"/>
    </row>
    <row r="123" spans="1:7" x14ac:dyDescent="0.2">
      <c r="A123" s="905" t="s">
        <v>668</v>
      </c>
      <c r="B123" s="905" t="s">
        <v>1995</v>
      </c>
      <c r="C123" s="910" t="s">
        <v>982</v>
      </c>
      <c r="D123" s="907" t="str">
        <f>('Revenues 9-14'!A181)</f>
        <v>Total Restricted Grants-In-Aid Received Directly from Federal Govt</v>
      </c>
      <c r="E123" s="884"/>
      <c r="F123" s="1693">
        <f>SUM('Revenues 9-14'!C181,'Revenues 9-14'!D181,'Revenues 9-14'!F181,'Revenues 9-14'!G181)</f>
        <v>0</v>
      </c>
      <c r="G123" s="908"/>
    </row>
    <row r="124" spans="1:7" x14ac:dyDescent="0.2">
      <c r="A124" s="905" t="s">
        <v>668</v>
      </c>
      <c r="B124" s="905" t="s">
        <v>1996</v>
      </c>
      <c r="C124" s="910">
        <v>4100</v>
      </c>
      <c r="D124" s="911" t="str">
        <f>'Revenues 9-14'!A188</f>
        <v>Total Title V</v>
      </c>
      <c r="E124" s="884"/>
      <c r="F124" s="1693">
        <f>SUM('Revenues 9-14'!C188,'Revenues 9-14'!D188,'Revenues 9-14'!F188,'Revenues 9-14'!G188)</f>
        <v>0</v>
      </c>
      <c r="G124" s="908"/>
    </row>
    <row r="125" spans="1:7" x14ac:dyDescent="0.2">
      <c r="A125" s="905" t="s">
        <v>664</v>
      </c>
      <c r="B125" s="905" t="s">
        <v>1997</v>
      </c>
      <c r="C125" s="910">
        <v>4200</v>
      </c>
      <c r="D125" s="907" t="str">
        <f>'Revenues 9-14'!A198</f>
        <v>Total Food Service</v>
      </c>
      <c r="E125" s="884"/>
      <c r="F125" s="1693">
        <f>SUM('Revenues 9-14'!C198,'Revenues 9-14'!G198)</f>
        <v>70887</v>
      </c>
      <c r="G125" s="908"/>
    </row>
    <row r="126" spans="1:7" x14ac:dyDescent="0.2">
      <c r="A126" s="905" t="s">
        <v>668</v>
      </c>
      <c r="B126" s="905" t="s">
        <v>1998</v>
      </c>
      <c r="C126" s="910">
        <v>4300</v>
      </c>
      <c r="D126" s="911" t="str">
        <f>'Revenues 9-14'!A204</f>
        <v>Total Title I</v>
      </c>
      <c r="E126" s="884"/>
      <c r="F126" s="1693">
        <f>SUM('Revenues 9-14'!C204,'Revenues 9-14'!D204,'Revenues 9-14'!F204,'Revenues 9-14'!G204)</f>
        <v>59758</v>
      </c>
      <c r="G126" s="908"/>
    </row>
    <row r="127" spans="1:7" x14ac:dyDescent="0.2">
      <c r="A127" s="905" t="s">
        <v>668</v>
      </c>
      <c r="B127" s="905" t="s">
        <v>1999</v>
      </c>
      <c r="C127" s="910">
        <v>4400</v>
      </c>
      <c r="D127" s="911" t="str">
        <f>'Revenues 9-14'!A209</f>
        <v>Total Title IV</v>
      </c>
      <c r="E127" s="884"/>
      <c r="F127" s="1693">
        <f>SUM('Revenues 9-14'!C209,'Revenues 9-14'!D209,'Revenues 9-14'!F209,'Revenues 9-14'!G209)</f>
        <v>0</v>
      </c>
      <c r="G127" s="908"/>
    </row>
    <row r="128" spans="1:7" x14ac:dyDescent="0.2">
      <c r="A128" s="905" t="s">
        <v>668</v>
      </c>
      <c r="B128" s="905" t="s">
        <v>2000</v>
      </c>
      <c r="C128" s="910">
        <f>'Revenues 9-14'!B213</f>
        <v>4620</v>
      </c>
      <c r="D128" s="911" t="str">
        <f>'Revenues 9-14'!A213</f>
        <v>Fed - Spec Education - IDEA - Flow Through</v>
      </c>
      <c r="E128" s="884"/>
      <c r="F128" s="1693">
        <f>SUM('Revenues 9-14'!C213:D213,'Revenues 9-14'!F213:G213)</f>
        <v>202046</v>
      </c>
      <c r="G128" s="908"/>
    </row>
    <row r="129" spans="1:7" x14ac:dyDescent="0.2">
      <c r="A129" s="905" t="s">
        <v>668</v>
      </c>
      <c r="B129" s="905" t="s">
        <v>2001</v>
      </c>
      <c r="C129" s="910">
        <f>'Revenues 9-14'!B214</f>
        <v>4625</v>
      </c>
      <c r="D129" s="911" t="str">
        <f>'Revenues 9-14'!A214</f>
        <v>Fed - Spec Education - IDEA - Room &amp; Board</v>
      </c>
      <c r="E129" s="884"/>
      <c r="F129" s="1693">
        <f>SUM('Revenues 9-14'!C214,'Revenues 9-14'!D214,'Revenues 9-14'!F214,'Revenues 9-14'!G214)</f>
        <v>0</v>
      </c>
      <c r="G129" s="908"/>
    </row>
    <row r="130" spans="1:7" x14ac:dyDescent="0.2">
      <c r="A130" s="905" t="s">
        <v>668</v>
      </c>
      <c r="B130" s="905" t="s">
        <v>2002</v>
      </c>
      <c r="C130" s="910">
        <f>'Revenues 9-14'!B215</f>
        <v>4630</v>
      </c>
      <c r="D130" s="911" t="str">
        <f>'Revenues 9-14'!A215</f>
        <v>Fed - Spec Education - IDEA - Discretionary</v>
      </c>
      <c r="E130" s="884"/>
      <c r="F130" s="1693">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3">
        <f>SUM('Revenues 9-14'!C216:D216,'Revenues 9-14'!F216:G216)</f>
        <v>0</v>
      </c>
      <c r="G131" s="908"/>
    </row>
    <row r="132" spans="1:7" x14ac:dyDescent="0.2">
      <c r="A132" s="905" t="s">
        <v>673</v>
      </c>
      <c r="B132" s="905" t="s">
        <v>2003</v>
      </c>
      <c r="C132" s="910">
        <v>4700</v>
      </c>
      <c r="D132" s="907" t="str">
        <f>'Revenues 9-14'!A221</f>
        <v>Total CTE - Perkins</v>
      </c>
      <c r="E132" s="884"/>
      <c r="F132" s="1693">
        <f>SUM('Revenues 9-14'!C221,'Revenues 9-14'!D221,'Revenues 9-14'!G221)</f>
        <v>0</v>
      </c>
      <c r="G132" s="908">
        <v>6303</v>
      </c>
    </row>
    <row r="133" spans="1:7" s="845" customFormat="1" hidden="1" x14ac:dyDescent="0.2">
      <c r="A133" s="912" t="s">
        <v>206</v>
      </c>
      <c r="B133" s="912" t="s">
        <v>2004</v>
      </c>
      <c r="C133" s="913" t="s">
        <v>207</v>
      </c>
      <c r="D133" s="914" t="str">
        <f>'Revenues 9-14'!A224</f>
        <v>ARRA - Title I - Low Income</v>
      </c>
      <c r="E133" s="915"/>
      <c r="F133" s="1809">
        <f>SUM('Revenues 9-14'!$C$224:$D$224,'Revenues 9-14'!$F$224:$G$224)</f>
        <v>0</v>
      </c>
      <c r="G133" s="883"/>
    </row>
    <row r="134" spans="1:7" s="845" customFormat="1" hidden="1" x14ac:dyDescent="0.2">
      <c r="A134" s="912" t="s">
        <v>206</v>
      </c>
      <c r="B134" s="912" t="s">
        <v>2005</v>
      </c>
      <c r="C134" s="913" t="s">
        <v>208</v>
      </c>
      <c r="D134" s="914" t="str">
        <f>'Revenues 9-14'!A225</f>
        <v>ARRA - Title I - Neglected, Private</v>
      </c>
      <c r="E134" s="915"/>
      <c r="F134" s="1693">
        <f>SUM('Revenues 9-14'!C225:G225,'Revenues 9-14'!J225)</f>
        <v>0</v>
      </c>
      <c r="G134" s="883"/>
    </row>
    <row r="135" spans="1:7" s="845" customFormat="1" hidden="1" x14ac:dyDescent="0.2">
      <c r="A135" s="912" t="s">
        <v>206</v>
      </c>
      <c r="B135" s="912" t="s">
        <v>2006</v>
      </c>
      <c r="C135" s="913" t="s">
        <v>209</v>
      </c>
      <c r="D135" s="914" t="str">
        <f>'Revenues 9-14'!A226</f>
        <v>ARRA - Title I - Delinquent, Private</v>
      </c>
      <c r="E135" s="915"/>
      <c r="F135" s="1693">
        <f>SUM('Revenues 9-14'!C226:G226,'Revenues 9-14'!J226)</f>
        <v>0</v>
      </c>
      <c r="G135" s="883"/>
    </row>
    <row r="136" spans="1:7" s="845" customFormat="1" hidden="1" x14ac:dyDescent="0.2">
      <c r="A136" s="912" t="s">
        <v>206</v>
      </c>
      <c r="B136" s="912" t="s">
        <v>2007</v>
      </c>
      <c r="C136" s="913" t="s">
        <v>210</v>
      </c>
      <c r="D136" s="914" t="str">
        <f>'Revenues 9-14'!A227</f>
        <v>ARRA - Title I - School Improvement (Part A)</v>
      </c>
      <c r="E136" s="915"/>
      <c r="F136" s="1693">
        <f>SUM('Revenues 9-14'!C227:G227,'Revenues 9-14'!J227)</f>
        <v>0</v>
      </c>
      <c r="G136" s="883"/>
    </row>
    <row r="137" spans="1:7" s="845" customFormat="1" hidden="1" x14ac:dyDescent="0.2">
      <c r="A137" s="912" t="s">
        <v>206</v>
      </c>
      <c r="B137" s="912" t="s">
        <v>2008</v>
      </c>
      <c r="C137" s="913" t="s">
        <v>211</v>
      </c>
      <c r="D137" s="914" t="str">
        <f>'Revenues 9-14'!A228</f>
        <v>ARRA - Title I - School Improvement (Section 1003g)</v>
      </c>
      <c r="E137" s="915"/>
      <c r="F137" s="1693">
        <f>SUM('Revenues 9-14'!C228:G228,'Revenues 9-14'!J228)</f>
        <v>0</v>
      </c>
      <c r="G137" s="883"/>
    </row>
    <row r="138" spans="1:7" s="845" customFormat="1" hidden="1" x14ac:dyDescent="0.2">
      <c r="A138" s="912" t="s">
        <v>206</v>
      </c>
      <c r="B138" s="912" t="s">
        <v>2009</v>
      </c>
      <c r="C138" s="913" t="s">
        <v>212</v>
      </c>
      <c r="D138" s="914" t="str">
        <f>'Revenues 9-14'!A229</f>
        <v>ARRA - IDEA - Part B - Preschool</v>
      </c>
      <c r="E138" s="915"/>
      <c r="F138" s="1693">
        <v>0</v>
      </c>
      <c r="G138" s="883"/>
    </row>
    <row r="139" spans="1:7" s="845" customFormat="1" hidden="1" x14ac:dyDescent="0.2">
      <c r="A139" s="912" t="s">
        <v>206</v>
      </c>
      <c r="B139" s="912" t="s">
        <v>2010</v>
      </c>
      <c r="C139" s="913" t="s">
        <v>213</v>
      </c>
      <c r="D139" s="914" t="str">
        <f>'Revenues 9-14'!A230</f>
        <v>ARRA - IDEA - Part B - Flow-Through</v>
      </c>
      <c r="E139" s="915"/>
      <c r="F139" s="1693">
        <f>SUM('Revenues 9-14'!C230:G230,'Revenues 9-14'!J230)</f>
        <v>0</v>
      </c>
      <c r="G139" s="883"/>
    </row>
    <row r="140" spans="1:7" s="845" customFormat="1" hidden="1" x14ac:dyDescent="0.2">
      <c r="A140" s="912" t="s">
        <v>206</v>
      </c>
      <c r="B140" s="912" t="s">
        <v>2011</v>
      </c>
      <c r="C140" s="913" t="s">
        <v>214</v>
      </c>
      <c r="D140" s="914" t="str">
        <f>'Revenues 9-14'!A231</f>
        <v>ARRA - Title IID - Technology-Formula</v>
      </c>
      <c r="E140" s="915"/>
      <c r="F140" s="1693">
        <f>SUM('Revenues 9-14'!C231:G231,'Revenues 9-14'!J231)</f>
        <v>0</v>
      </c>
      <c r="G140" s="883"/>
    </row>
    <row r="141" spans="1:7" s="845" customFormat="1" hidden="1" x14ac:dyDescent="0.2">
      <c r="A141" s="912" t="s">
        <v>206</v>
      </c>
      <c r="B141" s="912" t="s">
        <v>2012</v>
      </c>
      <c r="C141" s="913" t="s">
        <v>216</v>
      </c>
      <c r="D141" s="914" t="str">
        <f>'Revenues 9-14'!A232</f>
        <v>ARRA - Title IID - Technology-Competitive</v>
      </c>
      <c r="E141" s="915"/>
      <c r="F141" s="1693">
        <f>SUM('Revenues 9-14'!C232:G232,'Revenues 9-14'!J232)</f>
        <v>0</v>
      </c>
      <c r="G141" s="883"/>
    </row>
    <row r="142" spans="1:7" s="845" customFormat="1" hidden="1" x14ac:dyDescent="0.2">
      <c r="A142" s="912" t="s">
        <v>668</v>
      </c>
      <c r="B142" s="912" t="s">
        <v>2013</v>
      </c>
      <c r="C142" s="913" t="s">
        <v>217</v>
      </c>
      <c r="D142" s="914" t="str">
        <f>'Revenues 9-14'!A233</f>
        <v>ARRA - McKinney - Vento Homeless Education</v>
      </c>
      <c r="E142" s="915"/>
      <c r="F142" s="1693">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3">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3">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3">
        <f>SUM('Revenues 9-14'!C239:G239,'Revenues 9-14'!J239)</f>
        <v>0</v>
      </c>
      <c r="G145" s="883"/>
    </row>
    <row r="146" spans="1:7" s="845" customFormat="1" hidden="1" x14ac:dyDescent="0.2">
      <c r="A146" s="912" t="s">
        <v>206</v>
      </c>
      <c r="B146" s="912" t="s">
        <v>2014</v>
      </c>
      <c r="C146" s="913" t="s">
        <v>223</v>
      </c>
      <c r="D146" s="914" t="str">
        <f>'Revenues 9-14'!A240</f>
        <v>Build America Bond Interest Reimbursement</v>
      </c>
      <c r="E146" s="915"/>
      <c r="F146" s="1693">
        <f>SUM('Revenues 9-14'!C240:G240,'Revenues 9-14'!J240)</f>
        <v>0</v>
      </c>
      <c r="G146" s="883"/>
    </row>
    <row r="147" spans="1:7" s="845" customFormat="1" hidden="1" x14ac:dyDescent="0.2">
      <c r="A147" s="912" t="s">
        <v>206</v>
      </c>
      <c r="B147" s="912" t="s">
        <v>2015</v>
      </c>
      <c r="C147" s="913" t="s">
        <v>225</v>
      </c>
      <c r="D147" s="914" t="str">
        <f>'Revenues 9-14'!A242</f>
        <v>Other ARRA Funds - II</v>
      </c>
      <c r="E147" s="915"/>
      <c r="F147" s="1693">
        <f>SUM('Revenues 9-14'!C242:G242,'Revenues 9-14'!J242)</f>
        <v>0</v>
      </c>
      <c r="G147" s="883"/>
    </row>
    <row r="148" spans="1:7" s="845" customFormat="1" hidden="1" x14ac:dyDescent="0.2">
      <c r="A148" s="912" t="s">
        <v>206</v>
      </c>
      <c r="B148" s="912" t="s">
        <v>2016</v>
      </c>
      <c r="C148" s="913" t="s">
        <v>226</v>
      </c>
      <c r="D148" s="914" t="str">
        <f>'Revenues 9-14'!A243</f>
        <v>Other ARRA Funds - III</v>
      </c>
      <c r="E148" s="915"/>
      <c r="F148" s="1693">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3">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3">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3">
        <v>0</v>
      </c>
      <c r="G151" s="883"/>
    </row>
    <row r="152" spans="1:7" s="845" customFormat="1" hidden="1" x14ac:dyDescent="0.2">
      <c r="A152" s="912" t="s">
        <v>206</v>
      </c>
      <c r="B152" s="912" t="s">
        <v>1415</v>
      </c>
      <c r="C152" s="913" t="s">
        <v>233</v>
      </c>
      <c r="D152" s="914" t="str">
        <f>'Revenues 9-14'!A247</f>
        <v>Other ARRA Funds VII</v>
      </c>
      <c r="E152" s="915"/>
      <c r="F152" s="1693">
        <f>SUM('Revenues 9-14'!C247:G247,'Revenues 9-14'!J247)</f>
        <v>0</v>
      </c>
      <c r="G152" s="883"/>
    </row>
    <row r="153" spans="1:7" s="845" customFormat="1" hidden="1" x14ac:dyDescent="0.2">
      <c r="A153" s="912" t="s">
        <v>206</v>
      </c>
      <c r="B153" s="912" t="s">
        <v>2017</v>
      </c>
      <c r="C153" s="913" t="s">
        <v>234</v>
      </c>
      <c r="D153" s="914" t="str">
        <f>'Revenues 9-14'!A248</f>
        <v>Other ARRA Funds VIII</v>
      </c>
      <c r="E153" s="915"/>
      <c r="F153" s="1693">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3">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3">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3">
        <f>SUM('Revenues 9-14'!C251:G251,'Revenues 9-14'!J251)</f>
        <v>0</v>
      </c>
      <c r="G156" s="883"/>
    </row>
    <row r="157" spans="1:7" s="845" customFormat="1" x14ac:dyDescent="0.2">
      <c r="A157" s="916" t="s">
        <v>500</v>
      </c>
      <c r="B157" s="917" t="s">
        <v>2018</v>
      </c>
      <c r="C157" s="918" t="s">
        <v>841</v>
      </c>
      <c r="D157" s="919" t="s">
        <v>777</v>
      </c>
      <c r="E157" s="920"/>
      <c r="F157" s="1693">
        <f>SUM(F133:F156)</f>
        <v>0</v>
      </c>
      <c r="G157" s="883"/>
    </row>
    <row r="158" spans="1:7" s="845" customFormat="1" x14ac:dyDescent="0.2">
      <c r="A158" s="916" t="s">
        <v>459</v>
      </c>
      <c r="B158" s="917" t="s">
        <v>2019</v>
      </c>
      <c r="C158" s="918" t="s">
        <v>1425</v>
      </c>
      <c r="D158" s="919" t="s">
        <v>1426</v>
      </c>
      <c r="E158" s="920"/>
      <c r="F158" s="1693">
        <f>SUM('Revenues 9-14'!C253)</f>
        <v>0</v>
      </c>
      <c r="G158" s="883"/>
    </row>
    <row r="159" spans="1:7" s="845" customFormat="1" x14ac:dyDescent="0.2">
      <c r="A159" s="916" t="s">
        <v>500</v>
      </c>
      <c r="B159" s="917" t="s">
        <v>2020</v>
      </c>
      <c r="C159" s="918" t="s">
        <v>1464</v>
      </c>
      <c r="D159" s="919" t="s">
        <v>1465</v>
      </c>
      <c r="E159" s="920"/>
      <c r="F159" s="1693">
        <f>SUM('Revenues 9-14'!C254:H254,'Revenues 9-14'!J254:K254)</f>
        <v>0</v>
      </c>
      <c r="G159" s="883"/>
    </row>
    <row r="160" spans="1:7" x14ac:dyDescent="0.2">
      <c r="A160" s="905" t="s">
        <v>5</v>
      </c>
      <c r="B160" s="905" t="s">
        <v>2021</v>
      </c>
      <c r="C160" s="910">
        <f>'Revenues 9-14'!B255</f>
        <v>4905</v>
      </c>
      <c r="D160" s="907" t="str">
        <f>'Revenues 9-14'!A255</f>
        <v>Title III - Immigrant Education Program (IEP)</v>
      </c>
      <c r="E160" s="884"/>
      <c r="F160" s="1693">
        <f>SUM('Revenues 9-14'!C255,'Revenues 9-14'!F255,'Revenues 9-14'!G255)</f>
        <v>0</v>
      </c>
      <c r="G160" s="921">
        <v>6306</v>
      </c>
    </row>
    <row r="161" spans="1:7" x14ac:dyDescent="0.2">
      <c r="A161" s="905" t="s">
        <v>5</v>
      </c>
      <c r="B161" s="905" t="s">
        <v>2022</v>
      </c>
      <c r="C161" s="910">
        <f>'Revenues 9-14'!B256</f>
        <v>4909</v>
      </c>
      <c r="D161" s="907" t="str">
        <f>'Revenues 9-14'!A256</f>
        <v>Title III - Language Inst Program - Limited Eng (LIPLEP)</v>
      </c>
      <c r="E161" s="884"/>
      <c r="F161" s="1693">
        <f>SUM('Revenues 9-14'!C256,'Revenues 9-14'!F256,'Revenues 9-14'!G256)</f>
        <v>0</v>
      </c>
      <c r="G161" s="921"/>
    </row>
    <row r="162" spans="1:7" x14ac:dyDescent="0.2">
      <c r="A162" s="905" t="s">
        <v>668</v>
      </c>
      <c r="B162" s="905" t="s">
        <v>2023</v>
      </c>
      <c r="C162" s="910">
        <f>'Revenues 9-14'!B257</f>
        <v>4920</v>
      </c>
      <c r="D162" s="907" t="str">
        <f>'Revenues 9-14'!A257</f>
        <v>McKinney Education for Homeless Children</v>
      </c>
      <c r="E162" s="884"/>
      <c r="F162" s="1693">
        <f>SUM('Revenues 9-14'!C257,'Revenues 9-14'!D257,'Revenues 9-14'!F257,'Revenues 9-14'!G257)</f>
        <v>0</v>
      </c>
      <c r="G162" s="908"/>
    </row>
    <row r="163" spans="1:7" x14ac:dyDescent="0.2">
      <c r="A163" s="922" t="s">
        <v>668</v>
      </c>
      <c r="B163" s="922" t="s">
        <v>2024</v>
      </c>
      <c r="C163" s="923">
        <f>'Revenues 9-14'!B258</f>
        <v>4930</v>
      </c>
      <c r="D163" s="924" t="str">
        <f>'Revenues 9-14'!A258</f>
        <v>Title II - Eisenhower Professional Development Formula</v>
      </c>
      <c r="E163" s="904"/>
      <c r="F163" s="1809">
        <f>SUM('Revenues 9-14'!C258:D258,'Revenues 9-14'!F258,'Revenues 9-14'!G258)</f>
        <v>0</v>
      </c>
      <c r="G163" s="908"/>
    </row>
    <row r="164" spans="1:7" x14ac:dyDescent="0.2">
      <c r="A164" s="905" t="s">
        <v>668</v>
      </c>
      <c r="B164" s="905" t="s">
        <v>2025</v>
      </c>
      <c r="C164" s="910">
        <f>'Revenues 9-14'!B259</f>
        <v>4932</v>
      </c>
      <c r="D164" s="911" t="str">
        <f>'Revenues 9-14'!A259</f>
        <v>Title II - Teacher Quality</v>
      </c>
      <c r="E164" s="884"/>
      <c r="F164" s="1809">
        <f>SUM('Revenues 9-14'!C259,'Revenues 9-14'!D259,'Revenues 9-14'!F259,'Revenues 9-14'!G259)</f>
        <v>11710</v>
      </c>
      <c r="G164" s="908"/>
    </row>
    <row r="165" spans="1:7" x14ac:dyDescent="0.2">
      <c r="A165" s="905" t="s">
        <v>668</v>
      </c>
      <c r="B165" s="905" t="s">
        <v>2026</v>
      </c>
      <c r="C165" s="910">
        <f>'Revenues 9-14'!B260</f>
        <v>4960</v>
      </c>
      <c r="D165" s="907" t="str">
        <f>'Revenues 9-14'!A260</f>
        <v>Federal Charter Schools</v>
      </c>
      <c r="E165" s="884"/>
      <c r="F165" s="1693">
        <f>SUM('Revenues 9-14'!C260:D260,'Revenues 9-14'!F260:G260)</f>
        <v>0</v>
      </c>
      <c r="G165" s="908"/>
    </row>
    <row r="166" spans="1:7" x14ac:dyDescent="0.2">
      <c r="A166" s="905" t="s">
        <v>668</v>
      </c>
      <c r="B166" s="905" t="s">
        <v>1971</v>
      </c>
      <c r="C166" s="910">
        <f>'Revenues 9-14'!B261</f>
        <v>4981</v>
      </c>
      <c r="D166" s="907" t="str">
        <f>'Revenues 9-14'!A261</f>
        <v>State Assessment Grants</v>
      </c>
      <c r="E166" s="884"/>
      <c r="F166" s="1693">
        <f>SUM('Revenues 9-14'!C261:D261,'Revenues 9-14'!F261:G261)</f>
        <v>0</v>
      </c>
      <c r="G166" s="908"/>
    </row>
    <row r="167" spans="1:7" x14ac:dyDescent="0.2">
      <c r="A167" s="905" t="s">
        <v>668</v>
      </c>
      <c r="B167" s="905" t="s">
        <v>1972</v>
      </c>
      <c r="C167" s="910">
        <f>'Revenues 9-14'!B262</f>
        <v>4982</v>
      </c>
      <c r="D167" s="907" t="str">
        <f>'Revenues 9-14'!A262</f>
        <v>Grant for State Assessments and Related Activities</v>
      </c>
      <c r="E167" s="884"/>
      <c r="F167" s="1693">
        <f>SUM('Revenues 9-14'!C262:D262,'Revenues 9-14'!F262:G262)</f>
        <v>0</v>
      </c>
      <c r="G167" s="908"/>
    </row>
    <row r="168" spans="1:7" x14ac:dyDescent="0.2">
      <c r="A168" s="905" t="s">
        <v>668</v>
      </c>
      <c r="B168" s="905" t="s">
        <v>2027</v>
      </c>
      <c r="C168" s="910">
        <f>'Revenues 9-14'!B263</f>
        <v>4991</v>
      </c>
      <c r="D168" s="911" t="str">
        <f>'Revenues 9-14'!A263</f>
        <v>Medicaid Matching Funds - Administrative Outreach</v>
      </c>
      <c r="E168" s="884"/>
      <c r="F168" s="1693">
        <f>SUM('Revenues 9-14'!C263:D263,'Revenues 9-14'!F263:G263)</f>
        <v>15296</v>
      </c>
      <c r="G168" s="925">
        <v>6320</v>
      </c>
    </row>
    <row r="169" spans="1:7" x14ac:dyDescent="0.2">
      <c r="A169" s="905" t="s">
        <v>668</v>
      </c>
      <c r="B169" s="905" t="s">
        <v>2028</v>
      </c>
      <c r="C169" s="910">
        <f>'Revenues 9-14'!B264</f>
        <v>4992</v>
      </c>
      <c r="D169" s="911" t="str">
        <f>'Revenues 9-14'!A264</f>
        <v>Medicaid Matching Funds - Fee-for-Service Program</v>
      </c>
      <c r="E169" s="884"/>
      <c r="F169" s="1693">
        <f>SUM('Revenues 9-14'!C264:D264,'Revenues 9-14'!F264:G264)</f>
        <v>35526</v>
      </c>
      <c r="G169" s="925"/>
    </row>
    <row r="170" spans="1:7" x14ac:dyDescent="0.2">
      <c r="A170" s="926" t="s">
        <v>668</v>
      </c>
      <c r="B170" s="922" t="s">
        <v>2029</v>
      </c>
      <c r="C170" s="923">
        <f>'Revenues 9-14'!B265</f>
        <v>4999</v>
      </c>
      <c r="D170" s="924" t="str">
        <f>'Revenues 9-14'!A265</f>
        <v>Other Restricted Revenue from Federal Sources (Describe &amp; Itemize)</v>
      </c>
      <c r="E170" s="884"/>
      <c r="F170" s="1693">
        <f>SUM('Revenues 9-14'!C265:D265,'Revenues 9-14'!F265:G265)</f>
        <v>0</v>
      </c>
      <c r="G170" s="905"/>
    </row>
    <row r="171" spans="1:7" x14ac:dyDescent="0.2">
      <c r="A171" s="1820" t="s">
        <v>5</v>
      </c>
      <c r="B171" s="1821" t="s">
        <v>1894</v>
      </c>
      <c r="C171" s="1822">
        <v>3100</v>
      </c>
      <c r="D171" s="1823" t="s">
        <v>1896</v>
      </c>
      <c r="E171" s="884"/>
      <c r="F171" s="1808">
        <v>141643</v>
      </c>
      <c r="G171" s="905"/>
    </row>
    <row r="172" spans="1:7" x14ac:dyDescent="0.2">
      <c r="A172" s="1820" t="s">
        <v>664</v>
      </c>
      <c r="B172" s="1821" t="s">
        <v>1894</v>
      </c>
      <c r="C172" s="1822">
        <v>3300</v>
      </c>
      <c r="D172" s="1823" t="s">
        <v>1897</v>
      </c>
      <c r="E172" s="884"/>
      <c r="F172" s="1808">
        <v>36</v>
      </c>
      <c r="G172" s="905"/>
    </row>
    <row r="173" spans="1:7" ht="6" customHeight="1" x14ac:dyDescent="0.2">
      <c r="A173" s="905"/>
      <c r="B173" s="905"/>
      <c r="C173" s="927"/>
      <c r="D173" s="905"/>
      <c r="E173" s="884"/>
      <c r="F173" s="928"/>
      <c r="G173" s="925"/>
    </row>
    <row r="174" spans="1:7" x14ac:dyDescent="0.2">
      <c r="A174" s="1674"/>
      <c r="B174" s="1688"/>
      <c r="C174" s="1689"/>
      <c r="D174" s="1690" t="s">
        <v>2030</v>
      </c>
      <c r="E174" s="1691" t="s">
        <v>958</v>
      </c>
      <c r="F174" s="1692">
        <f>SUM(F84:F132,F157:F172)</f>
        <v>1183546</v>
      </c>
    </row>
    <row r="175" spans="1:7" ht="12" customHeight="1" x14ac:dyDescent="0.2">
      <c r="A175" s="1674"/>
      <c r="B175" s="1688"/>
      <c r="C175" s="1689"/>
      <c r="D175" s="1690" t="s">
        <v>2031</v>
      </c>
      <c r="E175" s="1691"/>
      <c r="F175" s="1693">
        <f>'PCTC-OEPP 27-28'!F77-F174</f>
        <v>8703045</v>
      </c>
    </row>
    <row r="176" spans="1:7" ht="12" customHeight="1" x14ac:dyDescent="0.2">
      <c r="A176" s="1674"/>
      <c r="B176" s="1688"/>
      <c r="C176" s="1689"/>
      <c r="D176" s="1690" t="s">
        <v>1792</v>
      </c>
      <c r="E176" s="1691"/>
      <c r="F176" s="1693">
        <f>'Cap Outlay Deprec 26'!I18</f>
        <v>577125</v>
      </c>
    </row>
    <row r="177" spans="1:7" ht="12" customHeight="1" x14ac:dyDescent="0.2">
      <c r="A177" s="1674"/>
      <c r="B177" s="1688"/>
      <c r="C177" s="1689"/>
      <c r="D177" s="1690" t="s">
        <v>2032</v>
      </c>
      <c r="E177" s="1691"/>
      <c r="F177" s="1693">
        <f>F175+F176</f>
        <v>9280170</v>
      </c>
    </row>
    <row r="178" spans="1:7" ht="12" customHeight="1" x14ac:dyDescent="0.2">
      <c r="A178" s="1674"/>
      <c r="B178" s="1694"/>
      <c r="C178" s="1689"/>
      <c r="D178" s="1690" t="str">
        <f>D78</f>
        <v>9 Month ADA from District Average Daily Attendance/Prior General State Aid Inquiry 2018-2019</v>
      </c>
      <c r="E178" s="1691"/>
      <c r="F178" s="1695">
        <f>'PCTC-OEPP 27-28'!F78</f>
        <v>421.3</v>
      </c>
      <c r="G178" s="908"/>
    </row>
    <row r="179" spans="1:7" ht="12" customHeight="1" thickBot="1" x14ac:dyDescent="0.25">
      <c r="A179" s="1674"/>
      <c r="B179" s="1694"/>
      <c r="C179" s="1689"/>
      <c r="D179" s="1690" t="s">
        <v>2033</v>
      </c>
      <c r="E179" s="1691" t="s">
        <v>1543</v>
      </c>
      <c r="F179" s="1696">
        <f>F177/F178</f>
        <v>22027.462615713266</v>
      </c>
      <c r="G179" s="834">
        <v>6323</v>
      </c>
    </row>
    <row r="180" spans="1:7" ht="12" thickTop="1" x14ac:dyDescent="0.2">
      <c r="B180" s="908"/>
      <c r="C180" s="927"/>
      <c r="D180" s="908"/>
      <c r="E180" s="927"/>
      <c r="F180" s="908"/>
      <c r="G180" s="929">
        <v>6326</v>
      </c>
    </row>
    <row r="181" spans="1:7" ht="12.2" customHeight="1" x14ac:dyDescent="0.2">
      <c r="A181" s="908" t="s">
        <v>1895</v>
      </c>
      <c r="B181" s="908"/>
      <c r="C181" s="927"/>
      <c r="D181" s="908"/>
      <c r="E181" s="927"/>
      <c r="F181" s="908"/>
      <c r="G181" s="908"/>
    </row>
    <row r="182" spans="1:7" s="1824" customFormat="1" ht="12.2" customHeight="1" x14ac:dyDescent="0.2">
      <c r="A182" s="1824" t="s">
        <v>1968</v>
      </c>
      <c r="B182" s="1825"/>
      <c r="C182" s="1826"/>
      <c r="D182" s="1825"/>
      <c r="E182" s="1826"/>
      <c r="F182" s="1825"/>
      <c r="G182" s="1825"/>
    </row>
    <row r="183" spans="1:7" s="1824" customFormat="1" ht="12.2" customHeight="1" x14ac:dyDescent="0.2">
      <c r="A183" s="1827" t="s">
        <v>1970</v>
      </c>
      <c r="C183" s="1826"/>
      <c r="D183" s="1825"/>
      <c r="E183" s="1826"/>
      <c r="F183" s="1825"/>
      <c r="G183" s="1825"/>
    </row>
    <row r="184" spans="1:7" ht="12" customHeight="1" x14ac:dyDescent="0.2">
      <c r="C184" s="927"/>
      <c r="D184" s="908"/>
      <c r="E184" s="927"/>
      <c r="F184" s="908"/>
      <c r="G184" s="908"/>
    </row>
    <row r="185" spans="1:7" x14ac:dyDescent="0.2">
      <c r="A185" s="1828" t="s">
        <v>1899</v>
      </c>
      <c r="B185" s="1829" t="s">
        <v>1898</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34"/>
  <sheetViews>
    <sheetView showGridLines="0" topLeftCell="A16" zoomScaleNormal="100" workbookViewId="0">
      <selection activeCell="B38" sqref="B38"/>
    </sheetView>
  </sheetViews>
  <sheetFormatPr defaultColWidth="9.140625" defaultRowHeight="15" x14ac:dyDescent="0.25"/>
  <cols>
    <col min="1" max="1" width="52" style="1452" customWidth="1"/>
    <col min="2" max="2" width="16.42578125" style="1453" bestFit="1" customWidth="1"/>
    <col min="3" max="3" width="33.7109375" style="1453" customWidth="1"/>
    <col min="4" max="4" width="16.28515625" style="1454" customWidth="1"/>
    <col min="5" max="5" width="30" style="1454" hidden="1" customWidth="1"/>
    <col min="6" max="6" width="23.5703125" style="1454" customWidth="1"/>
    <col min="7" max="7" width="23.28515625" style="1453" customWidth="1"/>
    <col min="8" max="16384" width="9.140625" style="1443"/>
  </cols>
  <sheetData>
    <row r="1" spans="1:7" ht="15" customHeight="1" x14ac:dyDescent="0.25">
      <c r="A1" s="1564" t="s">
        <v>1807</v>
      </c>
      <c r="B1" s="1565"/>
      <c r="C1" s="1565"/>
      <c r="D1" s="1565"/>
      <c r="E1" s="1565"/>
      <c r="F1" s="1565"/>
      <c r="G1" s="1565"/>
    </row>
    <row r="2" spans="1:7" x14ac:dyDescent="0.25">
      <c r="A2" s="1562"/>
      <c r="B2" s="1562"/>
      <c r="C2" s="1563" t="s">
        <v>979</v>
      </c>
      <c r="D2" s="1562"/>
      <c r="E2" s="1562"/>
      <c r="F2" s="1562"/>
      <c r="G2" s="1562"/>
    </row>
    <row r="3" spans="1:7" ht="5.25" customHeight="1" x14ac:dyDescent="0.25">
      <c r="A3" s="1455"/>
      <c r="B3" s="1455"/>
      <c r="C3" s="1455"/>
      <c r="D3" s="1455"/>
      <c r="E3" s="1455"/>
      <c r="F3" s="1455"/>
      <c r="G3" s="1455"/>
    </row>
    <row r="4" spans="1:7" ht="18.75" customHeight="1" x14ac:dyDescent="0.25">
      <c r="A4" s="2270" t="s">
        <v>1793</v>
      </c>
      <c r="B4" s="2271"/>
      <c r="C4" s="2271"/>
      <c r="D4" s="2271"/>
      <c r="E4" s="2271"/>
      <c r="F4" s="2271"/>
      <c r="G4" s="2272"/>
    </row>
    <row r="5" spans="1:7" x14ac:dyDescent="0.25">
      <c r="A5" s="2273"/>
      <c r="B5" s="2274"/>
      <c r="C5" s="2274"/>
      <c r="D5" s="2274"/>
      <c r="E5" s="2274"/>
      <c r="F5" s="2274"/>
      <c r="G5" s="2275"/>
    </row>
    <row r="6" spans="1:7" ht="18.75" x14ac:dyDescent="0.25">
      <c r="A6" s="1444" t="s">
        <v>1794</v>
      </c>
      <c r="B6" s="1445"/>
      <c r="C6" s="1445"/>
      <c r="D6" s="1445"/>
      <c r="E6" s="1445"/>
      <c r="F6" s="1445"/>
      <c r="G6" s="1446"/>
    </row>
    <row r="7" spans="1:7" ht="30.75" customHeight="1" x14ac:dyDescent="0.25">
      <c r="A7" s="2276" t="s">
        <v>1906</v>
      </c>
      <c r="B7" s="2277"/>
      <c r="C7" s="2277"/>
      <c r="D7" s="2277"/>
      <c r="E7" s="2277"/>
      <c r="F7" s="2277"/>
      <c r="G7" s="2278"/>
    </row>
    <row r="8" spans="1:7" ht="15.75" customHeight="1" x14ac:dyDescent="0.25">
      <c r="A8" s="2279" t="s">
        <v>1881</v>
      </c>
      <c r="B8" s="2280"/>
      <c r="C8" s="2280"/>
      <c r="D8" s="2280"/>
      <c r="E8" s="2280"/>
      <c r="F8" s="2280"/>
      <c r="G8" s="2281"/>
    </row>
    <row r="9" spans="1:7" ht="35.25" customHeight="1" x14ac:dyDescent="0.25">
      <c r="A9" s="2276" t="s">
        <v>1909</v>
      </c>
      <c r="B9" s="2277"/>
      <c r="C9" s="2277"/>
      <c r="D9" s="2277"/>
      <c r="E9" s="2277"/>
      <c r="F9" s="2277"/>
      <c r="G9" s="2278"/>
    </row>
    <row r="10" spans="1:7" ht="15" customHeight="1" x14ac:dyDescent="0.25">
      <c r="A10" s="1447" t="s">
        <v>1795</v>
      </c>
      <c r="B10" s="1448"/>
      <c r="C10" s="1448"/>
      <c r="D10" s="1448"/>
      <c r="E10" s="1448"/>
      <c r="F10" s="1448"/>
      <c r="G10" s="1449"/>
    </row>
    <row r="11" spans="1:7" ht="17.25" customHeight="1" x14ac:dyDescent="0.25">
      <c r="A11" s="2276" t="s">
        <v>1908</v>
      </c>
      <c r="B11" s="2277"/>
      <c r="C11" s="2277"/>
      <c r="D11" s="2277"/>
      <c r="E11" s="2277"/>
      <c r="F11" s="2277"/>
      <c r="G11" s="2278"/>
    </row>
    <row r="12" spans="1:7" ht="15" customHeight="1" x14ac:dyDescent="0.25">
      <c r="A12" s="1447" t="s">
        <v>1800</v>
      </c>
      <c r="B12" s="1448"/>
      <c r="C12" s="1448"/>
      <c r="D12" s="1448"/>
      <c r="E12" s="1448"/>
      <c r="F12" s="1448"/>
      <c r="G12" s="1449"/>
    </row>
    <row r="13" spans="1:7" ht="32.25" customHeight="1" x14ac:dyDescent="0.25">
      <c r="A13" s="2267" t="s">
        <v>1950</v>
      </c>
      <c r="B13" s="2268"/>
      <c r="C13" s="2268"/>
      <c r="D13" s="2268"/>
      <c r="E13" s="2268"/>
      <c r="F13" s="2268"/>
      <c r="G13" s="2269"/>
    </row>
    <row r="14" spans="1:7" x14ac:dyDescent="0.25">
      <c r="A14" s="1566" t="s">
        <v>1808</v>
      </c>
      <c r="B14" s="1567"/>
      <c r="C14" s="1567"/>
      <c r="D14" s="1567"/>
      <c r="E14" s="1567"/>
      <c r="F14" s="1567"/>
      <c r="G14" s="1568"/>
    </row>
    <row r="15" spans="1:7" ht="61.5" customHeight="1" x14ac:dyDescent="0.25">
      <c r="A15" s="1456" t="s">
        <v>1801</v>
      </c>
      <c r="B15" s="1456" t="s">
        <v>1802</v>
      </c>
      <c r="C15" s="1456" t="s">
        <v>1803</v>
      </c>
      <c r="D15" s="1457" t="s">
        <v>1804</v>
      </c>
      <c r="E15" s="1457" t="s">
        <v>1796</v>
      </c>
      <c r="F15" s="1457" t="s">
        <v>1805</v>
      </c>
      <c r="G15" s="1457" t="s">
        <v>1806</v>
      </c>
    </row>
    <row r="16" spans="1:7" x14ac:dyDescent="0.25">
      <c r="A16" s="1889" t="s">
        <v>1809</v>
      </c>
      <c r="B16" s="1890" t="s">
        <v>1799</v>
      </c>
      <c r="C16" s="1893" t="s">
        <v>1797</v>
      </c>
      <c r="D16" s="1897">
        <v>500000</v>
      </c>
      <c r="E16" s="1558">
        <f>IF(D16&lt;=25000,D16,IF(D16&gt;25000,25000,0))</f>
        <v>25000</v>
      </c>
      <c r="F16" s="155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9">
        <f>IF(F16=0,"0",D16-F16)</f>
        <v>475000</v>
      </c>
    </row>
    <row r="17" spans="1:8" x14ac:dyDescent="0.25">
      <c r="A17" s="1891" t="s">
        <v>2080</v>
      </c>
      <c r="B17" s="2489" t="s">
        <v>2135</v>
      </c>
      <c r="C17" s="1894" t="s">
        <v>2090</v>
      </c>
      <c r="D17" s="1898">
        <v>28013</v>
      </c>
      <c r="E17" s="1896">
        <f t="shared" ref="E17:E34" si="0">IF(D17&lt;=25000,D17,IF(D17&gt;25000,25000,0))</f>
        <v>25000</v>
      </c>
      <c r="F17" s="1834">
        <v>25000</v>
      </c>
      <c r="G17" s="1697">
        <f>IF(F17=0,0,D17-F17)</f>
        <v>3013</v>
      </c>
      <c r="H17" s="1557"/>
    </row>
    <row r="18" spans="1:8" x14ac:dyDescent="0.25">
      <c r="A18" s="1892" t="s">
        <v>2081</v>
      </c>
      <c r="B18" s="2489" t="s">
        <v>2136</v>
      </c>
      <c r="C18" s="1894" t="s">
        <v>2091</v>
      </c>
      <c r="D18" s="1898">
        <v>120717</v>
      </c>
      <c r="E18" s="1896">
        <f t="shared" ref="E18:E33" si="1">IF(D18&lt;=25000,D18,IF(D18&gt;25000,25000,0))</f>
        <v>25000</v>
      </c>
      <c r="F18" s="1834">
        <v>25000</v>
      </c>
      <c r="G18" s="1697">
        <f t="shared" ref="G18:G33" si="2">IF(F18=0,0,D18-F18)</f>
        <v>95717</v>
      </c>
    </row>
    <row r="19" spans="1:8" x14ac:dyDescent="0.25">
      <c r="A19" s="1892" t="s">
        <v>2082</v>
      </c>
      <c r="B19" s="2489" t="s">
        <v>2137</v>
      </c>
      <c r="C19" s="1894" t="s">
        <v>2092</v>
      </c>
      <c r="D19" s="1898">
        <v>307043</v>
      </c>
      <c r="E19" s="1896">
        <f t="shared" si="1"/>
        <v>25000</v>
      </c>
      <c r="F19" s="1834">
        <v>25000</v>
      </c>
      <c r="G19" s="1697">
        <f t="shared" si="2"/>
        <v>282043</v>
      </c>
    </row>
    <row r="20" spans="1:8" ht="30" x14ac:dyDescent="0.25">
      <c r="A20" s="1892" t="s">
        <v>2083</v>
      </c>
      <c r="B20" s="2489" t="s">
        <v>2138</v>
      </c>
      <c r="C20" s="1894" t="s">
        <v>2093</v>
      </c>
      <c r="D20" s="1898">
        <v>563762</v>
      </c>
      <c r="E20" s="1896">
        <f t="shared" si="1"/>
        <v>25000</v>
      </c>
      <c r="F20" s="1834">
        <v>25000</v>
      </c>
      <c r="G20" s="1697">
        <f t="shared" si="2"/>
        <v>538762</v>
      </c>
    </row>
    <row r="21" spans="1:8" x14ac:dyDescent="0.25">
      <c r="A21" s="1892" t="s">
        <v>2084</v>
      </c>
      <c r="B21" s="2489" t="s">
        <v>2139</v>
      </c>
      <c r="C21" s="1894" t="s">
        <v>2094</v>
      </c>
      <c r="D21" s="1898">
        <v>89995</v>
      </c>
      <c r="E21" s="1896">
        <f t="shared" si="1"/>
        <v>25000</v>
      </c>
      <c r="F21" s="1834">
        <v>25000</v>
      </c>
      <c r="G21" s="1697">
        <f t="shared" si="2"/>
        <v>64995</v>
      </c>
    </row>
    <row r="22" spans="1:8" x14ac:dyDescent="0.25">
      <c r="A22" s="1892" t="s">
        <v>2085</v>
      </c>
      <c r="B22" s="2489" t="s">
        <v>2135</v>
      </c>
      <c r="C22" s="1894" t="s">
        <v>2095</v>
      </c>
      <c r="D22" s="1898">
        <v>54007</v>
      </c>
      <c r="E22" s="1896">
        <f t="shared" si="1"/>
        <v>25000</v>
      </c>
      <c r="F22" s="1834">
        <v>25000</v>
      </c>
      <c r="G22" s="1697">
        <f t="shared" si="2"/>
        <v>29007</v>
      </c>
    </row>
    <row r="23" spans="1:8" ht="30" x14ac:dyDescent="0.25">
      <c r="A23" s="1892" t="s">
        <v>2086</v>
      </c>
      <c r="B23" s="2489" t="s">
        <v>2140</v>
      </c>
      <c r="C23" s="1894" t="s">
        <v>2096</v>
      </c>
      <c r="D23" s="1898">
        <v>30283</v>
      </c>
      <c r="E23" s="1896">
        <f t="shared" si="1"/>
        <v>25000</v>
      </c>
      <c r="F23" s="1834">
        <v>25000</v>
      </c>
      <c r="G23" s="1697">
        <f t="shared" si="2"/>
        <v>5283</v>
      </c>
    </row>
    <row r="24" spans="1:8" x14ac:dyDescent="0.25">
      <c r="A24" s="1892" t="s">
        <v>2087</v>
      </c>
      <c r="B24" s="2489" t="s">
        <v>2139</v>
      </c>
      <c r="C24" s="1894" t="s">
        <v>2097</v>
      </c>
      <c r="D24" s="1898">
        <v>142607</v>
      </c>
      <c r="E24" s="1896">
        <f t="shared" si="1"/>
        <v>25000</v>
      </c>
      <c r="F24" s="1834">
        <v>25000</v>
      </c>
      <c r="G24" s="1697">
        <f t="shared" si="2"/>
        <v>117607</v>
      </c>
    </row>
    <row r="25" spans="1:8" x14ac:dyDescent="0.25">
      <c r="A25" s="1891" t="s">
        <v>2088</v>
      </c>
      <c r="B25" s="2489" t="s">
        <v>2135</v>
      </c>
      <c r="C25" s="1895" t="s">
        <v>2098</v>
      </c>
      <c r="D25" s="1898">
        <v>28568</v>
      </c>
      <c r="E25" s="1896">
        <f t="shared" si="1"/>
        <v>25000</v>
      </c>
      <c r="F25" s="1834">
        <v>25000</v>
      </c>
      <c r="G25" s="1697">
        <f t="shared" si="2"/>
        <v>3568</v>
      </c>
    </row>
    <row r="26" spans="1:8" x14ac:dyDescent="0.25">
      <c r="A26" s="1892" t="s">
        <v>2089</v>
      </c>
      <c r="B26" s="2489" t="s">
        <v>2135</v>
      </c>
      <c r="C26" s="1895" t="s">
        <v>2099</v>
      </c>
      <c r="D26" s="1898">
        <v>28551</v>
      </c>
      <c r="E26" s="1896">
        <f t="shared" si="1"/>
        <v>25000</v>
      </c>
      <c r="F26" s="1834">
        <v>25000</v>
      </c>
      <c r="G26" s="1697">
        <f t="shared" si="2"/>
        <v>3551</v>
      </c>
    </row>
    <row r="27" spans="1:8" x14ac:dyDescent="0.25">
      <c r="A27" s="1891" t="s">
        <v>2087</v>
      </c>
      <c r="B27" s="2489" t="s">
        <v>2139</v>
      </c>
      <c r="C27" s="1895" t="s">
        <v>2100</v>
      </c>
      <c r="D27" s="1898">
        <v>47666</v>
      </c>
      <c r="E27" s="1896">
        <f t="shared" si="1"/>
        <v>25000</v>
      </c>
      <c r="F27" s="1834">
        <v>25000</v>
      </c>
      <c r="G27" s="1697">
        <f t="shared" si="2"/>
        <v>22666</v>
      </c>
    </row>
    <row r="28" spans="1:8" x14ac:dyDescent="0.25">
      <c r="A28" s="1892" t="s">
        <v>2080</v>
      </c>
      <c r="B28" s="2489" t="s">
        <v>2135</v>
      </c>
      <c r="C28" s="1895" t="s">
        <v>2101</v>
      </c>
      <c r="D28" s="1898">
        <v>30812</v>
      </c>
      <c r="E28" s="1896">
        <f t="shared" si="1"/>
        <v>25000</v>
      </c>
      <c r="F28" s="1834">
        <v>25000</v>
      </c>
      <c r="G28" s="1697">
        <f t="shared" si="2"/>
        <v>5812</v>
      </c>
    </row>
    <row r="29" spans="1:8" x14ac:dyDescent="0.25">
      <c r="A29" s="1892" t="s">
        <v>2080</v>
      </c>
      <c r="B29" s="2489" t="s">
        <v>2135</v>
      </c>
      <c r="C29" s="1895" t="s">
        <v>2102</v>
      </c>
      <c r="D29" s="1898">
        <v>131655</v>
      </c>
      <c r="E29" s="1896">
        <f t="shared" si="1"/>
        <v>25000</v>
      </c>
      <c r="F29" s="1834">
        <v>25000</v>
      </c>
      <c r="G29" s="1697">
        <f t="shared" si="2"/>
        <v>106655</v>
      </c>
    </row>
    <row r="30" spans="1:8" x14ac:dyDescent="0.25">
      <c r="A30" s="1892" t="s">
        <v>2080</v>
      </c>
      <c r="B30" s="2489" t="s">
        <v>2135</v>
      </c>
      <c r="C30" s="1895" t="s">
        <v>2103</v>
      </c>
      <c r="D30" s="1898">
        <v>36228</v>
      </c>
      <c r="E30" s="1896">
        <f t="shared" si="1"/>
        <v>25000</v>
      </c>
      <c r="F30" s="1834">
        <v>25000</v>
      </c>
      <c r="G30" s="1697">
        <f t="shared" si="2"/>
        <v>11228</v>
      </c>
    </row>
    <row r="31" spans="1:8" x14ac:dyDescent="0.25">
      <c r="A31" s="1560"/>
      <c r="B31" s="1571"/>
      <c r="C31" s="1561"/>
      <c r="D31" s="1747"/>
      <c r="E31" s="1450">
        <f t="shared" ref="E31:E32" si="3">IF(D31&lt;=25000,D31,IF(D31&gt;25000,25000,0))</f>
        <v>0</v>
      </c>
      <c r="F31" s="1834">
        <f t="shared" ref="F31:F33" si="4">IF(OR(B31="10-1000-100",B31="10-1000-200",B31="10-1000-300",B31="10-1000-400",B31="10-1000-600",B31="10-1000-800",B31="50-1000-200",B31="10-2100-100",B31="10-2100-200",B31="10-2100-300",B31="10-2100-400",B31="10-2100-600",B31="10-2100-800",B31="20-2100-100",B31="20-2100-200",B31="20-2100-300",B31="20-2100-400",B31="20-2100-600",B31="20-2100-800",B31="40-2100-100",B31="40-2100-200",B31="40-2100-300",B31="40-2100-400",B31="40-2100-600",B31="40-2100-800",B31="50-2100-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10-2540-800",B31="20-2540-100",B31="20-2540-200",B31="20-2540-300",B31="20-2540-400",B31="20-2540-600",B31="20-2540-800",B31="50-2540-200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10-3000-100",B31="10-3000-200",B31="10-3000-300",B31="10-3000-400",B31="10-3000-600",B31="10-3000-800",B31="20-3000-100",B31="20-3000-200",B31="20-3000-300",B31="20-3000-400",B31="20-3000-600",B31="20-3000-800",B31="40-3000-100",B31="40-3000-200",B31="40-3000-300",B31="40-3000-400",B31="40-3000-600",B31="40-3000-800",B31="50-3000-200"),E31,0)</f>
        <v>0</v>
      </c>
      <c r="G31" s="1697">
        <f t="shared" ref="G31:G32" si="5">IF(F31=0,0,D31-F31)</f>
        <v>0</v>
      </c>
    </row>
    <row r="32" spans="1:8" x14ac:dyDescent="0.25">
      <c r="A32" s="1560"/>
      <c r="B32" s="1571"/>
      <c r="C32" s="1561"/>
      <c r="D32" s="1747"/>
      <c r="E32" s="1450">
        <f t="shared" si="3"/>
        <v>0</v>
      </c>
      <c r="F32" s="1834">
        <f t="shared" si="4"/>
        <v>0</v>
      </c>
      <c r="G32" s="1697">
        <f t="shared" si="5"/>
        <v>0</v>
      </c>
    </row>
    <row r="33" spans="1:7" x14ac:dyDescent="0.25">
      <c r="A33" s="1560"/>
      <c r="B33" s="1570"/>
      <c r="C33" s="1561"/>
      <c r="D33" s="1747"/>
      <c r="E33" s="1450">
        <f t="shared" si="1"/>
        <v>0</v>
      </c>
      <c r="F33" s="1834">
        <f t="shared" si="4"/>
        <v>0</v>
      </c>
      <c r="G33" s="1697">
        <f t="shared" si="2"/>
        <v>0</v>
      </c>
    </row>
    <row r="34" spans="1:7" x14ac:dyDescent="0.25">
      <c r="A34" s="1700" t="s">
        <v>156</v>
      </c>
      <c r="B34" s="1701"/>
      <c r="C34" s="1702"/>
      <c r="D34" s="1698">
        <f>SUM(D17:D33)</f>
        <v>1639907</v>
      </c>
      <c r="E34" s="1451">
        <f t="shared" si="0"/>
        <v>25000</v>
      </c>
      <c r="F34" s="1835">
        <f>SUM(F17:F33)</f>
        <v>350000</v>
      </c>
      <c r="G34" s="1699">
        <f>SUM(G17:G33)</f>
        <v>1289907</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D36" sqref="D3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4" t="s">
        <v>1115</v>
      </c>
      <c r="B1" s="1545"/>
      <c r="C1" s="1546"/>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82" t="s">
        <v>1673</v>
      </c>
      <c r="B5" s="2283"/>
      <c r="C5" s="2283"/>
      <c r="D5" s="2283"/>
      <c r="E5" s="2283"/>
      <c r="F5" s="2283"/>
      <c r="G5" s="2284"/>
      <c r="H5" s="252"/>
      <c r="I5" s="592"/>
    </row>
    <row r="6" spans="1:9" s="648" customFormat="1" x14ac:dyDescent="0.2">
      <c r="A6" s="1547"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1907</v>
      </c>
      <c r="B10" s="949"/>
      <c r="C10" s="954"/>
      <c r="D10" s="950"/>
      <c r="E10" s="951">
        <v>118549</v>
      </c>
      <c r="F10" s="952"/>
      <c r="G10" s="953"/>
      <c r="H10" s="162"/>
      <c r="I10" s="162"/>
    </row>
    <row r="11" spans="1:9" s="648" customFormat="1" ht="22.5" customHeight="1" x14ac:dyDescent="0.2">
      <c r="A11" s="2287" t="s">
        <v>1951</v>
      </c>
      <c r="B11" s="2288"/>
      <c r="C11" s="2288"/>
      <c r="D11" s="2289"/>
      <c r="E11" s="955">
        <v>9421</v>
      </c>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8" t="s">
        <v>532</v>
      </c>
      <c r="E17" s="1549"/>
      <c r="F17" s="1548" t="s">
        <v>433</v>
      </c>
      <c r="G17" s="1550"/>
      <c r="H17" s="162"/>
      <c r="I17" s="162"/>
    </row>
    <row r="18" spans="1:9" s="259" customFormat="1" ht="11.25" x14ac:dyDescent="0.2">
      <c r="A18" s="966"/>
      <c r="C18" s="967" t="s">
        <v>434</v>
      </c>
      <c r="D18" s="1551" t="s">
        <v>435</v>
      </c>
      <c r="E18" s="1551" t="s">
        <v>53</v>
      </c>
      <c r="F18" s="1551" t="s">
        <v>435</v>
      </c>
      <c r="G18" s="1551" t="s">
        <v>53</v>
      </c>
      <c r="H18" s="178"/>
      <c r="I18" s="178"/>
    </row>
    <row r="19" spans="1:9" s="648" customFormat="1" ht="12" customHeight="1" x14ac:dyDescent="0.2">
      <c r="A19" s="968" t="s">
        <v>456</v>
      </c>
      <c r="B19" s="969"/>
      <c r="C19" s="970" t="s">
        <v>570</v>
      </c>
      <c r="D19" s="1703"/>
      <c r="E19" s="1704">
        <f>'Expenditures 15-22'!K33-SUM('Expenditures 15-22'!G33,'Expenditures 15-22'!I33)+'Expenditures 15-22'!D229</f>
        <v>4388198</v>
      </c>
      <c r="F19" s="1703"/>
      <c r="G19" s="1705">
        <f>'Expenditures 15-22'!K33-SUM('Expenditures 15-22'!G33,'Expenditures 15-22'!I33)+'Expenditures 15-22'!D229</f>
        <v>4388198</v>
      </c>
      <c r="H19" s="965"/>
      <c r="I19" s="162"/>
    </row>
    <row r="20" spans="1:9" s="648" customFormat="1" ht="12" customHeight="1" x14ac:dyDescent="0.2">
      <c r="A20" s="968" t="s">
        <v>54</v>
      </c>
      <c r="B20" s="969"/>
      <c r="C20" s="971"/>
      <c r="D20" s="1706"/>
      <c r="E20" s="1706"/>
      <c r="F20" s="1706"/>
      <c r="G20" s="1707"/>
      <c r="H20" s="965"/>
      <c r="I20" s="162"/>
    </row>
    <row r="21" spans="1:9" s="648" customFormat="1" ht="12" customHeight="1" x14ac:dyDescent="0.2">
      <c r="A21" s="972" t="s">
        <v>401</v>
      </c>
      <c r="B21" s="973"/>
      <c r="C21" s="971">
        <v>2100</v>
      </c>
      <c r="D21" s="1706"/>
      <c r="E21" s="1708">
        <f>'Expenditures 15-22'!K42-SUM('Expenditures 15-22'!G42,'Expenditures 15-22'!I42)+'Expenditures 15-22'!K120-SUM('Expenditures 15-22'!G120,'Expenditures 15-22'!I120)+'Expenditures 15-22'!K180-SUM('Expenditures 15-22'!G180,'Expenditures 15-22'!I180)+'Expenditures 15-22'!D238</f>
        <v>456367</v>
      </c>
      <c r="F21" s="1706"/>
      <c r="G21" s="1709">
        <f>'Expenditures 15-22'!K42-SUM('Expenditures 15-22'!G42,'Expenditures 15-22'!I42)+'Expenditures 15-22'!K120-SUM('Expenditures 15-22'!G120,'Expenditures 15-22'!I120)+'Expenditures 15-22'!K180-SUM('Expenditures 15-22'!G180,'Expenditures 15-22'!I180)+'Expenditures 15-22'!D238</f>
        <v>456367</v>
      </c>
      <c r="H21" s="965"/>
      <c r="I21" s="162"/>
    </row>
    <row r="22" spans="1:9" s="648" customFormat="1" ht="12" customHeight="1" x14ac:dyDescent="0.2">
      <c r="A22" s="972" t="s">
        <v>564</v>
      </c>
      <c r="B22" s="973"/>
      <c r="C22" s="971">
        <v>2200</v>
      </c>
      <c r="D22" s="1706"/>
      <c r="E22" s="1708">
        <f>'Expenditures 15-22'!K47-SUM('Expenditures 15-22'!G47,'Expenditures 15-22'!I47)+'Expenditures 15-22'!D243</f>
        <v>540352</v>
      </c>
      <c r="F22" s="1706"/>
      <c r="G22" s="1709">
        <f>'Expenditures 15-22'!K47-SUM('Expenditures 15-22'!G47,'Expenditures 15-22'!I47)+'Expenditures 15-22'!D243</f>
        <v>540352</v>
      </c>
      <c r="H22" s="965"/>
      <c r="I22" s="162"/>
    </row>
    <row r="23" spans="1:9" s="648" customFormat="1" ht="12" customHeight="1" x14ac:dyDescent="0.2">
      <c r="A23" s="972" t="s">
        <v>565</v>
      </c>
      <c r="B23" s="973"/>
      <c r="C23" s="971">
        <v>2300</v>
      </c>
      <c r="D23" s="1706"/>
      <c r="E23" s="1708">
        <f>'Expenditures 15-22'!K53-SUM('Expenditures 15-22'!G53,'Expenditures 15-22'!I53)+'Expenditures 15-22'!D257+'Expenditures 15-22'!K330-SUM('Expenditures 15-22'!G330,'Expenditures 15-22'!I330)</f>
        <v>1116253</v>
      </c>
      <c r="F23" s="1706"/>
      <c r="G23" s="1708">
        <f>'Expenditures 15-22'!K53-SUM('Expenditures 15-22'!G53,'Expenditures 15-22'!I53)+'Expenditures 15-22'!D257+'Expenditures 15-22'!K330-SUM('Expenditures 15-22'!G330,'Expenditures 15-22'!I330)</f>
        <v>1116253</v>
      </c>
      <c r="H23" s="965"/>
      <c r="I23" s="162"/>
    </row>
    <row r="24" spans="1:9" s="648" customFormat="1" ht="12" customHeight="1" x14ac:dyDescent="0.2">
      <c r="A24" s="972" t="s">
        <v>566</v>
      </c>
      <c r="B24" s="973"/>
      <c r="C24" s="971">
        <v>2400</v>
      </c>
      <c r="D24" s="1706"/>
      <c r="E24" s="1708">
        <f>'Expenditures 15-22'!K57-SUM('Expenditures 15-22'!G57,'Expenditures 15-22'!I57)+'Expenditures 15-22'!D261</f>
        <v>680035</v>
      </c>
      <c r="F24" s="1706"/>
      <c r="G24" s="1709">
        <f>'Expenditures 15-22'!K57-SUM('Expenditures 15-22'!G57,'Expenditures 15-22'!I57)+'Expenditures 15-22'!D261</f>
        <v>680035</v>
      </c>
      <c r="H24" s="965"/>
      <c r="I24" s="162"/>
    </row>
    <row r="25" spans="1:9" s="648" customFormat="1" ht="12" customHeight="1" x14ac:dyDescent="0.2">
      <c r="A25" s="968" t="s">
        <v>567</v>
      </c>
      <c r="B25" s="974"/>
      <c r="C25" s="971"/>
      <c r="D25" s="1706"/>
      <c r="E25" s="1708"/>
      <c r="F25" s="1706"/>
      <c r="G25" s="1709"/>
      <c r="H25" s="965"/>
      <c r="I25" s="162"/>
    </row>
    <row r="26" spans="1:9" s="648" customFormat="1" ht="12" customHeight="1" x14ac:dyDescent="0.2">
      <c r="A26" s="972" t="s">
        <v>515</v>
      </c>
      <c r="B26" s="975"/>
      <c r="C26" s="971">
        <v>2510</v>
      </c>
      <c r="D26" s="1708">
        <f>'Expenditures 15-22'!K59-SUM('Expenditures 15-22'!G59,'Expenditures 15-22'!I59)+'Expenditures 15-22'!D263-E7</f>
        <v>43397</v>
      </c>
      <c r="E26" s="1708">
        <f>'Expenditures 15-22'!K122-SUM('Expenditures 15-22'!G122,'Expenditures 15-22'!I122)+E7</f>
        <v>32401</v>
      </c>
      <c r="F26" s="1708">
        <f>'Expenditures 15-22'!K59-SUM('Expenditures 15-22'!G59,'Expenditures 15-22'!I59)+'Expenditures 15-22'!D263-E7</f>
        <v>43397</v>
      </c>
      <c r="G26" s="1709">
        <f>'Expenditures 15-22'!K122-SUM('Expenditures 15-22'!G122,'Expenditures 15-22'!I122)+E7</f>
        <v>32401</v>
      </c>
      <c r="H26" s="965"/>
      <c r="I26" s="162"/>
    </row>
    <row r="27" spans="1:9" s="648" customFormat="1" ht="12" customHeight="1" x14ac:dyDescent="0.2">
      <c r="A27" s="972" t="s">
        <v>463</v>
      </c>
      <c r="B27" s="975"/>
      <c r="C27" s="971">
        <v>2520</v>
      </c>
      <c r="D27" s="1708">
        <f>'Expenditures 15-22'!K60-SUM('Expenditures 15-22'!G60,'Expenditures 15-22'!I60)+'Expenditures 15-22'!D264-E8</f>
        <v>164765</v>
      </c>
      <c r="E27" s="1708">
        <f>E8</f>
        <v>0</v>
      </c>
      <c r="F27" s="1708">
        <f>'Expenditures 15-22'!K60-SUM('Expenditures 15-22'!G60,'Expenditures 15-22'!I60)+'Expenditures 15-22'!D264-E8</f>
        <v>164765</v>
      </c>
      <c r="G27" s="1709">
        <f>E8</f>
        <v>0</v>
      </c>
      <c r="H27" s="965"/>
      <c r="I27" s="162"/>
    </row>
    <row r="28" spans="1:9" s="648" customFormat="1" ht="12" customHeight="1" x14ac:dyDescent="0.2">
      <c r="A28" s="972" t="s">
        <v>516</v>
      </c>
      <c r="B28" s="975"/>
      <c r="C28" s="971">
        <v>2540</v>
      </c>
      <c r="D28" s="1710"/>
      <c r="E28" s="1708">
        <f>'Expenditures 15-22'!K61-SUM('Expenditures 15-22'!G61,'Expenditures 15-22'!I61)+'Expenditures 15-22'!K124-SUM('Expenditures 15-22'!G124,'Expenditures 15-22'!I124)+'Expenditures 15-22'!D266</f>
        <v>1362122</v>
      </c>
      <c r="F28" s="1710">
        <f>'Expenditures 15-22'!K61-SUM('Expenditures 15-22'!G61,'Expenditures 15-22'!I61)+'Expenditures 15-22'!K124-SUM('Expenditures 15-22'!G124,'Expenditures 15-22'!I124)+'Expenditures 15-22'!D266-E9</f>
        <v>1362122</v>
      </c>
      <c r="G28" s="1709">
        <f>E9</f>
        <v>0</v>
      </c>
      <c r="H28" s="965"/>
      <c r="I28" s="162"/>
    </row>
    <row r="29" spans="1:9" ht="12" customHeight="1" x14ac:dyDescent="0.2">
      <c r="A29" s="972" t="s">
        <v>517</v>
      </c>
      <c r="B29" s="975"/>
      <c r="C29" s="971">
        <v>2550</v>
      </c>
      <c r="D29" s="1706"/>
      <c r="E29" s="1708">
        <f>'Expenditures 15-22'!K62-SUM('Expenditures 15-22'!G62,'Expenditures 15-22'!I62)+'Expenditures 15-22'!K125-SUM('Expenditures 15-22'!G125,'Expenditures 15-22'!I125)+'Expenditures 15-22'!K182-SUM('Expenditures 15-22'!G182,'Expenditures 15-22'!I182)+'Expenditures 15-22'!D267</f>
        <v>669643</v>
      </c>
      <c r="F29" s="1706"/>
      <c r="G29" s="1709">
        <f>'Expenditures 15-22'!K62-SUM('Expenditures 15-22'!G62,'Expenditures 15-22'!I62)+'Expenditures 15-22'!K125-SUM('Expenditures 15-22'!G125,'Expenditures 15-22'!I125)+'Expenditures 15-22'!K182-SUM('Expenditures 15-22'!G182,'Expenditures 15-22'!I182)+'Expenditures 15-22'!D267</f>
        <v>669643</v>
      </c>
      <c r="H29" s="963"/>
    </row>
    <row r="30" spans="1:9" ht="12" customHeight="1" x14ac:dyDescent="0.2">
      <c r="A30" s="972" t="s">
        <v>100</v>
      </c>
      <c r="B30" s="975"/>
      <c r="C30" s="971">
        <v>2560</v>
      </c>
      <c r="D30" s="1706"/>
      <c r="E30" s="1708">
        <f>'Expenditures 15-22'!K63-SUM('Expenditures 15-22'!G63,'Expenditures 15-22'!I63)+'Expenditures 15-22'!D268-E10</f>
        <v>60402</v>
      </c>
      <c r="F30" s="1706"/>
      <c r="G30" s="1708">
        <f>'Expenditures 15-22'!K63-SUM('Expenditures 15-22'!G63,'Expenditures 15-22'!I63)+'Expenditures 15-22'!D268-E10</f>
        <v>60402</v>
      </c>
    </row>
    <row r="31" spans="1:9" ht="12" customHeight="1" x14ac:dyDescent="0.2">
      <c r="A31" s="972" t="s">
        <v>101</v>
      </c>
      <c r="B31" s="975"/>
      <c r="C31" s="971">
        <v>2570</v>
      </c>
      <c r="D31" s="1708">
        <f>'Expenditures 15-22'!K64-SUM('Expenditures 15-22'!G64,'Expenditures 15-22'!I64)+'Expenditures 15-22'!D269-E12</f>
        <v>0</v>
      </c>
      <c r="E31" s="1708">
        <f>E12</f>
        <v>0</v>
      </c>
      <c r="F31" s="1708">
        <f>'Expenditures 15-22'!K64-SUM('Expenditures 15-22'!G64,'Expenditures 15-22'!I64)+'Expenditures 15-22'!D269-E12</f>
        <v>0</v>
      </c>
      <c r="G31" s="1708">
        <f>E12</f>
        <v>0</v>
      </c>
    </row>
    <row r="32" spans="1:9" ht="12" customHeight="1" x14ac:dyDescent="0.2">
      <c r="A32" s="968" t="s">
        <v>518</v>
      </c>
      <c r="B32" s="974"/>
      <c r="C32" s="971"/>
      <c r="D32" s="1706"/>
      <c r="E32" s="1706"/>
      <c r="F32" s="1706"/>
      <c r="G32" s="1706"/>
    </row>
    <row r="33" spans="1:7" ht="12" customHeight="1" x14ac:dyDescent="0.2">
      <c r="A33" s="972" t="s">
        <v>519</v>
      </c>
      <c r="B33" s="975"/>
      <c r="C33" s="971">
        <v>2610</v>
      </c>
      <c r="D33" s="1706"/>
      <c r="E33" s="1708">
        <f>'Expenditures 15-22'!K67-SUM('Expenditures 15-22'!G67,'Expenditures 15-22'!I67)+'Expenditures 15-22'!D272</f>
        <v>0</v>
      </c>
      <c r="F33" s="1706"/>
      <c r="G33" s="1708">
        <f>'Expenditures 15-22'!K67-SUM('Expenditures 15-22'!G67,'Expenditures 15-22'!I67)+'Expenditures 15-22'!D272</f>
        <v>0</v>
      </c>
    </row>
    <row r="34" spans="1:7" ht="12" customHeight="1" x14ac:dyDescent="0.2">
      <c r="A34" s="972" t="s">
        <v>520</v>
      </c>
      <c r="B34" s="975"/>
      <c r="C34" s="971">
        <v>2620</v>
      </c>
      <c r="D34" s="1706"/>
      <c r="E34" s="1708">
        <f>'Expenditures 15-22'!K68-SUM('Expenditures 15-22'!G68,'Expenditures 15-22'!I68)+'Expenditures 15-22'!D273</f>
        <v>32500</v>
      </c>
      <c r="F34" s="1706"/>
      <c r="G34" s="1708">
        <f>'Expenditures 15-22'!K68-SUM('Expenditures 15-22'!G68,'Expenditures 15-22'!I68)+'Expenditures 15-22'!D273</f>
        <v>32500</v>
      </c>
    </row>
    <row r="35" spans="1:7" ht="12" customHeight="1" x14ac:dyDescent="0.2">
      <c r="A35" s="972" t="s">
        <v>1061</v>
      </c>
      <c r="B35" s="975"/>
      <c r="C35" s="971">
        <v>2630</v>
      </c>
      <c r="D35" s="1706"/>
      <c r="E35" s="1708">
        <f>'Expenditures 15-22'!K69-SUM('Expenditures 15-22'!G69,'Expenditures 15-22'!I69)+'Expenditures 15-22'!D274</f>
        <v>0</v>
      </c>
      <c r="F35" s="1706"/>
      <c r="G35" s="1708">
        <f>'Expenditures 15-22'!K69-SUM('Expenditures 15-22'!G69,'Expenditures 15-22'!I69)+'Expenditures 15-22'!D274</f>
        <v>0</v>
      </c>
    </row>
    <row r="36" spans="1:7" ht="12" customHeight="1" x14ac:dyDescent="0.2">
      <c r="A36" s="972" t="s">
        <v>403</v>
      </c>
      <c r="B36" s="975"/>
      <c r="C36" s="971">
        <v>2640</v>
      </c>
      <c r="D36" s="1708">
        <f>'Expenditures 15-22'!K70-SUM('Expenditures 15-22'!G70,'Expenditures 15-22'!I70)+'Expenditures 15-22'!D275-E13</f>
        <v>0</v>
      </c>
      <c r="E36" s="1708">
        <f>E13</f>
        <v>0</v>
      </c>
      <c r="F36" s="1708">
        <f>'Expenditures 15-22'!K70-SUM('Expenditures 15-22'!G70,'Expenditures 15-22'!I70)+'Expenditures 15-22'!D275-E13</f>
        <v>0</v>
      </c>
      <c r="G36" s="1708">
        <f>E13</f>
        <v>0</v>
      </c>
    </row>
    <row r="37" spans="1:7" ht="12" customHeight="1" x14ac:dyDescent="0.2">
      <c r="A37" s="972" t="s">
        <v>404</v>
      </c>
      <c r="B37" s="975"/>
      <c r="C37" s="971">
        <v>2660</v>
      </c>
      <c r="D37" s="1708">
        <f>'Expenditures 15-22'!K71-SUM('Expenditures 15-22'!G71,'Expenditures 15-22'!I71)+'Expenditures 15-22'!D276-E14</f>
        <v>0</v>
      </c>
      <c r="E37" s="1708">
        <f>E14</f>
        <v>0</v>
      </c>
      <c r="F37" s="1708">
        <f>'Expenditures 15-22'!K71-SUM('Expenditures 15-22'!G71,'Expenditures 15-22'!I71)+'Expenditures 15-22'!D276-E14</f>
        <v>0</v>
      </c>
      <c r="G37" s="1708">
        <f>E14</f>
        <v>0</v>
      </c>
    </row>
    <row r="38" spans="1:7" ht="12" customHeight="1" x14ac:dyDescent="0.2">
      <c r="A38" s="968" t="s">
        <v>521</v>
      </c>
      <c r="B38" s="969"/>
      <c r="C38" s="971">
        <v>2900</v>
      </c>
      <c r="D38" s="1706"/>
      <c r="E38" s="1708">
        <f>'Expenditures 15-22'!K73-SUM('Expenditures 15-22'!G73,'Expenditures 15-22'!I73)+'Expenditures 15-22'!K128-SUM('Expenditures 15-22'!G128,'Expenditures 15-22'!I128)+'Expenditures 15-22'!K183-SUM('Expenditures 15-22'!G183,'Expenditures 15-22'!I183)+'Expenditures 15-22'!D278</f>
        <v>0</v>
      </c>
      <c r="F38" s="1706"/>
      <c r="G38" s="170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8" t="s">
        <v>449</v>
      </c>
      <c r="B39" s="969"/>
      <c r="C39" s="971">
        <v>3000</v>
      </c>
      <c r="D39" s="1706"/>
      <c r="E39" s="1708">
        <f>'Expenditures 15-22'!K75-SUM('Expenditures 15-22'!G75,'Expenditures 15-22'!I75)+'Expenditures 15-22'!K130-SUM('Expenditures 15-22'!G130,'Expenditures 15-22'!I130)+'Expenditures 15-22'!K185-SUM('Expenditures 15-22'!G185,'Expenditures 15-22'!I185)+'Expenditures 15-22'!D280</f>
        <v>9619</v>
      </c>
      <c r="F39" s="1706"/>
      <c r="G39" s="1708">
        <f>'Expenditures 15-22'!K75-SUM('Expenditures 15-22'!G75,'Expenditures 15-22'!I75)+'Expenditures 15-22'!K130-SUM('Expenditures 15-22'!G130,'Expenditures 15-22'!I130)+'Expenditures 15-22'!K185-SUM('Expenditures 15-22'!G185,'Expenditures 15-22'!I185)+'Expenditures 15-22'!D280</f>
        <v>9619</v>
      </c>
    </row>
    <row r="40" spans="1:7" ht="12" customHeight="1" x14ac:dyDescent="0.2">
      <c r="A40" s="968" t="s">
        <v>1798</v>
      </c>
      <c r="B40" s="969"/>
      <c r="C40" s="971"/>
      <c r="D40" s="1706"/>
      <c r="E40" s="1710">
        <f>-'Contracts Paid in CY 29'!G34</f>
        <v>-1289907</v>
      </c>
      <c r="F40" s="1706"/>
      <c r="G40" s="1710">
        <f>-'Contracts Paid in CY 29'!G34</f>
        <v>-1289907</v>
      </c>
    </row>
    <row r="41" spans="1:7" ht="12" customHeight="1" x14ac:dyDescent="0.2">
      <c r="A41" s="976" t="s">
        <v>156</v>
      </c>
      <c r="B41" s="977"/>
      <c r="C41" s="978"/>
      <c r="D41" s="1710">
        <f>SUM(D19:D39)</f>
        <v>208162</v>
      </c>
      <c r="E41" s="1710">
        <f>SUM(E19:E40)</f>
        <v>8057985</v>
      </c>
      <c r="F41" s="1710">
        <f>SUM(F19:F39)</f>
        <v>1570284</v>
      </c>
      <c r="G41" s="1710">
        <f>SUM(G19:G40)</f>
        <v>6695863</v>
      </c>
    </row>
    <row r="42" spans="1:7" x14ac:dyDescent="0.2">
      <c r="A42" s="965"/>
      <c r="B42" s="162"/>
      <c r="C42" s="979"/>
      <c r="D42" s="2285" t="s">
        <v>522</v>
      </c>
      <c r="E42" s="2286"/>
      <c r="F42" s="980" t="s">
        <v>523</v>
      </c>
      <c r="G42" s="981"/>
    </row>
    <row r="43" spans="1:7" ht="12" customHeight="1" x14ac:dyDescent="0.2">
      <c r="A43" s="965"/>
      <c r="B43" s="162"/>
      <c r="C43" s="979"/>
      <c r="D43" s="1711" t="s">
        <v>473</v>
      </c>
      <c r="E43" s="1712">
        <f>D41</f>
        <v>208162</v>
      </c>
      <c r="F43" s="1711" t="s">
        <v>473</v>
      </c>
      <c r="G43" s="1712">
        <f>F41</f>
        <v>1570284</v>
      </c>
    </row>
    <row r="44" spans="1:7" ht="12" customHeight="1" x14ac:dyDescent="0.2">
      <c r="A44" s="965"/>
      <c r="B44" s="162"/>
      <c r="C44" s="979"/>
      <c r="D44" s="1711" t="s">
        <v>474</v>
      </c>
      <c r="E44" s="1712">
        <f>E41</f>
        <v>8057985</v>
      </c>
      <c r="F44" s="1711" t="s">
        <v>474</v>
      </c>
      <c r="G44" s="1712">
        <f>G41</f>
        <v>6695863</v>
      </c>
    </row>
    <row r="45" spans="1:7" ht="12" customHeight="1" x14ac:dyDescent="0.2">
      <c r="A45" s="965"/>
      <c r="B45" s="162"/>
      <c r="C45" s="162"/>
      <c r="D45" s="1713" t="s">
        <v>1006</v>
      </c>
      <c r="E45" s="1714">
        <f>(E43/E44)</f>
        <v>2.5833009120766543E-2</v>
      </c>
      <c r="F45" s="1713" t="s">
        <v>1006</v>
      </c>
      <c r="G45" s="1714">
        <f>(G43/G44)</f>
        <v>0.23451555087073914</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3" activePane="bottomLeft" state="frozen"/>
      <selection activeCell="D36" sqref="D36"/>
      <selection pane="bottomLeft" activeCell="A36" sqref="A36:F36"/>
    </sheetView>
  </sheetViews>
  <sheetFormatPr defaultColWidth="9.140625" defaultRowHeight="12.75" x14ac:dyDescent="0.2"/>
  <cols>
    <col min="1" max="1" width="54.5703125" style="1778" customWidth="1"/>
    <col min="2" max="2" width="4.140625" style="1778" customWidth="1"/>
    <col min="3" max="4" width="9.85546875" style="1750" customWidth="1"/>
    <col min="5" max="5" width="12.5703125" style="1779" customWidth="1"/>
    <col min="6" max="6" width="67.5703125" style="1750" customWidth="1"/>
    <col min="7" max="7" width="9.140625" style="1750" customWidth="1"/>
    <col min="8" max="8" width="5.5703125" style="1780" bestFit="1" customWidth="1"/>
    <col min="9" max="10" width="2" style="1780" bestFit="1" customWidth="1"/>
    <col min="11" max="11" width="9" style="1780" customWidth="1"/>
    <col min="12" max="16384" width="9.140625" style="1750"/>
  </cols>
  <sheetData>
    <row r="1" spans="1:10" x14ac:dyDescent="0.2">
      <c r="A1" s="2293" t="s">
        <v>1377</v>
      </c>
      <c r="B1" s="2293"/>
      <c r="C1" s="2293"/>
      <c r="D1" s="2293"/>
      <c r="E1" s="2293"/>
      <c r="F1" s="2293"/>
    </row>
    <row r="2" spans="1:10" x14ac:dyDescent="0.2">
      <c r="A2" s="1789" t="s">
        <v>1886</v>
      </c>
      <c r="B2" s="1751"/>
      <c r="C2" s="1789"/>
      <c r="D2" s="1751"/>
      <c r="E2" s="1751"/>
      <c r="F2" s="1752"/>
    </row>
    <row r="3" spans="1:10" x14ac:dyDescent="0.2">
      <c r="A3" s="1789" t="s">
        <v>1952</v>
      </c>
      <c r="B3" s="1751"/>
      <c r="C3" s="1789"/>
      <c r="D3" s="1751"/>
      <c r="E3" s="1751"/>
      <c r="F3" s="1752"/>
    </row>
    <row r="4" spans="1:10" ht="3.75" customHeight="1" x14ac:dyDescent="0.2">
      <c r="A4" s="1751"/>
      <c r="B4" s="1751"/>
      <c r="C4" s="1751"/>
      <c r="D4" s="1751"/>
      <c r="E4" s="1751"/>
      <c r="F4" s="1752"/>
    </row>
    <row r="5" spans="1:10" ht="15" x14ac:dyDescent="0.25">
      <c r="A5" s="2294" t="s">
        <v>1544</v>
      </c>
      <c r="B5" s="2295"/>
      <c r="C5" s="2296"/>
      <c r="D5" s="2296"/>
      <c r="E5" s="2296"/>
      <c r="F5" s="2296"/>
    </row>
    <row r="6" spans="1:10" ht="12" customHeight="1" x14ac:dyDescent="0.25">
      <c r="A6" s="1753"/>
      <c r="B6" s="1754"/>
      <c r="C6" s="2297" t="str">
        <f>COVER!A17</f>
        <v>Salt Creek SD 48</v>
      </c>
      <c r="D6" s="2297"/>
      <c r="E6" s="2297"/>
      <c r="F6" s="1755"/>
    </row>
    <row r="7" spans="1:10" ht="11.25" customHeight="1" thickBot="1" x14ac:dyDescent="0.3">
      <c r="A7" s="1753"/>
      <c r="B7" s="1754"/>
      <c r="C7" s="2298">
        <f>COVER!A13</f>
        <v>19022048002</v>
      </c>
      <c r="D7" s="2298"/>
      <c r="E7" s="2298"/>
      <c r="F7" s="1755"/>
    </row>
    <row r="8" spans="1:10" ht="25.5" customHeight="1" thickBot="1" x14ac:dyDescent="0.25">
      <c r="A8" s="1795" t="s">
        <v>1882</v>
      </c>
      <c r="B8" s="1756"/>
      <c r="C8" s="1791" t="s">
        <v>1675</v>
      </c>
      <c r="D8" s="1790" t="s">
        <v>1676</v>
      </c>
      <c r="E8" s="1792" t="s">
        <v>1378</v>
      </c>
      <c r="F8" s="1790" t="s">
        <v>1677</v>
      </c>
      <c r="H8" s="1757" t="b">
        <v>0</v>
      </c>
    </row>
    <row r="9" spans="1:10" ht="15.75" customHeight="1" x14ac:dyDescent="0.2">
      <c r="A9" s="1758" t="s">
        <v>1540</v>
      </c>
      <c r="B9" s="1759"/>
      <c r="C9" s="1760"/>
      <c r="D9" s="1760"/>
      <c r="E9" s="1761"/>
      <c r="F9" s="1762"/>
    </row>
    <row r="10" spans="1:10" ht="27.75" customHeight="1" x14ac:dyDescent="0.2">
      <c r="A10" s="1763" t="s">
        <v>1674</v>
      </c>
      <c r="B10" s="1764"/>
      <c r="C10" s="1765"/>
      <c r="D10" s="1765"/>
      <c r="E10" s="1793" t="s">
        <v>1379</v>
      </c>
      <c r="F10" s="1794" t="s">
        <v>1380</v>
      </c>
    </row>
    <row r="11" spans="1:10" ht="12" customHeight="1" x14ac:dyDescent="0.2">
      <c r="A11" s="1766" t="s">
        <v>1381</v>
      </c>
      <c r="B11" s="1767"/>
      <c r="C11" s="1899" t="s">
        <v>2038</v>
      </c>
      <c r="D11" s="1899" t="s">
        <v>2038</v>
      </c>
      <c r="E11" s="1899" t="s">
        <v>2038</v>
      </c>
      <c r="F11" s="1900" t="s">
        <v>2104</v>
      </c>
      <c r="H11" s="1780">
        <f>IF(C11="X",5,0)</f>
        <v>5</v>
      </c>
      <c r="I11" s="1780">
        <f>IF(D11="X",5,0)</f>
        <v>5</v>
      </c>
      <c r="J11" s="1780">
        <f>IF(E11="X",5,0)</f>
        <v>5</v>
      </c>
    </row>
    <row r="12" spans="1:10" ht="12" customHeight="1" x14ac:dyDescent="0.2">
      <c r="A12" s="1766" t="s">
        <v>1382</v>
      </c>
      <c r="B12" s="1767"/>
      <c r="C12" s="1899" t="s">
        <v>2038</v>
      </c>
      <c r="D12" s="1899" t="s">
        <v>2038</v>
      </c>
      <c r="E12" s="1899" t="s">
        <v>2038</v>
      </c>
      <c r="F12" s="1900" t="s">
        <v>2092</v>
      </c>
      <c r="H12" s="1780">
        <f t="shared" ref="H12:H33" si="0">IF(C12="X",5,0)</f>
        <v>5</v>
      </c>
      <c r="I12" s="1780">
        <f t="shared" ref="I12:I33" si="1">IF(D12="X",5,0)</f>
        <v>5</v>
      </c>
      <c r="J12" s="1780">
        <f t="shared" ref="J12:J33" si="2">IF(E12="X",5,0)</f>
        <v>5</v>
      </c>
    </row>
    <row r="13" spans="1:10" ht="12" customHeight="1" x14ac:dyDescent="0.2">
      <c r="A13" s="1766" t="s">
        <v>1383</v>
      </c>
      <c r="B13" s="1767"/>
      <c r="C13" s="1899" t="s">
        <v>2038</v>
      </c>
      <c r="D13" s="1899" t="s">
        <v>2038</v>
      </c>
      <c r="E13" s="1899" t="s">
        <v>2038</v>
      </c>
      <c r="F13" s="1900" t="s">
        <v>2105</v>
      </c>
      <c r="H13" s="1780">
        <f t="shared" si="0"/>
        <v>5</v>
      </c>
      <c r="I13" s="1780">
        <f t="shared" si="1"/>
        <v>5</v>
      </c>
      <c r="J13" s="1780">
        <f t="shared" si="2"/>
        <v>5</v>
      </c>
    </row>
    <row r="14" spans="1:10" ht="12" customHeight="1" x14ac:dyDescent="0.2">
      <c r="A14" s="1766" t="s">
        <v>1384</v>
      </c>
      <c r="B14" s="1767"/>
      <c r="C14" s="1899" t="s">
        <v>2038</v>
      </c>
      <c r="D14" s="1899" t="s">
        <v>2038</v>
      </c>
      <c r="E14" s="1899" t="s">
        <v>2038</v>
      </c>
      <c r="F14" s="1900" t="s">
        <v>2106</v>
      </c>
      <c r="H14" s="1780">
        <f t="shared" si="0"/>
        <v>5</v>
      </c>
      <c r="I14" s="1780">
        <f t="shared" si="1"/>
        <v>5</v>
      </c>
      <c r="J14" s="1780">
        <f t="shared" si="2"/>
        <v>5</v>
      </c>
    </row>
    <row r="15" spans="1:10" ht="12" customHeight="1" x14ac:dyDescent="0.2">
      <c r="A15" s="1766" t="s">
        <v>1385</v>
      </c>
      <c r="B15" s="1767"/>
      <c r="C15" s="1899" t="s">
        <v>2038</v>
      </c>
      <c r="D15" s="1899" t="s">
        <v>2038</v>
      </c>
      <c r="E15" s="1899" t="s">
        <v>2038</v>
      </c>
      <c r="F15" s="1900" t="s">
        <v>2107</v>
      </c>
      <c r="H15" s="1780">
        <f t="shared" si="0"/>
        <v>5</v>
      </c>
      <c r="I15" s="1780">
        <f t="shared" si="1"/>
        <v>5</v>
      </c>
      <c r="J15" s="1780">
        <f t="shared" si="2"/>
        <v>5</v>
      </c>
    </row>
    <row r="16" spans="1:10" ht="12" customHeight="1" x14ac:dyDescent="0.2">
      <c r="A16" s="1766" t="s">
        <v>1386</v>
      </c>
      <c r="B16" s="1767"/>
      <c r="C16" s="1899" t="s">
        <v>2038</v>
      </c>
      <c r="D16" s="1899" t="s">
        <v>2038</v>
      </c>
      <c r="E16" s="1899" t="s">
        <v>2038</v>
      </c>
      <c r="F16" s="1900" t="s">
        <v>2108</v>
      </c>
      <c r="H16" s="1780">
        <f t="shared" si="0"/>
        <v>5</v>
      </c>
      <c r="I16" s="1780">
        <f t="shared" si="1"/>
        <v>5</v>
      </c>
      <c r="J16" s="1780">
        <f t="shared" si="2"/>
        <v>5</v>
      </c>
    </row>
    <row r="17" spans="1:12" ht="12" customHeight="1" x14ac:dyDescent="0.2">
      <c r="A17" s="1766" t="s">
        <v>1387</v>
      </c>
      <c r="B17" s="1767"/>
      <c r="C17" s="1899"/>
      <c r="D17" s="1899"/>
      <c r="E17" s="1899"/>
      <c r="F17" s="1900"/>
      <c r="H17" s="1780">
        <f t="shared" si="0"/>
        <v>0</v>
      </c>
      <c r="I17" s="1780">
        <f t="shared" si="1"/>
        <v>0</v>
      </c>
      <c r="J17" s="1780">
        <f t="shared" si="2"/>
        <v>0</v>
      </c>
    </row>
    <row r="18" spans="1:12" ht="12" customHeight="1" x14ac:dyDescent="0.2">
      <c r="A18" s="1766" t="s">
        <v>1388</v>
      </c>
      <c r="B18" s="1767"/>
      <c r="C18" s="1899" t="s">
        <v>2038</v>
      </c>
      <c r="D18" s="1899" t="s">
        <v>2038</v>
      </c>
      <c r="E18" s="1899" t="s">
        <v>2038</v>
      </c>
      <c r="F18" s="1900" t="s">
        <v>2109</v>
      </c>
      <c r="H18" s="1780">
        <f t="shared" si="0"/>
        <v>5</v>
      </c>
      <c r="I18" s="1780">
        <f t="shared" si="1"/>
        <v>5</v>
      </c>
      <c r="J18" s="1780">
        <f t="shared" si="2"/>
        <v>5</v>
      </c>
    </row>
    <row r="19" spans="1:12" ht="12" customHeight="1" x14ac:dyDescent="0.2">
      <c r="A19" s="1766" t="s">
        <v>1525</v>
      </c>
      <c r="B19" s="1767"/>
      <c r="C19" s="1899" t="s">
        <v>2038</v>
      </c>
      <c r="D19" s="1899" t="s">
        <v>2038</v>
      </c>
      <c r="E19" s="1899" t="s">
        <v>2038</v>
      </c>
      <c r="F19" s="1901" t="s">
        <v>2110</v>
      </c>
      <c r="H19" s="1780">
        <f t="shared" si="0"/>
        <v>5</v>
      </c>
      <c r="I19" s="1780">
        <f t="shared" si="1"/>
        <v>5</v>
      </c>
      <c r="J19" s="1780">
        <f t="shared" si="2"/>
        <v>5</v>
      </c>
    </row>
    <row r="20" spans="1:12" ht="12" customHeight="1" x14ac:dyDescent="0.2">
      <c r="A20" s="1766" t="s">
        <v>1526</v>
      </c>
      <c r="B20" s="1767"/>
      <c r="C20" s="1899" t="s">
        <v>2038</v>
      </c>
      <c r="D20" s="1899" t="s">
        <v>2038</v>
      </c>
      <c r="E20" s="1899" t="s">
        <v>2038</v>
      </c>
      <c r="F20" s="1900" t="s">
        <v>2111</v>
      </c>
      <c r="H20" s="1780">
        <f t="shared" si="0"/>
        <v>5</v>
      </c>
      <c r="I20" s="1780">
        <f t="shared" si="1"/>
        <v>5</v>
      </c>
      <c r="J20" s="1780">
        <f t="shared" si="2"/>
        <v>5</v>
      </c>
    </row>
    <row r="21" spans="1:12" ht="12" customHeight="1" x14ac:dyDescent="0.2">
      <c r="A21" s="1766" t="s">
        <v>1527</v>
      </c>
      <c r="B21" s="1767"/>
      <c r="C21" s="1899" t="s">
        <v>2038</v>
      </c>
      <c r="D21" s="1899" t="s">
        <v>2038</v>
      </c>
      <c r="E21" s="1899" t="s">
        <v>2038</v>
      </c>
      <c r="F21" s="1902" t="s">
        <v>2112</v>
      </c>
      <c r="H21" s="1780">
        <f t="shared" si="0"/>
        <v>5</v>
      </c>
      <c r="I21" s="1780">
        <f t="shared" si="1"/>
        <v>5</v>
      </c>
      <c r="J21" s="1780">
        <f t="shared" si="2"/>
        <v>5</v>
      </c>
    </row>
    <row r="22" spans="1:12" ht="12" customHeight="1" x14ac:dyDescent="0.2">
      <c r="A22" s="1766" t="s">
        <v>1528</v>
      </c>
      <c r="B22" s="1767"/>
      <c r="C22" s="1899"/>
      <c r="D22" s="1899"/>
      <c r="E22" s="1899"/>
      <c r="F22" s="1900"/>
      <c r="H22" s="1780">
        <f t="shared" si="0"/>
        <v>0</v>
      </c>
      <c r="I22" s="1780">
        <f t="shared" si="1"/>
        <v>0</v>
      </c>
      <c r="J22" s="1780">
        <f t="shared" si="2"/>
        <v>0</v>
      </c>
    </row>
    <row r="23" spans="1:12" ht="12" customHeight="1" x14ac:dyDescent="0.2">
      <c r="A23" s="1766" t="s">
        <v>1529</v>
      </c>
      <c r="B23" s="1767"/>
      <c r="C23" s="1899"/>
      <c r="D23" s="1899"/>
      <c r="E23" s="1899"/>
      <c r="F23" s="1900"/>
      <c r="H23" s="1780">
        <f t="shared" si="0"/>
        <v>0</v>
      </c>
      <c r="I23" s="1780">
        <f t="shared" si="1"/>
        <v>0</v>
      </c>
      <c r="J23" s="1780">
        <f t="shared" si="2"/>
        <v>0</v>
      </c>
    </row>
    <row r="24" spans="1:12" ht="12" customHeight="1" x14ac:dyDescent="0.2">
      <c r="A24" s="1766" t="s">
        <v>1530</v>
      </c>
      <c r="B24" s="1767"/>
      <c r="C24" s="1899" t="s">
        <v>2038</v>
      </c>
      <c r="D24" s="1899" t="s">
        <v>2038</v>
      </c>
      <c r="E24" s="1899" t="s">
        <v>2038</v>
      </c>
      <c r="F24" s="1900" t="s">
        <v>2113</v>
      </c>
      <c r="H24" s="1780">
        <f t="shared" si="0"/>
        <v>5</v>
      </c>
      <c r="I24" s="1780">
        <f t="shared" si="1"/>
        <v>5</v>
      </c>
      <c r="J24" s="1780">
        <f t="shared" si="2"/>
        <v>5</v>
      </c>
    </row>
    <row r="25" spans="1:12" ht="12" customHeight="1" x14ac:dyDescent="0.2">
      <c r="A25" s="1766" t="s">
        <v>1531</v>
      </c>
      <c r="B25" s="1767"/>
      <c r="C25" s="1899" t="s">
        <v>2038</v>
      </c>
      <c r="D25" s="1899" t="s">
        <v>2038</v>
      </c>
      <c r="E25" s="1899" t="s">
        <v>2038</v>
      </c>
      <c r="F25" s="1900" t="s">
        <v>2105</v>
      </c>
      <c r="H25" s="1780">
        <f t="shared" si="0"/>
        <v>5</v>
      </c>
      <c r="I25" s="1780">
        <f t="shared" si="1"/>
        <v>5</v>
      </c>
      <c r="J25" s="1780">
        <f t="shared" si="2"/>
        <v>5</v>
      </c>
    </row>
    <row r="26" spans="1:12" ht="12" customHeight="1" x14ac:dyDescent="0.2">
      <c r="A26" s="1766" t="s">
        <v>1532</v>
      </c>
      <c r="B26" s="1767"/>
      <c r="C26" s="1899" t="s">
        <v>2038</v>
      </c>
      <c r="D26" s="1899" t="s">
        <v>2038</v>
      </c>
      <c r="E26" s="1899" t="s">
        <v>2038</v>
      </c>
      <c r="F26" s="1900" t="s">
        <v>2105</v>
      </c>
      <c r="H26" s="1780">
        <f t="shared" si="0"/>
        <v>5</v>
      </c>
      <c r="I26" s="1780">
        <f t="shared" si="1"/>
        <v>5</v>
      </c>
      <c r="J26" s="1780">
        <f t="shared" si="2"/>
        <v>5</v>
      </c>
    </row>
    <row r="27" spans="1:12" x14ac:dyDescent="0.2">
      <c r="A27" s="1766" t="s">
        <v>1533</v>
      </c>
      <c r="B27" s="1767"/>
      <c r="C27" s="1899"/>
      <c r="D27" s="1899"/>
      <c r="E27" s="1899"/>
      <c r="F27" s="1900"/>
      <c r="H27" s="1780">
        <f t="shared" si="0"/>
        <v>0</v>
      </c>
      <c r="I27" s="1780">
        <f t="shared" si="1"/>
        <v>0</v>
      </c>
      <c r="J27" s="1780">
        <f t="shared" si="2"/>
        <v>0</v>
      </c>
    </row>
    <row r="28" spans="1:12" ht="12" customHeight="1" x14ac:dyDescent="0.2">
      <c r="A28" s="1766" t="s">
        <v>1534</v>
      </c>
      <c r="B28" s="1767"/>
      <c r="C28" s="1899" t="s">
        <v>2038</v>
      </c>
      <c r="D28" s="1899" t="s">
        <v>2038</v>
      </c>
      <c r="E28" s="1899" t="s">
        <v>2038</v>
      </c>
      <c r="F28" s="1900" t="s">
        <v>2114</v>
      </c>
      <c r="H28" s="1780">
        <f t="shared" si="0"/>
        <v>5</v>
      </c>
      <c r="I28" s="1780">
        <f t="shared" si="1"/>
        <v>5</v>
      </c>
      <c r="J28" s="1780">
        <f t="shared" si="2"/>
        <v>5</v>
      </c>
    </row>
    <row r="29" spans="1:12" ht="12" customHeight="1" x14ac:dyDescent="0.2">
      <c r="A29" s="1766" t="s">
        <v>1535</v>
      </c>
      <c r="B29" s="1767"/>
      <c r="C29" s="1899" t="s">
        <v>2038</v>
      </c>
      <c r="D29" s="1899" t="s">
        <v>2038</v>
      </c>
      <c r="E29" s="1899" t="s">
        <v>2038</v>
      </c>
      <c r="F29" s="1900" t="s">
        <v>2115</v>
      </c>
      <c r="H29" s="1780">
        <f t="shared" si="0"/>
        <v>5</v>
      </c>
      <c r="I29" s="1780">
        <f t="shared" si="1"/>
        <v>5</v>
      </c>
      <c r="J29" s="1780">
        <f t="shared" si="2"/>
        <v>5</v>
      </c>
    </row>
    <row r="30" spans="1:12" ht="12" customHeight="1" x14ac:dyDescent="0.2">
      <c r="A30" s="1766" t="s">
        <v>1536</v>
      </c>
      <c r="B30" s="1767"/>
      <c r="C30" s="1899" t="s">
        <v>2038</v>
      </c>
      <c r="D30" s="1899" t="s">
        <v>2038</v>
      </c>
      <c r="E30" s="1899" t="s">
        <v>2038</v>
      </c>
      <c r="F30" s="1900" t="s">
        <v>2116</v>
      </c>
      <c r="H30" s="1780">
        <f t="shared" si="0"/>
        <v>5</v>
      </c>
      <c r="I30" s="1780">
        <f t="shared" si="1"/>
        <v>5</v>
      </c>
      <c r="J30" s="1780">
        <f t="shared" si="2"/>
        <v>5</v>
      </c>
    </row>
    <row r="31" spans="1:12" ht="12" customHeight="1" x14ac:dyDescent="0.2">
      <c r="A31" s="1766" t="s">
        <v>1537</v>
      </c>
      <c r="B31" s="1767"/>
      <c r="C31" s="1899"/>
      <c r="D31" s="1899"/>
      <c r="E31" s="1899"/>
      <c r="F31" s="1900"/>
      <c r="H31" s="1780">
        <f t="shared" si="0"/>
        <v>0</v>
      </c>
      <c r="I31" s="1780">
        <f t="shared" si="1"/>
        <v>0</v>
      </c>
      <c r="J31" s="1780">
        <f t="shared" si="2"/>
        <v>0</v>
      </c>
      <c r="L31" s="1771"/>
    </row>
    <row r="32" spans="1:12" ht="12" customHeight="1" x14ac:dyDescent="0.2">
      <c r="A32" s="1766" t="s">
        <v>1538</v>
      </c>
      <c r="B32" s="1767"/>
      <c r="C32" s="1899" t="s">
        <v>2038</v>
      </c>
      <c r="D32" s="1899" t="s">
        <v>2038</v>
      </c>
      <c r="E32" s="1899" t="s">
        <v>2038</v>
      </c>
      <c r="F32" s="1900" t="s">
        <v>2117</v>
      </c>
      <c r="H32" s="1780">
        <f t="shared" si="0"/>
        <v>5</v>
      </c>
      <c r="I32" s="1780">
        <f t="shared" si="1"/>
        <v>5</v>
      </c>
      <c r="J32" s="1780">
        <f t="shared" si="2"/>
        <v>5</v>
      </c>
    </row>
    <row r="33" spans="1:11" ht="12" customHeight="1" x14ac:dyDescent="0.2">
      <c r="A33" s="1766" t="s">
        <v>1539</v>
      </c>
      <c r="B33" s="1767"/>
      <c r="C33" s="1768"/>
      <c r="D33" s="1768"/>
      <c r="E33" s="1770"/>
      <c r="F33" s="1769"/>
      <c r="H33" s="1780">
        <f t="shared" si="0"/>
        <v>0</v>
      </c>
      <c r="I33" s="1780">
        <f t="shared" si="1"/>
        <v>0</v>
      </c>
      <c r="J33" s="1780">
        <f t="shared" si="2"/>
        <v>0</v>
      </c>
    </row>
    <row r="34" spans="1:11" ht="12" customHeight="1" x14ac:dyDescent="0.25">
      <c r="A34" s="1772"/>
      <c r="B34" s="1772"/>
      <c r="C34" s="1772"/>
      <c r="D34" s="1772"/>
      <c r="E34" s="1772"/>
      <c r="F34" s="1772"/>
      <c r="H34" s="1780">
        <f>SUM(H11:H32)</f>
        <v>85</v>
      </c>
      <c r="I34" s="1780">
        <f>SUM(I11:I32)</f>
        <v>85</v>
      </c>
      <c r="J34" s="1780">
        <f>SUM(J11:J32)</f>
        <v>85</v>
      </c>
      <c r="K34" s="1780">
        <f>SUM(H34:J34)</f>
        <v>255</v>
      </c>
    </row>
    <row r="35" spans="1:11" ht="12" customHeight="1" x14ac:dyDescent="0.2">
      <c r="A35" s="1773" t="s">
        <v>1390</v>
      </c>
      <c r="B35" s="1774"/>
      <c r="C35" s="2299"/>
      <c r="D35" s="2299"/>
      <c r="E35" s="2299"/>
      <c r="F35" s="2300"/>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304"/>
      <c r="B38" s="2305"/>
      <c r="C38" s="2305"/>
      <c r="D38" s="2305"/>
      <c r="E38" s="2305"/>
      <c r="F38" s="2306"/>
    </row>
    <row r="39" spans="1:11" ht="4.5" hidden="1" customHeight="1" x14ac:dyDescent="0.2">
      <c r="A39" s="1775"/>
      <c r="B39" s="1775"/>
      <c r="C39" s="1775"/>
      <c r="D39" s="1775"/>
      <c r="E39" s="1775"/>
      <c r="F39" s="1775"/>
    </row>
    <row r="40" spans="1:11" s="1772" customFormat="1" ht="12" customHeight="1" x14ac:dyDescent="0.25">
      <c r="A40" s="1776" t="s">
        <v>1389</v>
      </c>
      <c r="B40" s="1777"/>
      <c r="C40" s="2307"/>
      <c r="D40" s="2307"/>
      <c r="E40" s="2307"/>
      <c r="F40" s="2308"/>
      <c r="H40" s="1781"/>
      <c r="I40" s="1781"/>
      <c r="J40" s="1781"/>
      <c r="K40" s="1781"/>
    </row>
    <row r="41" spans="1:11" s="1772" customFormat="1" ht="12" customHeight="1" x14ac:dyDescent="0.25">
      <c r="A41" s="2309"/>
      <c r="B41" s="2310"/>
      <c r="C41" s="2310"/>
      <c r="D41" s="2310"/>
      <c r="E41" s="2310"/>
      <c r="F41" s="2311"/>
      <c r="H41" s="1781"/>
      <c r="I41" s="1781"/>
      <c r="J41" s="1781"/>
      <c r="K41" s="1781"/>
    </row>
    <row r="42" spans="1:11" s="1772" customFormat="1" ht="12" customHeight="1" x14ac:dyDescent="0.25">
      <c r="A42" s="2309"/>
      <c r="B42" s="2310"/>
      <c r="C42" s="2310"/>
      <c r="D42" s="2310"/>
      <c r="E42" s="2310"/>
      <c r="F42" s="2311"/>
      <c r="H42" s="1781"/>
      <c r="I42" s="1781"/>
      <c r="J42" s="1781"/>
      <c r="K42" s="1781"/>
    </row>
    <row r="43" spans="1:11" s="1772" customFormat="1" ht="15" x14ac:dyDescent="0.25">
      <c r="A43" s="2301"/>
      <c r="B43" s="2302"/>
      <c r="C43" s="2302"/>
      <c r="D43" s="2302"/>
      <c r="E43" s="2302"/>
      <c r="F43" s="2303"/>
      <c r="H43" s="1781"/>
      <c r="I43" s="1781"/>
      <c r="J43" s="1781"/>
      <c r="K43" s="1781"/>
    </row>
    <row r="44" spans="1:11" s="1772" customFormat="1" ht="12" hidden="1" customHeight="1" x14ac:dyDescent="0.25">
      <c r="A44" s="2301"/>
      <c r="B44" s="2302"/>
      <c r="C44" s="2302"/>
      <c r="D44" s="2302"/>
      <c r="E44" s="2302"/>
      <c r="F44" s="2303"/>
      <c r="H44" s="1781"/>
      <c r="I44" s="1781"/>
      <c r="J44" s="1781"/>
      <c r="K44" s="1781"/>
    </row>
    <row r="45" spans="1:11" s="1772" customFormat="1" ht="12" customHeight="1" x14ac:dyDescent="0.25">
      <c r="H45" s="1781"/>
      <c r="I45" s="1781"/>
      <c r="J45" s="1781"/>
      <c r="K45" s="1781"/>
    </row>
    <row r="46" spans="1:11" s="1772" customFormat="1" ht="9.75" customHeight="1" x14ac:dyDescent="0.25">
      <c r="H46" s="1781"/>
      <c r="I46" s="1781"/>
      <c r="J46" s="1781"/>
      <c r="K46" s="1781"/>
    </row>
    <row r="47" spans="1:11" s="1772" customFormat="1" ht="13.5" customHeight="1" x14ac:dyDescent="0.25">
      <c r="H47" s="1781"/>
      <c r="I47" s="1781"/>
      <c r="J47" s="1781"/>
      <c r="K47" s="1781"/>
    </row>
    <row r="48" spans="1:11" s="1772" customFormat="1" ht="15" x14ac:dyDescent="0.25">
      <c r="H48" s="1781"/>
      <c r="I48" s="1781"/>
      <c r="J48" s="1781"/>
      <c r="K48" s="1781"/>
    </row>
    <row r="49" spans="1:11" s="1772" customFormat="1" ht="15" hidden="1" x14ac:dyDescent="0.25">
      <c r="A49" s="1772" t="b">
        <v>0</v>
      </c>
      <c r="H49" s="1781"/>
      <c r="I49" s="1781"/>
      <c r="J49" s="1781"/>
      <c r="K49" s="1781"/>
    </row>
    <row r="50" spans="1:11" s="1772" customFormat="1" ht="15" x14ac:dyDescent="0.25">
      <c r="H50" s="1781"/>
      <c r="I50" s="1781"/>
      <c r="J50" s="1781"/>
      <c r="K50" s="1781"/>
    </row>
    <row r="51" spans="1:11" s="1772" customFormat="1" ht="15" x14ac:dyDescent="0.25">
      <c r="H51" s="1781"/>
      <c r="I51" s="1781"/>
      <c r="J51" s="1781"/>
      <c r="K51" s="1781"/>
    </row>
    <row r="52" spans="1:11" s="1772" customFormat="1" ht="15" x14ac:dyDescent="0.25">
      <c r="H52" s="1781"/>
      <c r="I52" s="1781"/>
      <c r="J52" s="1781"/>
      <c r="K52" s="1781"/>
    </row>
    <row r="53" spans="1:11" s="1772" customFormat="1" ht="15" x14ac:dyDescent="0.25">
      <c r="H53" s="1781"/>
      <c r="I53" s="1781"/>
      <c r="J53" s="1781"/>
      <c r="K53" s="1781"/>
    </row>
    <row r="54" spans="1:11" s="1772" customFormat="1" ht="15" x14ac:dyDescent="0.25">
      <c r="H54" s="1781"/>
      <c r="I54" s="1781"/>
      <c r="J54" s="1781"/>
      <c r="K54" s="1781"/>
    </row>
    <row r="55" spans="1:11" s="1772" customFormat="1" ht="15" x14ac:dyDescent="0.25">
      <c r="H55" s="1781"/>
      <c r="I55" s="1781"/>
      <c r="J55" s="1781"/>
      <c r="K55" s="1781"/>
    </row>
    <row r="56" spans="1:11" s="1772" customFormat="1" ht="15" x14ac:dyDescent="0.25">
      <c r="H56" s="1781"/>
      <c r="I56" s="1781"/>
      <c r="J56" s="1781"/>
      <c r="K56" s="1781"/>
    </row>
    <row r="57" spans="1:11" s="1772" customFormat="1" ht="15" x14ac:dyDescent="0.25">
      <c r="H57" s="1781"/>
      <c r="I57" s="1781"/>
      <c r="J57" s="1781"/>
      <c r="K57" s="1781"/>
    </row>
    <row r="58" spans="1:11" s="1772" customFormat="1" ht="15" x14ac:dyDescent="0.25">
      <c r="H58" s="1781"/>
      <c r="I58" s="1781"/>
      <c r="J58" s="1781"/>
      <c r="K58" s="1781"/>
    </row>
    <row r="59" spans="1:11" s="1772" customFormat="1" ht="15" x14ac:dyDescent="0.25">
      <c r="H59" s="1781"/>
      <c r="I59" s="1781"/>
      <c r="J59" s="1781"/>
      <c r="K59" s="1781"/>
    </row>
    <row r="60" spans="1:11" s="1772" customFormat="1" ht="15" x14ac:dyDescent="0.25">
      <c r="H60" s="1781"/>
      <c r="I60" s="1781"/>
      <c r="J60" s="1781"/>
      <c r="K60" s="1781"/>
    </row>
    <row r="61" spans="1:11" s="1772" customFormat="1" ht="15" x14ac:dyDescent="0.25">
      <c r="H61" s="1781"/>
      <c r="I61" s="1781"/>
      <c r="J61" s="1781"/>
      <c r="K61" s="1781"/>
    </row>
    <row r="62" spans="1:11" s="1772" customFormat="1" ht="15" x14ac:dyDescent="0.25">
      <c r="H62" s="1781"/>
      <c r="I62" s="1781"/>
      <c r="J62" s="1781"/>
      <c r="K62" s="1781"/>
    </row>
    <row r="63" spans="1:11" s="1772" customFormat="1" ht="15" x14ac:dyDescent="0.25">
      <c r="H63" s="1781"/>
      <c r="I63" s="1781"/>
      <c r="J63" s="1781"/>
      <c r="K63" s="1781"/>
    </row>
    <row r="64" spans="1:11" s="1772" customFormat="1" ht="15" x14ac:dyDescent="0.25">
      <c r="H64" s="1781"/>
      <c r="I64" s="1781"/>
      <c r="J64" s="1781"/>
      <c r="K64" s="1781"/>
    </row>
    <row r="65" spans="8:11" s="1772" customFormat="1" ht="15" x14ac:dyDescent="0.25">
      <c r="H65" s="1781"/>
      <c r="I65" s="1781"/>
      <c r="J65" s="1781"/>
      <c r="K65" s="1781"/>
    </row>
    <row r="66" spans="8:11" s="1772" customFormat="1" ht="15" x14ac:dyDescent="0.25">
      <c r="H66" s="1781"/>
      <c r="I66" s="1781"/>
      <c r="J66" s="1781"/>
      <c r="K66" s="1781"/>
    </row>
    <row r="67" spans="8:11" s="1772" customFormat="1" ht="15" x14ac:dyDescent="0.25">
      <c r="H67" s="1781"/>
      <c r="I67" s="1781"/>
      <c r="J67" s="1781"/>
      <c r="K67" s="1781"/>
    </row>
    <row r="68" spans="8:11" s="1772" customFormat="1" ht="15" x14ac:dyDescent="0.25">
      <c r="H68" s="1781"/>
      <c r="I68" s="1781"/>
      <c r="J68" s="1781"/>
      <c r="K68" s="1781"/>
    </row>
    <row r="69" spans="8:11" s="1772" customFormat="1" ht="15" x14ac:dyDescent="0.25">
      <c r="H69" s="1781"/>
      <c r="I69" s="1781"/>
      <c r="J69" s="1781"/>
      <c r="K69" s="1781"/>
    </row>
    <row r="70" spans="8:11" s="1772" customFormat="1" ht="15" x14ac:dyDescent="0.25">
      <c r="H70" s="1781"/>
      <c r="I70" s="1781"/>
      <c r="J70" s="1781"/>
      <c r="K70" s="1781"/>
    </row>
    <row r="71" spans="8:11" s="1772" customFormat="1" ht="15" x14ac:dyDescent="0.25">
      <c r="H71" s="1781"/>
      <c r="I71" s="1781"/>
      <c r="J71" s="1781"/>
      <c r="K71" s="1781"/>
    </row>
    <row r="72" spans="8:11" s="1772" customFormat="1" ht="15" x14ac:dyDescent="0.25">
      <c r="H72" s="1781"/>
      <c r="I72" s="1781"/>
      <c r="J72" s="1781"/>
      <c r="K72" s="1781"/>
    </row>
    <row r="73" spans="8:11" s="1772" customFormat="1" ht="15" x14ac:dyDescent="0.25">
      <c r="H73" s="1781"/>
      <c r="I73" s="1781"/>
      <c r="J73" s="1781"/>
      <c r="K73" s="1781"/>
    </row>
    <row r="74" spans="8:11" s="1772" customFormat="1" ht="15" x14ac:dyDescent="0.25">
      <c r="H74" s="1781"/>
      <c r="I74" s="1781"/>
      <c r="J74" s="1781"/>
      <c r="K74" s="1781"/>
    </row>
    <row r="75" spans="8:11" s="1772" customFormat="1" ht="15" x14ac:dyDescent="0.25">
      <c r="H75" s="1781"/>
      <c r="I75" s="1781"/>
      <c r="J75" s="1781"/>
      <c r="K75" s="1781"/>
    </row>
    <row r="76" spans="8:11" s="1772" customFormat="1" ht="15" x14ac:dyDescent="0.25">
      <c r="H76" s="1781"/>
      <c r="I76" s="1781"/>
      <c r="J76" s="1781"/>
      <c r="K76" s="1781"/>
    </row>
    <row r="77" spans="8:11" s="1772" customFormat="1" ht="15" x14ac:dyDescent="0.25">
      <c r="H77" s="1781"/>
      <c r="I77" s="1781"/>
      <c r="J77" s="1781"/>
      <c r="K77" s="1781"/>
    </row>
    <row r="78" spans="8:11" s="1772" customFormat="1" ht="15" x14ac:dyDescent="0.25">
      <c r="H78" s="1781"/>
      <c r="I78" s="1781"/>
      <c r="J78" s="1781"/>
      <c r="K78" s="1781"/>
    </row>
    <row r="79" spans="8:11" s="1772" customFormat="1" ht="15" x14ac:dyDescent="0.25">
      <c r="H79" s="1781"/>
      <c r="I79" s="1781"/>
      <c r="J79" s="1781"/>
      <c r="K79" s="1781"/>
    </row>
    <row r="80" spans="8:11" s="1772" customFormat="1" ht="15" x14ac:dyDescent="0.25">
      <c r="H80" s="1781"/>
      <c r="I80" s="1781"/>
      <c r="J80" s="1781"/>
      <c r="K80" s="1781"/>
    </row>
    <row r="81" spans="8:11" s="1772" customFormat="1" ht="15" x14ac:dyDescent="0.25">
      <c r="H81" s="1781"/>
      <c r="I81" s="1781"/>
      <c r="J81" s="1781"/>
      <c r="K81" s="1781"/>
    </row>
    <row r="82" spans="8:11" s="1772" customFormat="1" ht="15" x14ac:dyDescent="0.25">
      <c r="H82" s="1781"/>
      <c r="I82" s="1781"/>
      <c r="J82" s="1781"/>
      <c r="K82" s="1781"/>
    </row>
    <row r="83" spans="8:11" s="1772" customFormat="1" ht="15" x14ac:dyDescent="0.25">
      <c r="H83" s="1781"/>
      <c r="I83" s="1781"/>
      <c r="J83" s="1781"/>
      <c r="K83" s="1781"/>
    </row>
    <row r="84" spans="8:11" s="1772" customFormat="1" ht="15" x14ac:dyDescent="0.25">
      <c r="H84" s="1781"/>
      <c r="I84" s="1781"/>
      <c r="J84" s="1781"/>
      <c r="K84" s="1781"/>
    </row>
    <row r="85" spans="8:11" s="1772" customFormat="1" ht="15" x14ac:dyDescent="0.25">
      <c r="H85" s="1781"/>
      <c r="I85" s="1781"/>
      <c r="J85" s="1781"/>
      <c r="K85" s="1781"/>
    </row>
    <row r="86" spans="8:11" s="1772" customFormat="1" ht="15" x14ac:dyDescent="0.25">
      <c r="H86" s="1781"/>
      <c r="I86" s="1781"/>
      <c r="J86" s="1781"/>
      <c r="K86" s="1781"/>
    </row>
    <row r="87" spans="8:11" s="1772" customFormat="1" ht="15" x14ac:dyDescent="0.25">
      <c r="H87" s="1781"/>
      <c r="I87" s="1781"/>
      <c r="J87" s="1781"/>
      <c r="K87" s="1781"/>
    </row>
    <row r="88" spans="8:11" s="1772" customFormat="1" ht="15" x14ac:dyDescent="0.25">
      <c r="H88" s="1781"/>
      <c r="I88" s="1781"/>
      <c r="J88" s="1781"/>
      <c r="K88" s="1781"/>
    </row>
    <row r="89" spans="8:11" s="1772" customFormat="1" ht="15" x14ac:dyDescent="0.25">
      <c r="H89" s="1781"/>
      <c r="I89" s="1781"/>
      <c r="J89" s="1781"/>
      <c r="K89" s="1781"/>
    </row>
    <row r="90" spans="8:11" s="1772" customFormat="1" ht="15" x14ac:dyDescent="0.25">
      <c r="H90" s="1781"/>
      <c r="I90" s="1781"/>
      <c r="J90" s="1781"/>
      <c r="K90" s="1781"/>
    </row>
    <row r="91" spans="8:11" s="1772" customFormat="1" ht="15" x14ac:dyDescent="0.25">
      <c r="H91" s="1781"/>
      <c r="I91" s="1781"/>
      <c r="J91" s="1781"/>
      <c r="K91" s="1781"/>
    </row>
    <row r="92" spans="8:11" s="1772" customFormat="1" ht="15" x14ac:dyDescent="0.25">
      <c r="H92" s="1781"/>
      <c r="I92" s="1781"/>
      <c r="J92" s="1781"/>
      <c r="K92" s="1781"/>
    </row>
    <row r="93" spans="8:11" s="1772" customFormat="1" ht="15" x14ac:dyDescent="0.25">
      <c r="H93" s="1781"/>
      <c r="I93" s="1781"/>
      <c r="J93" s="1781"/>
      <c r="K93" s="1781"/>
    </row>
    <row r="94" spans="8:11" s="1772" customFormat="1" ht="15" x14ac:dyDescent="0.25">
      <c r="H94" s="1781"/>
      <c r="I94" s="1781"/>
      <c r="J94" s="1781"/>
      <c r="K94" s="1781"/>
    </row>
    <row r="95" spans="8:11" s="1772" customFormat="1" ht="15" x14ac:dyDescent="0.25">
      <c r="H95" s="1781"/>
      <c r="I95" s="1781"/>
      <c r="J95" s="1781"/>
      <c r="K95" s="1781"/>
    </row>
    <row r="96" spans="8:11" s="1772" customFormat="1" ht="15" x14ac:dyDescent="0.25">
      <c r="H96" s="1781"/>
      <c r="I96" s="1781"/>
      <c r="J96" s="1781"/>
      <c r="K96" s="1781"/>
    </row>
    <row r="97" spans="8:11" s="1772" customFormat="1" ht="15" x14ac:dyDescent="0.25">
      <c r="H97" s="1781"/>
      <c r="I97" s="1781"/>
      <c r="J97" s="1781"/>
      <c r="K97" s="178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D36" sqref="D36"/>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796" t="s">
        <v>672</v>
      </c>
      <c r="B6" s="1552"/>
      <c r="C6" s="1552"/>
      <c r="D6" s="1552"/>
      <c r="E6" s="1553"/>
      <c r="F6" s="993"/>
      <c r="G6" s="987"/>
      <c r="H6" s="994" t="s">
        <v>1028</v>
      </c>
      <c r="I6" s="2317" t="str">
        <f>COVER!A17</f>
        <v>Salt Creek SD 48</v>
      </c>
      <c r="J6" s="2318"/>
      <c r="Q6" s="1569"/>
    </row>
    <row r="7" spans="1:17" x14ac:dyDescent="0.2">
      <c r="A7" s="2319" t="s">
        <v>869</v>
      </c>
      <c r="B7" s="2320"/>
      <c r="C7" s="2320"/>
      <c r="D7" s="2320"/>
      <c r="E7" s="2321"/>
      <c r="F7" s="995"/>
      <c r="G7" s="987"/>
      <c r="H7" s="994" t="s">
        <v>372</v>
      </c>
      <c r="I7" s="2322">
        <f>COVER!A13</f>
        <v>19022048002</v>
      </c>
      <c r="J7" s="2322"/>
    </row>
    <row r="8" spans="1:17" ht="8.25" customHeight="1" x14ac:dyDescent="0.2">
      <c r="A8" s="1554"/>
      <c r="B8" s="1555"/>
      <c r="C8" s="1555"/>
      <c r="D8" s="1555"/>
      <c r="E8" s="1556"/>
      <c r="F8" s="996"/>
      <c r="G8" s="997"/>
      <c r="H8" s="997"/>
      <c r="I8" s="997"/>
      <c r="J8" s="997"/>
    </row>
    <row r="9" spans="1:17" ht="13.5" customHeight="1" x14ac:dyDescent="0.2">
      <c r="A9" s="998"/>
      <c r="B9" s="999"/>
      <c r="C9" s="999"/>
      <c r="D9" s="1000"/>
      <c r="E9" s="1797" t="s">
        <v>1953</v>
      </c>
      <c r="F9" s="1001"/>
      <c r="G9" s="1001"/>
      <c r="H9" s="1798" t="s">
        <v>1954</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23" t="s">
        <v>481</v>
      </c>
      <c r="B11" s="2324"/>
      <c r="C11" s="2325"/>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15">
        <f>'Expenditures 15-22'!K50</f>
        <v>330655</v>
      </c>
      <c r="F12" s="1017"/>
      <c r="G12" s="1715">
        <f t="shared" ref="G12:G18" si="0">SUM(E12:F12)</f>
        <v>330655</v>
      </c>
      <c r="H12" s="1018">
        <v>290740</v>
      </c>
      <c r="I12" s="1017"/>
      <c r="J12" s="1715">
        <f t="shared" ref="J12:J18" si="1">SUM(H12:I12)</f>
        <v>290740</v>
      </c>
    </row>
    <row r="13" spans="1:17" ht="15" customHeight="1" x14ac:dyDescent="0.2">
      <c r="A13" s="1013">
        <v>2</v>
      </c>
      <c r="B13" s="1014" t="s">
        <v>42</v>
      </c>
      <c r="C13" s="1015"/>
      <c r="D13" s="1016">
        <v>2330</v>
      </c>
      <c r="E13" s="1715">
        <f>'Expenditures 15-22'!K51</f>
        <v>141625</v>
      </c>
      <c r="F13" s="1017"/>
      <c r="G13" s="1715">
        <f t="shared" si="0"/>
        <v>141625</v>
      </c>
      <c r="H13" s="1018">
        <v>151960</v>
      </c>
      <c r="I13" s="1017"/>
      <c r="J13" s="1715">
        <f t="shared" si="1"/>
        <v>151960</v>
      </c>
    </row>
    <row r="14" spans="1:17" ht="15" customHeight="1" x14ac:dyDescent="0.2">
      <c r="A14" s="1013">
        <v>3</v>
      </c>
      <c r="B14" s="1014" t="s">
        <v>43</v>
      </c>
      <c r="C14" s="1015"/>
      <c r="D14" s="1019">
        <v>2490</v>
      </c>
      <c r="E14" s="1715">
        <f>'Expenditures 15-22'!K56</f>
        <v>0</v>
      </c>
      <c r="F14" s="1017"/>
      <c r="G14" s="1715">
        <f t="shared" si="0"/>
        <v>0</v>
      </c>
      <c r="H14" s="1018"/>
      <c r="I14" s="1017"/>
      <c r="J14" s="1715">
        <f t="shared" si="1"/>
        <v>0</v>
      </c>
    </row>
    <row r="15" spans="1:17" ht="15" customHeight="1" x14ac:dyDescent="0.2">
      <c r="A15" s="1013">
        <v>4</v>
      </c>
      <c r="B15" s="1014" t="s">
        <v>1068</v>
      </c>
      <c r="C15" s="1015"/>
      <c r="D15" s="1016">
        <v>2510</v>
      </c>
      <c r="E15" s="1715">
        <f>'Expenditures 15-22'!K59</f>
        <v>40961</v>
      </c>
      <c r="F15" s="1715">
        <f>'Expenditures 15-22'!K122</f>
        <v>32401</v>
      </c>
      <c r="G15" s="1715">
        <f t="shared" si="0"/>
        <v>73362</v>
      </c>
      <c r="H15" s="1018">
        <v>51640</v>
      </c>
      <c r="I15" s="1018">
        <v>30530</v>
      </c>
      <c r="J15" s="1715">
        <f t="shared" si="1"/>
        <v>82170</v>
      </c>
    </row>
    <row r="16" spans="1:17" ht="15" customHeight="1" x14ac:dyDescent="0.2">
      <c r="A16" s="1013">
        <v>5</v>
      </c>
      <c r="B16" s="1014" t="s">
        <v>101</v>
      </c>
      <c r="C16" s="1015"/>
      <c r="D16" s="1016">
        <v>2570</v>
      </c>
      <c r="E16" s="1715">
        <f>'Expenditures 15-22'!K64</f>
        <v>0</v>
      </c>
      <c r="F16" s="1017"/>
      <c r="G16" s="1715">
        <f t="shared" si="0"/>
        <v>0</v>
      </c>
      <c r="H16" s="1018"/>
      <c r="I16" s="1017"/>
      <c r="J16" s="1715">
        <f t="shared" si="1"/>
        <v>0</v>
      </c>
    </row>
    <row r="17" spans="1:10" ht="15" customHeight="1" x14ac:dyDescent="0.2">
      <c r="A17" s="1013">
        <v>6</v>
      </c>
      <c r="B17" s="1014" t="s">
        <v>1060</v>
      </c>
      <c r="C17" s="1015"/>
      <c r="D17" s="1016">
        <v>2610</v>
      </c>
      <c r="E17" s="1715">
        <f>'Expenditures 15-22'!K67</f>
        <v>0</v>
      </c>
      <c r="F17" s="1017"/>
      <c r="G17" s="1715">
        <f t="shared" si="0"/>
        <v>0</v>
      </c>
      <c r="H17" s="1018"/>
      <c r="I17" s="1017"/>
      <c r="J17" s="1715">
        <f t="shared" si="1"/>
        <v>0</v>
      </c>
    </row>
    <row r="18" spans="1:10" ht="22.5" customHeight="1" x14ac:dyDescent="0.2">
      <c r="A18" s="1020">
        <v>7</v>
      </c>
      <c r="B18" s="2326" t="s">
        <v>7</v>
      </c>
      <c r="C18" s="2327"/>
      <c r="D18" s="2328"/>
      <c r="E18" s="1021"/>
      <c r="F18" s="1021"/>
      <c r="G18" s="1716">
        <f t="shared" si="0"/>
        <v>0</v>
      </c>
      <c r="H18" s="1018"/>
      <c r="I18" s="1018"/>
      <c r="J18" s="1715">
        <f t="shared" si="1"/>
        <v>0</v>
      </c>
    </row>
    <row r="19" spans="1:10" ht="12.75" customHeight="1" thickBot="1" x14ac:dyDescent="0.25">
      <c r="A19" s="1013">
        <v>8</v>
      </c>
      <c r="B19" s="1022" t="s">
        <v>1161</v>
      </c>
      <c r="D19" s="1023"/>
      <c r="E19" s="1717">
        <f t="shared" ref="E19:J19" si="2">SUM(E12:E17)-E18</f>
        <v>513241</v>
      </c>
      <c r="F19" s="1717">
        <f t="shared" si="2"/>
        <v>32401</v>
      </c>
      <c r="G19" s="1717">
        <f t="shared" si="2"/>
        <v>545642</v>
      </c>
      <c r="H19" s="1717">
        <f t="shared" si="2"/>
        <v>494340</v>
      </c>
      <c r="I19" s="1717">
        <f t="shared" si="2"/>
        <v>30530</v>
      </c>
      <c r="J19" s="1717">
        <f t="shared" si="2"/>
        <v>524870</v>
      </c>
    </row>
    <row r="20" spans="1:10" ht="13.5" thickTop="1" x14ac:dyDescent="0.2">
      <c r="A20" s="1013">
        <v>9</v>
      </c>
      <c r="B20" s="2329" t="s">
        <v>1955</v>
      </c>
      <c r="C20" s="2329"/>
      <c r="D20" s="2330"/>
      <c r="E20" s="1024"/>
      <c r="F20" s="1024"/>
      <c r="G20" s="1024"/>
      <c r="H20" s="1024"/>
      <c r="I20" s="1024"/>
      <c r="J20" s="1718">
        <f>IF(AND(G19&gt;0,J19&gt;0),(((J19-G19)/G19)),"Enter Budget Data")</f>
        <v>-3.8068916982197117E-2</v>
      </c>
    </row>
    <row r="21" spans="1:10" ht="9" customHeight="1" x14ac:dyDescent="0.2">
      <c r="B21" s="1025"/>
    </row>
    <row r="22" spans="1:10" x14ac:dyDescent="0.2">
      <c r="A22" s="1026" t="s">
        <v>133</v>
      </c>
      <c r="B22" s="1025"/>
    </row>
    <row r="23" spans="1:10" x14ac:dyDescent="0.2">
      <c r="A23" s="989" t="s">
        <v>1956</v>
      </c>
      <c r="B23" s="1025"/>
    </row>
    <row r="24" spans="1:10" x14ac:dyDescent="0.2">
      <c r="A24" s="989" t="s">
        <v>1969</v>
      </c>
      <c r="B24" s="1025"/>
    </row>
    <row r="25" spans="1:10" x14ac:dyDescent="0.2">
      <c r="A25" s="1027"/>
      <c r="B25" s="1025"/>
    </row>
    <row r="26" spans="1:10" ht="20.100000000000001" customHeight="1" x14ac:dyDescent="0.2">
      <c r="B26" s="1025"/>
      <c r="C26" s="2335"/>
      <c r="D26" s="2335"/>
      <c r="E26" s="1028"/>
      <c r="F26" s="2334"/>
      <c r="G26" s="2334"/>
    </row>
    <row r="27" spans="1:10" x14ac:dyDescent="0.2">
      <c r="B27" s="1025"/>
      <c r="C27" s="1029" t="s">
        <v>1033</v>
      </c>
      <c r="D27" s="1030"/>
      <c r="E27" s="1031"/>
      <c r="F27" s="2331" t="s">
        <v>1507</v>
      </c>
      <c r="G27" s="2331"/>
    </row>
    <row r="28" spans="1:10" ht="28.5" customHeight="1" x14ac:dyDescent="0.2">
      <c r="B28" s="1025"/>
      <c r="C28" s="2333"/>
      <c r="D28" s="2333"/>
      <c r="E28" s="1032"/>
      <c r="F28" s="2333"/>
      <c r="G28" s="2333"/>
    </row>
    <row r="29" spans="1:10" x14ac:dyDescent="0.2">
      <c r="B29" s="1025"/>
      <c r="C29" s="1033" t="s">
        <v>1559</v>
      </c>
      <c r="E29" s="1034"/>
      <c r="F29" s="2332" t="s">
        <v>1508</v>
      </c>
      <c r="G29" s="2332"/>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40"/>
    </row>
    <row r="36" spans="1:10" ht="13.5" customHeight="1" x14ac:dyDescent="0.2">
      <c r="B36" s="1039"/>
      <c r="C36" s="2316" t="s">
        <v>1957</v>
      </c>
      <c r="D36" s="2315"/>
      <c r="E36" s="2315"/>
      <c r="F36" s="2315"/>
      <c r="G36" s="2315"/>
      <c r="H36" s="2315"/>
      <c r="I36" s="2315"/>
      <c r="J36" s="1041"/>
    </row>
    <row r="37" spans="1:10" ht="22.5" customHeight="1" x14ac:dyDescent="0.2">
      <c r="C37" s="2315"/>
      <c r="D37" s="2315"/>
      <c r="E37" s="2315"/>
      <c r="F37" s="2315"/>
      <c r="G37" s="2315"/>
      <c r="H37" s="2315"/>
      <c r="I37" s="2315"/>
      <c r="J37" s="1041"/>
    </row>
    <row r="38" spans="1:10" ht="7.5" customHeight="1" x14ac:dyDescent="0.2">
      <c r="C38" s="1040"/>
      <c r="D38" s="1042"/>
      <c r="E38" s="1043"/>
      <c r="F38" s="1044"/>
      <c r="G38" s="1043"/>
    </row>
    <row r="39" spans="1:10" ht="13.5" customHeight="1" x14ac:dyDescent="0.2">
      <c r="B39" s="1039"/>
      <c r="C39" s="2312" t="s">
        <v>882</v>
      </c>
      <c r="D39" s="2313"/>
      <c r="E39" s="2313"/>
      <c r="F39" s="2313"/>
      <c r="G39" s="2313"/>
      <c r="H39" s="2313"/>
      <c r="I39" s="2313"/>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59"/>
  <sheetViews>
    <sheetView showGridLines="0" zoomScale="110" zoomScaleNormal="110" workbookViewId="0">
      <selection activeCell="D36" sqref="D36"/>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8" x14ac:dyDescent="0.2">
      <c r="A2" s="389" t="s">
        <v>258</v>
      </c>
    </row>
    <row r="3" spans="1:8" x14ac:dyDescent="0.2">
      <c r="A3" s="329" t="s">
        <v>259</v>
      </c>
    </row>
    <row r="5" spans="1:8" ht="15" x14ac:dyDescent="0.35">
      <c r="A5" s="1863"/>
      <c r="B5" s="1864" t="s">
        <v>2047</v>
      </c>
      <c r="C5" s="1864" t="s">
        <v>2048</v>
      </c>
      <c r="D5" s="1864" t="s">
        <v>2049</v>
      </c>
      <c r="E5" s="1864" t="s">
        <v>2050</v>
      </c>
      <c r="F5" s="1864" t="s">
        <v>1077</v>
      </c>
      <c r="G5" s="1864" t="s">
        <v>865</v>
      </c>
      <c r="H5" s="1864" t="s">
        <v>481</v>
      </c>
    </row>
    <row r="6" spans="1:8" x14ac:dyDescent="0.2">
      <c r="A6" s="1863">
        <v>1</v>
      </c>
      <c r="B6" s="329" t="s">
        <v>2119</v>
      </c>
      <c r="C6" s="1865">
        <v>1993</v>
      </c>
      <c r="D6" s="1865" t="s">
        <v>2120</v>
      </c>
      <c r="E6" s="1865">
        <v>106</v>
      </c>
      <c r="F6" s="1865">
        <v>10</v>
      </c>
      <c r="G6" s="1866">
        <v>55260</v>
      </c>
      <c r="H6" s="329" t="s">
        <v>2124</v>
      </c>
    </row>
    <row r="7" spans="1:8" x14ac:dyDescent="0.2">
      <c r="A7" s="1863">
        <v>2</v>
      </c>
      <c r="B7" s="329" t="s">
        <v>2119</v>
      </c>
      <c r="C7" s="1865">
        <v>1999</v>
      </c>
      <c r="D7" s="1865" t="s">
        <v>2120</v>
      </c>
      <c r="E7" s="1865">
        <v>107</v>
      </c>
      <c r="F7" s="1865">
        <v>10</v>
      </c>
      <c r="G7" s="1866">
        <v>77773</v>
      </c>
      <c r="H7" s="329" t="s">
        <v>2125</v>
      </c>
    </row>
    <row r="8" spans="1:8" x14ac:dyDescent="0.2">
      <c r="A8" s="1863">
        <v>3</v>
      </c>
      <c r="B8" s="329" t="s">
        <v>2119</v>
      </c>
      <c r="C8" s="1865">
        <v>1999</v>
      </c>
      <c r="D8" s="1865" t="s">
        <v>2121</v>
      </c>
      <c r="E8" s="1865">
        <v>107</v>
      </c>
      <c r="F8" s="1865">
        <v>40</v>
      </c>
      <c r="G8" s="1867">
        <v>12256</v>
      </c>
      <c r="H8" s="329" t="s">
        <v>2126</v>
      </c>
    </row>
    <row r="9" spans="1:8" x14ac:dyDescent="0.2">
      <c r="A9" s="1863">
        <v>4</v>
      </c>
      <c r="B9" s="329" t="s">
        <v>2119</v>
      </c>
      <c r="C9" s="1865">
        <v>3999</v>
      </c>
      <c r="D9" s="1865" t="s">
        <v>2120</v>
      </c>
      <c r="E9" s="1865">
        <v>168</v>
      </c>
      <c r="F9" s="1865">
        <v>10</v>
      </c>
      <c r="G9" s="1867">
        <v>750</v>
      </c>
      <c r="H9" s="329" t="s">
        <v>2127</v>
      </c>
    </row>
    <row r="10" spans="1:8" x14ac:dyDescent="0.2">
      <c r="A10" s="1863">
        <v>5</v>
      </c>
      <c r="B10" s="329" t="s">
        <v>2119</v>
      </c>
      <c r="C10" s="1865">
        <v>4299</v>
      </c>
      <c r="D10" s="1865" t="s">
        <v>2120</v>
      </c>
      <c r="E10" s="1865">
        <v>197</v>
      </c>
      <c r="F10" s="1865">
        <v>10</v>
      </c>
      <c r="G10" s="1867">
        <v>2831</v>
      </c>
      <c r="H10" s="329" t="s">
        <v>2128</v>
      </c>
    </row>
    <row r="11" spans="1:8" x14ac:dyDescent="0.2">
      <c r="A11" s="1863">
        <v>6</v>
      </c>
      <c r="B11" s="329" t="s">
        <v>2118</v>
      </c>
      <c r="C11" s="1865">
        <v>2900</v>
      </c>
      <c r="D11" s="1865" t="s">
        <v>2122</v>
      </c>
      <c r="E11" s="1865">
        <v>128</v>
      </c>
      <c r="F11" s="1865">
        <v>20</v>
      </c>
      <c r="G11" s="1867">
        <v>6502</v>
      </c>
      <c r="H11" s="329" t="s">
        <v>2129</v>
      </c>
    </row>
    <row r="12" spans="1:8" x14ac:dyDescent="0.2">
      <c r="A12" s="1863">
        <v>7</v>
      </c>
      <c r="B12" s="329" t="s">
        <v>2118</v>
      </c>
      <c r="C12" s="1865">
        <v>5400</v>
      </c>
      <c r="D12" s="1865" t="s">
        <v>2123</v>
      </c>
      <c r="E12" s="1865">
        <v>171</v>
      </c>
      <c r="F12" s="1865">
        <v>30</v>
      </c>
      <c r="G12" s="1867">
        <v>2450</v>
      </c>
      <c r="H12" s="329" t="s">
        <v>2130</v>
      </c>
    </row>
    <row r="13" spans="1:8" x14ac:dyDescent="0.2">
      <c r="A13" s="1863"/>
      <c r="C13" s="1865"/>
      <c r="D13" s="1865"/>
      <c r="E13" s="1865"/>
      <c r="F13" s="1865"/>
      <c r="G13" s="1867"/>
    </row>
    <row r="14" spans="1:8" x14ac:dyDescent="0.2">
      <c r="A14" s="1863"/>
      <c r="C14" s="1865"/>
      <c r="D14" s="1865"/>
      <c r="E14" s="1865"/>
      <c r="F14" s="1865"/>
      <c r="G14" s="1867"/>
    </row>
    <row r="15" spans="1:8" x14ac:dyDescent="0.2">
      <c r="A15" s="1863"/>
      <c r="C15" s="1865"/>
      <c r="D15" s="1865"/>
      <c r="E15" s="1865"/>
      <c r="F15" s="1865"/>
      <c r="G15" s="1867"/>
    </row>
    <row r="16" spans="1:8" x14ac:dyDescent="0.2">
      <c r="A16" s="1863"/>
      <c r="C16" s="1865"/>
      <c r="D16" s="1865"/>
      <c r="E16" s="1865"/>
      <c r="F16" s="1865"/>
      <c r="G16" s="1867"/>
    </row>
    <row r="17" spans="1:7" x14ac:dyDescent="0.2">
      <c r="A17" s="1863"/>
      <c r="C17" s="1865"/>
      <c r="D17" s="1865"/>
      <c r="E17" s="1865"/>
      <c r="F17" s="1865"/>
      <c r="G17" s="1867"/>
    </row>
    <row r="18" spans="1:7" x14ac:dyDescent="0.2">
      <c r="A18" s="1863"/>
      <c r="C18" s="1865"/>
      <c r="D18" s="1865"/>
      <c r="E18" s="1865"/>
      <c r="F18" s="1865"/>
      <c r="G18" s="1867"/>
    </row>
    <row r="19" spans="1:7" x14ac:dyDescent="0.2">
      <c r="A19" s="1863"/>
      <c r="C19" s="1865"/>
      <c r="D19" s="1865"/>
      <c r="E19" s="1865"/>
      <c r="F19" s="1865"/>
      <c r="G19" s="1868"/>
    </row>
    <row r="20" spans="1:7" x14ac:dyDescent="0.2">
      <c r="A20" s="1046"/>
    </row>
    <row r="21" spans="1:7" x14ac:dyDescent="0.2">
      <c r="A21" s="1046"/>
    </row>
    <row r="22" spans="1:7" x14ac:dyDescent="0.2">
      <c r="A22" s="1046"/>
    </row>
    <row r="23" spans="1:7" x14ac:dyDescent="0.2">
      <c r="A23" s="1046"/>
    </row>
    <row r="24" spans="1:7" x14ac:dyDescent="0.2">
      <c r="A24" s="1046"/>
    </row>
    <row r="25" spans="1:7" x14ac:dyDescent="0.2">
      <c r="A25" s="1046"/>
    </row>
    <row r="26" spans="1:7" x14ac:dyDescent="0.2">
      <c r="A26" s="1046"/>
    </row>
    <row r="27" spans="1:7" x14ac:dyDescent="0.2">
      <c r="A27" s="1046"/>
    </row>
    <row r="28" spans="1:7" x14ac:dyDescent="0.2">
      <c r="A28" s="1046"/>
    </row>
    <row r="29" spans="1:7" x14ac:dyDescent="0.2">
      <c r="A29" s="1046"/>
    </row>
    <row r="30" spans="1:7" x14ac:dyDescent="0.2">
      <c r="A30" s="1046"/>
    </row>
    <row r="31" spans="1:7" x14ac:dyDescent="0.2">
      <c r="A31" s="1046"/>
    </row>
    <row r="32" spans="1:7"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c r="B58" s="258" t="str">
        <f>COVER!A17</f>
        <v>Salt Creek SD 48</v>
      </c>
    </row>
    <row r="59" spans="1:2" x14ac:dyDescent="0.2">
      <c r="B59" s="1047">
        <f>COVER!A13</f>
        <v>19022048002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36" sqref="D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36" t="s">
        <v>1679</v>
      </c>
      <c r="B18" s="233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171450</xdr:colOff>
                <xdr:row>2</xdr:row>
                <xdr:rowOff>104775</xdr:rowOff>
              </from>
              <to>
                <xdr:col>1</xdr:col>
                <xdr:colOff>1085850</xdr:colOff>
                <xdr:row>6</xdr:row>
                <xdr:rowOff>142875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autoPict="0" r:id="rId7">
            <anchor moveWithCells="1">
              <from>
                <xdr:col>1</xdr:col>
                <xdr:colOff>1295400</xdr:colOff>
                <xdr:row>2</xdr:row>
                <xdr:rowOff>114300</xdr:rowOff>
              </from>
              <to>
                <xdr:col>1</xdr:col>
                <xdr:colOff>2209800</xdr:colOff>
                <xdr:row>6</xdr:row>
                <xdr:rowOff>104775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36" sqref="D3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1684</v>
      </c>
      <c r="B1" s="2338"/>
      <c r="C1" s="2338"/>
      <c r="D1" s="2338"/>
      <c r="E1" s="2338"/>
      <c r="F1" s="2339"/>
    </row>
    <row r="2" spans="1:8" ht="45" customHeight="1" x14ac:dyDescent="0.2">
      <c r="A2" s="2347" t="s">
        <v>1961</v>
      </c>
      <c r="B2" s="2348"/>
      <c r="C2" s="2348"/>
      <c r="D2" s="2348"/>
      <c r="E2" s="2348"/>
      <c r="F2" s="2349"/>
      <c r="G2" s="1051"/>
      <c r="H2" s="1051"/>
    </row>
    <row r="3" spans="1:8" ht="57" customHeight="1" x14ac:dyDescent="0.2">
      <c r="A3" s="2350" t="s">
        <v>1680</v>
      </c>
      <c r="B3" s="2351"/>
      <c r="C3" s="2351"/>
      <c r="D3" s="2351"/>
      <c r="E3" s="2351"/>
      <c r="F3" s="2352"/>
      <c r="G3" s="1051"/>
      <c r="H3" s="1051"/>
    </row>
    <row r="4" spans="1:8" ht="14.25" customHeight="1" x14ac:dyDescent="0.2">
      <c r="A4" s="2356" t="s">
        <v>1962</v>
      </c>
      <c r="B4" s="2357"/>
      <c r="C4" s="2357"/>
      <c r="D4" s="2357"/>
      <c r="E4" s="2357"/>
      <c r="F4" s="2358"/>
      <c r="G4" s="1051"/>
      <c r="H4" s="1051"/>
    </row>
    <row r="5" spans="1:8" ht="14.25" customHeight="1" x14ac:dyDescent="0.2">
      <c r="A5" s="2359" t="s">
        <v>1958</v>
      </c>
      <c r="B5" s="2360"/>
      <c r="C5" s="2360"/>
      <c r="D5" s="2360"/>
      <c r="E5" s="2360"/>
      <c r="F5" s="2361"/>
      <c r="G5" s="1051"/>
      <c r="H5" s="1051"/>
    </row>
    <row r="6" spans="1:8" s="1052" customFormat="1" ht="41.25" customHeight="1" x14ac:dyDescent="0.2">
      <c r="A6" s="2353" t="s">
        <v>1685</v>
      </c>
      <c r="B6" s="2354"/>
      <c r="C6" s="2354"/>
      <c r="D6" s="2354"/>
      <c r="E6" s="2354"/>
      <c r="F6" s="2355"/>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19">
        <f>'Acct Summary 7-8'!C8</f>
        <v>8922436</v>
      </c>
      <c r="C8" s="1719">
        <f>'Acct Summary 7-8'!D8</f>
        <v>1428480</v>
      </c>
      <c r="D8" s="1719">
        <f>'Acct Summary 7-8'!F8</f>
        <v>715467</v>
      </c>
      <c r="E8" s="1719">
        <f>'Acct Summary 7-8'!I8</f>
        <v>976</v>
      </c>
      <c r="F8" s="1719">
        <f>SUM(B8:E8)</f>
        <v>11067359</v>
      </c>
    </row>
    <row r="9" spans="1:8" s="1056" customFormat="1" ht="14.25" customHeight="1" thickBot="1" x14ac:dyDescent="0.25">
      <c r="A9" s="1055" t="s">
        <v>1367</v>
      </c>
      <c r="B9" s="1720">
        <f>'Acct Summary 7-8'!C17</f>
        <v>7897401</v>
      </c>
      <c r="C9" s="1720">
        <f>'Acct Summary 7-8'!D17</f>
        <v>1463317</v>
      </c>
      <c r="D9" s="1720">
        <f>'Acct Summary 7-8'!F17</f>
        <v>668508</v>
      </c>
      <c r="E9" s="1719"/>
      <c r="F9" s="1719">
        <f>SUM(B9:E9)</f>
        <v>10029226</v>
      </c>
    </row>
    <row r="10" spans="1:8" s="1056" customFormat="1" ht="14.25" thickTop="1" thickBot="1" x14ac:dyDescent="0.25">
      <c r="A10" s="1057" t="s">
        <v>1368</v>
      </c>
      <c r="B10" s="1721">
        <f>(B8-B9)</f>
        <v>1025035</v>
      </c>
      <c r="C10" s="1721">
        <f>(C8-C9)</f>
        <v>-34837</v>
      </c>
      <c r="D10" s="1721">
        <f>(D8-D9)</f>
        <v>46959</v>
      </c>
      <c r="E10" s="1720">
        <f>(E8-E9)</f>
        <v>976</v>
      </c>
      <c r="F10" s="1722">
        <f>SUM(F8-F9)</f>
        <v>1038133</v>
      </c>
    </row>
    <row r="11" spans="1:8" s="1056" customFormat="1" ht="14.25" thickTop="1" thickBot="1" x14ac:dyDescent="0.25">
      <c r="A11" s="1058" t="s">
        <v>1959</v>
      </c>
      <c r="B11" s="1723">
        <f>'Acct Summary 7-8'!C81</f>
        <v>5011613</v>
      </c>
      <c r="C11" s="1723">
        <f>'Acct Summary 7-8'!D81</f>
        <v>1800622</v>
      </c>
      <c r="D11" s="1723">
        <f>'Acct Summary 7-8'!F81</f>
        <v>422598</v>
      </c>
      <c r="E11" s="1723">
        <f>'Acct Summary 7-8'!I81</f>
        <v>267616</v>
      </c>
      <c r="F11" s="1724">
        <f>SUM(B11:E11)</f>
        <v>7502449</v>
      </c>
    </row>
    <row r="12" spans="1:8" ht="16.5" customHeight="1" thickTop="1" x14ac:dyDescent="0.2">
      <c r="A12" s="1059"/>
      <c r="B12" s="1060"/>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61"/>
      <c r="B13" s="1062"/>
      <c r="C13" s="2341"/>
      <c r="D13" s="2342"/>
      <c r="E13" s="2342"/>
      <c r="F13" s="2343"/>
      <c r="H13" s="1051"/>
    </row>
    <row r="14" spans="1:8" ht="19.5" customHeight="1" x14ac:dyDescent="0.2">
      <c r="A14" s="1061"/>
      <c r="B14" s="1062"/>
      <c r="C14" s="2341"/>
      <c r="D14" s="2342"/>
      <c r="E14" s="2342"/>
      <c r="F14" s="2343"/>
      <c r="H14" s="1051"/>
    </row>
    <row r="15" spans="1:8" ht="17.25" customHeight="1" x14ac:dyDescent="0.2">
      <c r="A15" s="1061"/>
      <c r="B15" s="1062"/>
      <c r="C15" s="2344"/>
      <c r="D15" s="2345"/>
      <c r="E15" s="2345"/>
      <c r="F15" s="2346"/>
      <c r="H15" s="1051"/>
    </row>
    <row r="16" spans="1:8" s="310" customFormat="1" ht="51.75" hidden="1" customHeight="1" x14ac:dyDescent="0.2">
      <c r="A16" s="2340" t="s">
        <v>1681</v>
      </c>
      <c r="B16" s="2340"/>
      <c r="C16" s="2340"/>
      <c r="D16" s="2340"/>
      <c r="E16" s="2340"/>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7" colorId="8" zoomScale="110" zoomScaleNormal="110" workbookViewId="0">
      <selection activeCell="C9" sqref="C9"/>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799"/>
      <c r="B2" s="1800"/>
      <c r="C2" s="1801"/>
      <c r="D2" s="1802"/>
    </row>
    <row r="3" spans="1:4" ht="36" customHeight="1" x14ac:dyDescent="0.2">
      <c r="A3" s="2362" t="s">
        <v>665</v>
      </c>
      <c r="B3" s="2363"/>
      <c r="C3" s="2363"/>
      <c r="D3" s="2364"/>
    </row>
    <row r="4" spans="1:4" x14ac:dyDescent="0.2">
      <c r="A4" s="1129" t="s">
        <v>1686</v>
      </c>
      <c r="B4" s="1130"/>
      <c r="C4" s="1131"/>
      <c r="D4" s="1132"/>
    </row>
    <row r="5" spans="1:4" ht="21" customHeight="1" x14ac:dyDescent="0.2">
      <c r="A5" s="1125"/>
      <c r="B5" s="1126">
        <v>1</v>
      </c>
      <c r="C5" s="1127" t="s">
        <v>1810</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73" t="s">
        <v>1502</v>
      </c>
      <c r="D7" s="2374"/>
    </row>
    <row r="8" spans="1:4" s="648" customFormat="1" ht="12.75" x14ac:dyDescent="0.2">
      <c r="A8" s="1115"/>
      <c r="B8" s="1070"/>
      <c r="C8" s="1073" t="s">
        <v>1501</v>
      </c>
      <c r="D8" s="1074"/>
    </row>
    <row r="9" spans="1:4" s="648" customFormat="1" ht="14.25" customHeight="1" x14ac:dyDescent="0.2">
      <c r="A9" s="1115"/>
      <c r="B9" s="1070">
        <f>B7+1</f>
        <v>4</v>
      </c>
      <c r="C9" s="1071" t="s">
        <v>1887</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65" t="s">
        <v>1008</v>
      </c>
      <c r="B15" s="2366"/>
      <c r="C15" s="2366"/>
      <c r="D15" s="2367"/>
    </row>
    <row r="16" spans="1:4" s="648" customFormat="1" ht="24" customHeight="1" x14ac:dyDescent="0.2">
      <c r="A16" s="2368" t="s">
        <v>663</v>
      </c>
      <c r="B16" s="2369"/>
      <c r="C16" s="2369"/>
      <c r="D16" s="2370"/>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77" t="s">
        <v>314</v>
      </c>
      <c r="D21" s="2378"/>
    </row>
    <row r="22" spans="1:10" ht="12.75" x14ac:dyDescent="0.2">
      <c r="A22" s="1116"/>
      <c r="B22" s="1117">
        <v>2</v>
      </c>
      <c r="C22" s="2375" t="s">
        <v>1522</v>
      </c>
      <c r="D22" s="2376"/>
    </row>
    <row r="23" spans="1:10" ht="12.2" customHeight="1" x14ac:dyDescent="0.2">
      <c r="A23" s="1116"/>
      <c r="B23" s="1117"/>
      <c r="C23" s="1118" t="s">
        <v>954</v>
      </c>
      <c r="D23" s="1119" t="str">
        <f>IF(COVER!O11="X","CASH",IF(COVER!O12="X","ACCRUAL ","PLEASE CHECK AN ACCOUNTING BASIS."))</f>
        <v>CASH</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OK</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79" t="s">
        <v>536</v>
      </c>
      <c r="D43" s="2380"/>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71" t="s">
        <v>784</v>
      </c>
      <c r="D56" s="2372"/>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1888</v>
      </c>
      <c r="D66" s="1102"/>
    </row>
    <row r="67" spans="1:4" x14ac:dyDescent="0.2">
      <c r="A67" s="1096"/>
      <c r="B67" s="1117"/>
      <c r="C67" s="1124" t="s">
        <v>1021</v>
      </c>
      <c r="D67" s="1102"/>
    </row>
    <row r="68" spans="1:4" x14ac:dyDescent="0.2">
      <c r="A68" s="1077"/>
      <c r="B68" s="1087"/>
      <c r="C68" s="1079" t="s">
        <v>1889</v>
      </c>
      <c r="D68" s="1101" t="str">
        <f>IF('Short-Term Long-Term Debt 24'!F49=SUM(,'Acct Summary 7-8'!C33:K33),"OK","ERROR!")</f>
        <v>OK</v>
      </c>
    </row>
    <row r="69" spans="1:4" x14ac:dyDescent="0.2">
      <c r="A69" s="1077"/>
      <c r="B69" s="1087"/>
      <c r="C69" s="1079" t="s">
        <v>1890</v>
      </c>
      <c r="D69" s="1101" t="str">
        <f>IF('Expenditures 15-22'!H170&lt;&gt;'Short-Term Long-Term Debt 24'!H49,"ERROR!","OK")</f>
        <v>OK</v>
      </c>
    </row>
    <row r="70" spans="1:4" x14ac:dyDescent="0.2">
      <c r="A70" s="1075"/>
      <c r="B70" s="1097">
        <f>B66+1</f>
        <v>9</v>
      </c>
      <c r="C70" s="2371" t="s">
        <v>1690</v>
      </c>
      <c r="D70" s="2372"/>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1891</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1892</v>
      </c>
      <c r="D78" s="1101" t="str">
        <f>IF(ISNUMBER('Acct Summary 7-8'!C9),"OK","ENTRY IS REQUIRED!")</f>
        <v>OK</v>
      </c>
    </row>
    <row r="79" spans="1:4" x14ac:dyDescent="0.2">
      <c r="A79" s="1096"/>
      <c r="B79" s="1097">
        <f>B74+1+1</f>
        <v>12</v>
      </c>
      <c r="C79" s="1107" t="s">
        <v>1877</v>
      </c>
      <c r="D79" s="1108" t="str">
        <f>IF(OR(COVER!$B$6="X",'PCTC-OEPP 27-28'!F78&gt;0),"OK","PLEASE ENTER 9 MO ADA.")</f>
        <v>OK</v>
      </c>
    </row>
    <row r="80" spans="1:4" x14ac:dyDescent="0.2">
      <c r="A80" s="1075"/>
      <c r="B80" s="1097">
        <v>13</v>
      </c>
      <c r="C80" s="1107" t="s">
        <v>1893</v>
      </c>
      <c r="D80" s="1108" t="str">
        <f>IF('Contracts Paid in CY 29'!D34&gt;0,"OK","PLEASE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19022048002</v>
      </c>
    </row>
    <row r="3" spans="1:2" x14ac:dyDescent="0.2">
      <c r="A3" t="s">
        <v>956</v>
      </c>
      <c r="B3" s="138" t="str">
        <f>COVER!A15</f>
        <v>DuPage</v>
      </c>
    </row>
    <row r="4" spans="1:2" x14ac:dyDescent="0.2">
      <c r="A4" t="s">
        <v>1007</v>
      </c>
      <c r="B4" s="138" t="str">
        <f>COVER!A17</f>
        <v>Salt Creek SD 48</v>
      </c>
    </row>
    <row r="5" spans="1:2" x14ac:dyDescent="0.2">
      <c r="A5" t="s">
        <v>704</v>
      </c>
      <c r="B5" s="138" t="str">
        <f>COVER!A38</f>
        <v>Jake Chung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No</v>
      </c>
    </row>
    <row r="13" spans="1:2" x14ac:dyDescent="0.2">
      <c r="A13" s="1" t="s">
        <v>1542</v>
      </c>
      <c r="B13" s="138" t="str">
        <f>IF(COVER!J30="x","Yes",IF(COVER!L30="x","No",0))</f>
        <v>No</v>
      </c>
    </row>
    <row r="14" spans="1:2" x14ac:dyDescent="0.2">
      <c r="A14" t="s">
        <v>476</v>
      </c>
      <c r="B14" s="138" t="str">
        <f>IF(COVER!J31="x","Yes",IF(COVER!L31="x","No",0))</f>
        <v>No</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33512</v>
      </c>
    </row>
    <row r="51" spans="1:4" x14ac:dyDescent="0.2">
      <c r="A51" s="1" t="s">
        <v>1480</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5044837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8411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33224</v>
      </c>
      <c r="C91" s="2" t="s">
        <v>573</v>
      </c>
      <c r="D91" s="2" t="str">
        <f t="shared" si="0"/>
        <v>Error?</v>
      </c>
    </row>
    <row r="92" spans="1:4" x14ac:dyDescent="0.2">
      <c r="A92" s="5">
        <v>31</v>
      </c>
      <c r="B92" s="138">
        <f>'Assets-Liab 5-6'!C39</f>
        <v>5011613</v>
      </c>
      <c r="D92" s="2" t="str">
        <f t="shared" si="0"/>
        <v>Error?</v>
      </c>
    </row>
    <row r="93" spans="1:4" x14ac:dyDescent="0.2">
      <c r="A93" s="5">
        <v>32</v>
      </c>
      <c r="B93" s="138">
        <f>'Assets-Liab 5-6'!C41</f>
        <v>5044837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101642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1800622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1800622</v>
      </c>
      <c r="D123" s="2" t="str">
        <f t="shared" si="0"/>
        <v>Error?</v>
      </c>
    </row>
    <row r="124" spans="1:4" x14ac:dyDescent="0.2">
      <c r="A124" s="5">
        <v>63</v>
      </c>
      <c r="B124" s="138">
        <f>'Assets-Liab 5-6'!D41</f>
        <v>1800622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2621800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2621800</v>
      </c>
      <c r="D140" s="2" t="str">
        <f t="shared" si="1"/>
        <v>Error?</v>
      </c>
    </row>
    <row r="141" spans="1:4" x14ac:dyDescent="0.2">
      <c r="A141" s="5">
        <v>80</v>
      </c>
      <c r="B141" s="138">
        <f>'Assets-Liab 5-6'!E41</f>
        <v>2621800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422598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422598</v>
      </c>
      <c r="D170" s="2" t="str">
        <f t="shared" si="1"/>
        <v>Error?</v>
      </c>
    </row>
    <row r="171" spans="1:4" x14ac:dyDescent="0.2">
      <c r="A171" s="5">
        <v>110</v>
      </c>
      <c r="B171" s="138">
        <f>'Assets-Liab 5-6'!F41</f>
        <v>422598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324347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324347</v>
      </c>
      <c r="D189" s="2" t="str">
        <f t="shared" si="1"/>
        <v>Error?</v>
      </c>
    </row>
    <row r="190" spans="1:4" x14ac:dyDescent="0.2">
      <c r="A190" s="5">
        <v>129</v>
      </c>
      <c r="B190" s="138">
        <f>'Assets-Liab 5-6'!G41</f>
        <v>324347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3262476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3262476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3262476</v>
      </c>
      <c r="D212" s="2" t="str">
        <f t="shared" si="2"/>
        <v>Error?</v>
      </c>
    </row>
    <row r="213" spans="1:4" x14ac:dyDescent="0.2">
      <c r="A213" s="12">
        <v>152</v>
      </c>
      <c r="B213" s="138">
        <f>'Assets-Liab 5-6'!H41</f>
        <v>3262476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274299</v>
      </c>
      <c r="D273" s="2" t="str">
        <f t="shared" si="3"/>
        <v>Error?</v>
      </c>
    </row>
    <row r="274" spans="1:4" x14ac:dyDescent="0.2">
      <c r="A274" s="5">
        <v>213</v>
      </c>
      <c r="B274" s="138">
        <f>'Assets-Liab 5-6'!M17</f>
        <v>20903050</v>
      </c>
      <c r="D274" s="2" t="str">
        <f t="shared" si="3"/>
        <v>Error?</v>
      </c>
    </row>
    <row r="275" spans="1:4" x14ac:dyDescent="0.2">
      <c r="A275" s="5">
        <v>214</v>
      </c>
      <c r="B275" s="138">
        <f>'Assets-Liab 5-6'!M18</f>
        <v>365194</v>
      </c>
      <c r="D275" s="2" t="str">
        <f t="shared" si="3"/>
        <v>Error?</v>
      </c>
    </row>
    <row r="276" spans="1:4" x14ac:dyDescent="0.2">
      <c r="A276" s="5">
        <v>215</v>
      </c>
      <c r="B276" s="138">
        <f>'Assets-Liab 5-6'!M19</f>
        <v>3956199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25548814</v>
      </c>
      <c r="C279" s="2" t="s">
        <v>573</v>
      </c>
      <c r="D279" s="2" t="str">
        <f t="shared" si="3"/>
        <v>Error?</v>
      </c>
    </row>
    <row r="280" spans="1:4" x14ac:dyDescent="0.2">
      <c r="A280" s="5">
        <v>219</v>
      </c>
      <c r="B280" s="138">
        <f>'Assets-Liab 5-6'!M40</f>
        <v>25548814</v>
      </c>
      <c r="D280" s="2" t="str">
        <f t="shared" si="3"/>
        <v>Error?</v>
      </c>
    </row>
    <row r="281" spans="1:4" x14ac:dyDescent="0.2">
      <c r="A281" s="5">
        <v>220</v>
      </c>
      <c r="B281" s="138">
        <f>'Assets-Liab 5-6'!M41</f>
        <v>25548814</v>
      </c>
      <c r="C281" s="2" t="s">
        <v>573</v>
      </c>
      <c r="D281" s="2" t="str">
        <f t="shared" si="3"/>
        <v>Error?</v>
      </c>
    </row>
    <row r="282" spans="1:4" x14ac:dyDescent="0.2">
      <c r="A282" s="5">
        <v>221</v>
      </c>
      <c r="B282" s="138">
        <f>'Assets-Liab 5-6'!N21</f>
        <v>2621800</v>
      </c>
      <c r="D282" s="2" t="str">
        <f t="shared" si="3"/>
        <v>Error?</v>
      </c>
    </row>
    <row r="283" spans="1:4" x14ac:dyDescent="0.2">
      <c r="A283" s="5">
        <v>222</v>
      </c>
      <c r="B283" s="138">
        <f>'Assets-Liab 5-6'!N22</f>
        <v>5128382</v>
      </c>
      <c r="D283" s="2" t="str">
        <f t="shared" si="3"/>
        <v>Error?</v>
      </c>
    </row>
    <row r="284" spans="1:4" x14ac:dyDescent="0.2">
      <c r="A284" s="5">
        <v>223</v>
      </c>
      <c r="B284" s="138">
        <f>'Assets-Liab 5-6'!N23</f>
        <v>7750182</v>
      </c>
      <c r="C284" s="2" t="s">
        <v>573</v>
      </c>
      <c r="D284" s="2" t="str">
        <f t="shared" si="3"/>
        <v>Error?</v>
      </c>
    </row>
    <row r="285" spans="1:4" x14ac:dyDescent="0.2">
      <c r="A285" s="5">
        <v>224</v>
      </c>
      <c r="B285" s="138">
        <f>'Assets-Liab 5-6'!N36</f>
        <v>7750182</v>
      </c>
      <c r="D285" s="2" t="str">
        <f t="shared" si="3"/>
        <v>Error?</v>
      </c>
    </row>
    <row r="286" spans="1:4" x14ac:dyDescent="0.2">
      <c r="A286" s="10">
        <v>225</v>
      </c>
      <c r="D286" s="2" t="str">
        <f t="shared" si="3"/>
        <v>OK</v>
      </c>
    </row>
    <row r="287" spans="1:4" x14ac:dyDescent="0.2">
      <c r="A287" s="5">
        <v>226</v>
      </c>
      <c r="B287" s="138">
        <f>'Assets-Liab 5-6'!N37</f>
        <v>7750182</v>
      </c>
      <c r="C287" s="2" t="s">
        <v>573</v>
      </c>
      <c r="D287" s="2" t="str">
        <f t="shared" si="3"/>
        <v>Error?</v>
      </c>
    </row>
    <row r="288" spans="1:4" x14ac:dyDescent="0.2">
      <c r="A288" s="5">
        <v>227</v>
      </c>
      <c r="B288" s="138">
        <f>'Assets-Liab 5-6'!N41</f>
        <v>7750182</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2476198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92548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114576</v>
      </c>
      <c r="D718" s="2" t="str">
        <f t="shared" si="10"/>
        <v>Error?</v>
      </c>
    </row>
    <row r="719" spans="1:4" x14ac:dyDescent="0.2">
      <c r="A719" s="5">
        <v>658</v>
      </c>
      <c r="B719" s="138">
        <f>'Expenditures 15-22'!C15</f>
        <v>9401</v>
      </c>
      <c r="D719" s="2" t="str">
        <f t="shared" si="10"/>
        <v>Error?</v>
      </c>
    </row>
    <row r="720" spans="1:4" x14ac:dyDescent="0.2">
      <c r="A720" s="5">
        <v>659</v>
      </c>
      <c r="B720" s="138">
        <f>'Expenditures 15-22'!C33</f>
        <v>3396589</v>
      </c>
      <c r="C720" s="2" t="s">
        <v>573</v>
      </c>
      <c r="D720" s="2" t="str">
        <f t="shared" si="10"/>
        <v>Error?</v>
      </c>
    </row>
    <row r="721" spans="1:4" x14ac:dyDescent="0.2">
      <c r="A721" s="5">
        <v>660</v>
      </c>
      <c r="B721" s="138">
        <f>'Expenditures 15-22'!C36</f>
        <v>101113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123981</v>
      </c>
      <c r="D723" s="2" t="str">
        <f t="shared" si="10"/>
        <v>Error?</v>
      </c>
    </row>
    <row r="724" spans="1:4" x14ac:dyDescent="0.2">
      <c r="A724" s="5">
        <v>663</v>
      </c>
      <c r="B724" s="138">
        <f>'Expenditures 15-22'!C39</f>
        <v>56183</v>
      </c>
      <c r="D724" s="2" t="str">
        <f t="shared" si="10"/>
        <v>Error?</v>
      </c>
    </row>
    <row r="725" spans="1:4" x14ac:dyDescent="0.2">
      <c r="A725" s="5">
        <v>664</v>
      </c>
      <c r="B725" s="138">
        <f>'Expenditures 15-22'!C40</f>
        <v>63055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344332</v>
      </c>
      <c r="C727" s="2" t="s">
        <v>573</v>
      </c>
      <c r="D727" s="2" t="str">
        <f t="shared" si="10"/>
        <v>Error?</v>
      </c>
    </row>
    <row r="728" spans="1:4" x14ac:dyDescent="0.2">
      <c r="A728" s="5">
        <v>667</v>
      </c>
      <c r="B728" s="138">
        <f>'Expenditures 15-22'!C44</f>
        <v>191012</v>
      </c>
      <c r="D728" s="2" t="str">
        <f t="shared" si="10"/>
        <v>Error?</v>
      </c>
    </row>
    <row r="729" spans="1:4" x14ac:dyDescent="0.2">
      <c r="A729" s="5">
        <v>668</v>
      </c>
      <c r="B729" s="138">
        <f>'Expenditures 15-22'!C45</f>
        <v>153308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344320</v>
      </c>
      <c r="C731" s="2" t="s">
        <v>573</v>
      </c>
      <c r="D731" s="2" t="str">
        <f t="shared" si="10"/>
        <v>Error?</v>
      </c>
    </row>
    <row r="732" spans="1:4" x14ac:dyDescent="0.2">
      <c r="A732" s="5">
        <v>671</v>
      </c>
      <c r="B732" s="138">
        <f>'Expenditures 15-22'!C49</f>
        <v>27094</v>
      </c>
      <c r="D732" s="2" t="str">
        <f t="shared" si="10"/>
        <v>Error?</v>
      </c>
    </row>
    <row r="733" spans="1:4" x14ac:dyDescent="0.2">
      <c r="A733" s="5">
        <v>672</v>
      </c>
      <c r="B733" s="138">
        <f>'Expenditures 15-22'!C50</f>
        <v>276251</v>
      </c>
      <c r="D733" s="2" t="str">
        <f t="shared" si="10"/>
        <v>Error?</v>
      </c>
    </row>
    <row r="734" spans="1:4" x14ac:dyDescent="0.2">
      <c r="A734" s="5">
        <v>673</v>
      </c>
      <c r="B734" s="138">
        <f>'Expenditures 15-22'!C53</f>
        <v>429582</v>
      </c>
      <c r="C734" s="2" t="s">
        <v>573</v>
      </c>
      <c r="D734" s="2" t="str">
        <f t="shared" si="10"/>
        <v>Error?</v>
      </c>
    </row>
    <row r="735" spans="1:4" x14ac:dyDescent="0.2">
      <c r="A735" s="5">
        <v>674</v>
      </c>
      <c r="B735" s="138">
        <f>'Expenditures 15-22'!C55</f>
        <v>542301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542301</v>
      </c>
      <c r="C737" s="2" t="s">
        <v>573</v>
      </c>
      <c r="D737" s="2" t="str">
        <f t="shared" si="10"/>
        <v>Error?</v>
      </c>
    </row>
    <row r="738" spans="1:4" x14ac:dyDescent="0.2">
      <c r="A738" s="5">
        <v>677</v>
      </c>
      <c r="B738" s="138">
        <f>'Expenditures 15-22'!C59</f>
        <v>34227</v>
      </c>
      <c r="D738" s="2" t="str">
        <f t="shared" si="10"/>
        <v>Error?</v>
      </c>
    </row>
    <row r="739" spans="1:4" x14ac:dyDescent="0.2">
      <c r="A739" s="5">
        <v>678</v>
      </c>
      <c r="B739" s="138">
        <f>'Expenditures 15-22'!C60</f>
        <v>127039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56137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217403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32500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32500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1910438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5307027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458021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18967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2777</v>
      </c>
      <c r="D776" s="2" t="str">
        <f t="shared" si="11"/>
        <v>Error?</v>
      </c>
    </row>
    <row r="777" spans="1:4" x14ac:dyDescent="0.2">
      <c r="A777" s="5">
        <v>716</v>
      </c>
      <c r="B777" s="138">
        <f>'Expenditures 15-22'!D15</f>
        <v>261</v>
      </c>
      <c r="D777" s="2" t="str">
        <f t="shared" si="11"/>
        <v>Error?</v>
      </c>
    </row>
    <row r="778" spans="1:4" x14ac:dyDescent="0.2">
      <c r="A778" s="5">
        <v>717</v>
      </c>
      <c r="B778" s="138">
        <f>'Expenditures 15-22'!D33</f>
        <v>674681</v>
      </c>
      <c r="C778" s="2" t="s">
        <v>573</v>
      </c>
      <c r="D778" s="2" t="str">
        <f t="shared" si="11"/>
        <v>Error?</v>
      </c>
    </row>
    <row r="779" spans="1:4" x14ac:dyDescent="0.2">
      <c r="A779" s="5">
        <v>718</v>
      </c>
      <c r="B779" s="138">
        <f>'Expenditures 15-22'!D36</f>
        <v>11900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35339</v>
      </c>
      <c r="D781" s="2" t="str">
        <f t="shared" si="11"/>
        <v>Error?</v>
      </c>
    </row>
    <row r="782" spans="1:4" x14ac:dyDescent="0.2">
      <c r="A782" s="5">
        <v>721</v>
      </c>
      <c r="B782" s="138">
        <f>'Expenditures 15-22'!D39</f>
        <v>1937</v>
      </c>
      <c r="D782" s="2" t="str">
        <f t="shared" si="11"/>
        <v>Error?</v>
      </c>
    </row>
    <row r="783" spans="1:4" x14ac:dyDescent="0.2">
      <c r="A783" s="5">
        <v>722</v>
      </c>
      <c r="B783" s="138">
        <f>'Expenditures 15-22'!D40</f>
        <v>16646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65822</v>
      </c>
      <c r="C785" s="2" t="s">
        <v>573</v>
      </c>
      <c r="D785" s="2" t="str">
        <f t="shared" si="11"/>
        <v>Error?</v>
      </c>
    </row>
    <row r="786" spans="1:4" x14ac:dyDescent="0.2">
      <c r="A786" s="5">
        <v>725</v>
      </c>
      <c r="B786" s="138">
        <f>'Expenditures 15-22'!D44</f>
        <v>25850</v>
      </c>
      <c r="D786" s="2" t="str">
        <f t="shared" si="11"/>
        <v>Error?</v>
      </c>
    </row>
    <row r="787" spans="1:4" x14ac:dyDescent="0.2">
      <c r="A787" s="5">
        <v>726</v>
      </c>
      <c r="B787" s="138">
        <f>'Expenditures 15-22'!D45</f>
        <v>35838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61688</v>
      </c>
      <c r="C789" s="2" t="s">
        <v>573</v>
      </c>
      <c r="D789" s="2" t="str">
        <f t="shared" si="11"/>
        <v>Error?</v>
      </c>
    </row>
    <row r="790" spans="1:4" x14ac:dyDescent="0.2">
      <c r="A790" s="5">
        <v>729</v>
      </c>
      <c r="B790" s="138">
        <f>'Expenditures 15-22'!D49</f>
        <v>5211</v>
      </c>
      <c r="D790" s="2" t="str">
        <f t="shared" si="11"/>
        <v>Error?</v>
      </c>
    </row>
    <row r="791" spans="1:4" x14ac:dyDescent="0.2">
      <c r="A791" s="5">
        <v>730</v>
      </c>
      <c r="B791" s="138">
        <f>'Expenditures 15-22'!D50</f>
        <v>35576</v>
      </c>
      <c r="D791" s="2" t="str">
        <f t="shared" si="11"/>
        <v>Error?</v>
      </c>
    </row>
    <row r="792" spans="1:4" x14ac:dyDescent="0.2">
      <c r="A792" s="5">
        <v>731</v>
      </c>
      <c r="B792" s="138">
        <f>'Expenditures 15-22'!D53</f>
        <v>54146</v>
      </c>
      <c r="C792" s="2" t="s">
        <v>573</v>
      </c>
      <c r="D792" s="2" t="str">
        <f t="shared" si="11"/>
        <v>Error?</v>
      </c>
    </row>
    <row r="793" spans="1:4" x14ac:dyDescent="0.2">
      <c r="A793" s="5">
        <v>732</v>
      </c>
      <c r="B793" s="138">
        <f>'Expenditures 15-22'!D55</f>
        <v>103642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103642</v>
      </c>
      <c r="C795" s="2" t="s">
        <v>573</v>
      </c>
      <c r="D795" s="2" t="str">
        <f t="shared" si="11"/>
        <v>Error?</v>
      </c>
    </row>
    <row r="796" spans="1:4" x14ac:dyDescent="0.2">
      <c r="A796" s="5">
        <v>735</v>
      </c>
      <c r="B796" s="138">
        <f>'Expenditures 15-22'!D59</f>
        <v>407</v>
      </c>
      <c r="D796" s="2" t="str">
        <f t="shared" si="11"/>
        <v>Error?</v>
      </c>
    </row>
    <row r="797" spans="1:4" x14ac:dyDescent="0.2">
      <c r="A797" s="5">
        <v>736</v>
      </c>
      <c r="B797" s="138">
        <f>'Expenditures 15-22'!D60</f>
        <v>22744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23151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308449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983130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13231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258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2700</v>
      </c>
      <c r="D834" s="2" t="str">
        <f t="shared" si="12"/>
        <v>Error?</v>
      </c>
    </row>
    <row r="835" spans="1:4" x14ac:dyDescent="0.2">
      <c r="A835" s="5">
        <v>774</v>
      </c>
      <c r="B835" s="138">
        <f>'Expenditures 15-22'!E15</f>
        <v>358</v>
      </c>
      <c r="D835" s="2" t="str">
        <f t="shared" si="12"/>
        <v>Error?</v>
      </c>
    </row>
    <row r="836" spans="1:4" x14ac:dyDescent="0.2">
      <c r="A836" s="5">
        <v>775</v>
      </c>
      <c r="B836" s="138">
        <f>'Expenditures 15-22'!E33</f>
        <v>23890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30094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30154</v>
      </c>
      <c r="C843" s="2" t="s">
        <v>573</v>
      </c>
      <c r="D843" s="2" t="str">
        <f t="shared" si="12"/>
        <v>Error?</v>
      </c>
    </row>
    <row r="844" spans="1:4" x14ac:dyDescent="0.2">
      <c r="A844" s="5">
        <v>783</v>
      </c>
      <c r="B844" s="138">
        <f>'Expenditures 15-22'!E44</f>
        <v>13277</v>
      </c>
      <c r="D844" s="2" t="str">
        <f t="shared" si="12"/>
        <v>Error?</v>
      </c>
    </row>
    <row r="845" spans="1:4" x14ac:dyDescent="0.2">
      <c r="A845" s="5">
        <v>784</v>
      </c>
      <c r="B845" s="138">
        <f>'Expenditures 15-22'!E45</f>
        <v>41687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54964</v>
      </c>
      <c r="C847" s="2" t="s">
        <v>573</v>
      </c>
      <c r="D847" s="2" t="str">
        <f t="shared" si="12"/>
        <v>Error?</v>
      </c>
    </row>
    <row r="848" spans="1:4" x14ac:dyDescent="0.2">
      <c r="A848" s="5">
        <v>787</v>
      </c>
      <c r="B848" s="138">
        <f>'Expenditures 15-22'!E49</f>
        <v>562569</v>
      </c>
      <c r="D848" s="2" t="str">
        <f t="shared" si="12"/>
        <v>Error?</v>
      </c>
    </row>
    <row r="849" spans="1:4" x14ac:dyDescent="0.2">
      <c r="A849" s="5">
        <v>788</v>
      </c>
      <c r="B849" s="138">
        <f>'Expenditures 15-22'!E50</f>
        <v>8131</v>
      </c>
      <c r="D849" s="2" t="str">
        <f t="shared" si="12"/>
        <v>Error?</v>
      </c>
    </row>
    <row r="850" spans="1:4" x14ac:dyDescent="0.2">
      <c r="A850" s="5">
        <v>789</v>
      </c>
      <c r="B850" s="138">
        <f>'Expenditures 15-22'!E53</f>
        <v>570924</v>
      </c>
      <c r="C850" s="2" t="s">
        <v>573</v>
      </c>
      <c r="D850" s="2" t="str">
        <f t="shared" si="12"/>
        <v>Error?</v>
      </c>
    </row>
    <row r="851" spans="1:4" x14ac:dyDescent="0.2">
      <c r="A851" s="5">
        <v>790</v>
      </c>
      <c r="B851" s="138">
        <f>'Expenditures 15-22'!E55</f>
        <v>2099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2099</v>
      </c>
      <c r="C853" s="2" t="s">
        <v>573</v>
      </c>
      <c r="D853" s="2" t="str">
        <f t="shared" si="12"/>
        <v>Error?</v>
      </c>
    </row>
    <row r="854" spans="1:4" x14ac:dyDescent="0.2">
      <c r="A854" s="5">
        <v>793</v>
      </c>
      <c r="B854" s="138">
        <f>'Expenditures 15-22'!E59</f>
        <v>4668</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115695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120363</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778504</v>
      </c>
      <c r="C871" s="2" t="s">
        <v>573</v>
      </c>
      <c r="D871" s="2" t="str">
        <f t="shared" si="12"/>
        <v>Error?</v>
      </c>
    </row>
    <row r="872" spans="1:4" x14ac:dyDescent="0.2">
      <c r="A872" s="5">
        <v>811</v>
      </c>
      <c r="B872" s="138">
        <f>'Expenditures 15-22'!E75</f>
        <v>8869</v>
      </c>
      <c r="D872" s="2" t="str">
        <f t="shared" si="12"/>
        <v>Error?</v>
      </c>
    </row>
    <row r="873" spans="1:4" x14ac:dyDescent="0.2">
      <c r="A873" s="5">
        <v>812</v>
      </c>
      <c r="B873" s="138">
        <f>'Expenditures 15-22'!E114</f>
        <v>1187195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207053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925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4629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226482</v>
      </c>
      <c r="C894" s="2" t="s">
        <v>573</v>
      </c>
      <c r="D894" s="2" t="str">
        <f t="shared" si="12"/>
        <v>Error?</v>
      </c>
    </row>
    <row r="895" spans="1:4" x14ac:dyDescent="0.2">
      <c r="A895" s="5">
        <v>834</v>
      </c>
      <c r="B895" s="138">
        <f>'Expenditures 15-22'!F36</f>
        <v>1105</v>
      </c>
      <c r="D895" s="2" t="str">
        <f t="shared" ref="D895:D958" si="13">IF(ISBLANK(B895),"OK",IF(A895-B895=0,"OK","Error?"))</f>
        <v>Error?</v>
      </c>
    </row>
    <row r="896" spans="1:4" x14ac:dyDescent="0.2">
      <c r="A896" s="5">
        <v>835</v>
      </c>
      <c r="B896" s="138">
        <f>'Expenditures 15-22'!F37</f>
        <v>83</v>
      </c>
      <c r="D896" s="2" t="str">
        <f t="shared" si="13"/>
        <v>Error?</v>
      </c>
    </row>
    <row r="897" spans="1:4" x14ac:dyDescent="0.2">
      <c r="A897" s="5">
        <v>836</v>
      </c>
      <c r="B897" s="138">
        <f>'Expenditures 15-22'!F38</f>
        <v>3658</v>
      </c>
      <c r="D897" s="2" t="str">
        <f t="shared" si="13"/>
        <v>Error?</v>
      </c>
    </row>
    <row r="898" spans="1:4" x14ac:dyDescent="0.2">
      <c r="A898" s="5">
        <v>837</v>
      </c>
      <c r="B898" s="138">
        <f>'Expenditures 15-22'!F39</f>
        <v>973</v>
      </c>
      <c r="D898" s="2" t="str">
        <f t="shared" si="13"/>
        <v>Error?</v>
      </c>
    </row>
    <row r="899" spans="1:4" x14ac:dyDescent="0.2">
      <c r="A899" s="5">
        <v>838</v>
      </c>
      <c r="B899" s="138">
        <f>'Expenditures 15-22'!F40</f>
        <v>576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6395</v>
      </c>
      <c r="C901" s="2" t="s">
        <v>573</v>
      </c>
      <c r="D901" s="2" t="str">
        <f t="shared" si="13"/>
        <v>Error?</v>
      </c>
    </row>
    <row r="902" spans="1:4" x14ac:dyDescent="0.2">
      <c r="A902" s="5">
        <v>841</v>
      </c>
      <c r="B902" s="138">
        <f>'Expenditures 15-22'!F44</f>
        <v>3993</v>
      </c>
      <c r="D902" s="2" t="str">
        <f t="shared" si="13"/>
        <v>Error?</v>
      </c>
    </row>
    <row r="903" spans="1:4" x14ac:dyDescent="0.2">
      <c r="A903" s="5">
        <v>842</v>
      </c>
      <c r="B903" s="138">
        <f>'Expenditures 15-22'!F45</f>
        <v>61655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65648</v>
      </c>
      <c r="C905" s="2" t="s">
        <v>573</v>
      </c>
      <c r="D905" s="2" t="str">
        <f t="shared" si="13"/>
        <v>Error?</v>
      </c>
    </row>
    <row r="906" spans="1:4" x14ac:dyDescent="0.2">
      <c r="A906" s="5">
        <v>845</v>
      </c>
      <c r="B906" s="138">
        <f>'Expenditures 15-22'!F49</f>
        <v>16919</v>
      </c>
      <c r="D906" s="2" t="str">
        <f t="shared" si="13"/>
        <v>Error?</v>
      </c>
    </row>
    <row r="907" spans="1:4" x14ac:dyDescent="0.2">
      <c r="A907" s="5">
        <v>846</v>
      </c>
      <c r="B907" s="138">
        <f>'Expenditures 15-22'!F50</f>
        <v>1558</v>
      </c>
      <c r="D907" s="2" t="str">
        <f t="shared" si="13"/>
        <v>Error?</v>
      </c>
    </row>
    <row r="908" spans="1:4" x14ac:dyDescent="0.2">
      <c r="A908" s="5">
        <v>847</v>
      </c>
      <c r="B908" s="138">
        <f>'Expenditures 15-22'!F53</f>
        <v>20102</v>
      </c>
      <c r="C908" s="2" t="s">
        <v>573</v>
      </c>
      <c r="D908" s="2" t="str">
        <f t="shared" si="13"/>
        <v>Error?</v>
      </c>
    </row>
    <row r="909" spans="1:4" x14ac:dyDescent="0.2">
      <c r="A909" s="5">
        <v>848</v>
      </c>
      <c r="B909" s="138">
        <f>'Expenditures 15-22'!F55</f>
        <v>10815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10815</v>
      </c>
      <c r="C911" s="2" t="s">
        <v>573</v>
      </c>
      <c r="D911" s="2" t="str">
        <f t="shared" si="13"/>
        <v>Error?</v>
      </c>
    </row>
    <row r="912" spans="1:4" x14ac:dyDescent="0.2">
      <c r="A912" s="5">
        <v>851</v>
      </c>
      <c r="B912" s="138">
        <f>'Expenditures 15-22'!F59</f>
        <v>655</v>
      </c>
      <c r="D912" s="2" t="str">
        <f t="shared" si="13"/>
        <v>Error?</v>
      </c>
    </row>
    <row r="913" spans="1:4" x14ac:dyDescent="0.2">
      <c r="A913" s="5">
        <v>852</v>
      </c>
      <c r="B913" s="138">
        <f>'Expenditures 15-22'!F60</f>
        <v>126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3635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106595</v>
      </c>
      <c r="C929" s="2" t="s">
        <v>573</v>
      </c>
      <c r="D929" s="2" t="str">
        <f t="shared" si="13"/>
        <v>Error?</v>
      </c>
    </row>
    <row r="930" spans="1:4" x14ac:dyDescent="0.2">
      <c r="A930" s="5">
        <v>869</v>
      </c>
      <c r="B930" s="138">
        <f>'Expenditures 15-22'!F75</f>
        <v>750</v>
      </c>
      <c r="D930" s="2" t="str">
        <f t="shared" si="13"/>
        <v>Error?</v>
      </c>
    </row>
    <row r="931" spans="1:4" x14ac:dyDescent="0.2">
      <c r="A931" s="5">
        <v>870</v>
      </c>
      <c r="B931" s="138">
        <f>'Expenditures 15-22'!F114</f>
        <v>333827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65726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65726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2508</v>
      </c>
      <c r="D965" s="2" t="str">
        <f t="shared" si="14"/>
        <v>Error?</v>
      </c>
    </row>
    <row r="966" spans="1:4" x14ac:dyDescent="0.2">
      <c r="A966" s="5">
        <v>905</v>
      </c>
      <c r="B966" s="138">
        <f>'Expenditures 15-22'!G53</f>
        <v>2508</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2508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68234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926</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926</v>
      </c>
      <c r="C1021" s="2" t="s">
        <v>573</v>
      </c>
      <c r="D1021" s="2" t="str">
        <f t="shared" si="14"/>
        <v>Error?</v>
      </c>
    </row>
    <row r="1022" spans="1:4" x14ac:dyDescent="0.2">
      <c r="A1022" s="5">
        <v>961</v>
      </c>
      <c r="B1022" s="138">
        <f>'Expenditures 15-22'!H49</f>
        <v>9247</v>
      </c>
      <c r="D1022" s="2" t="str">
        <f t="shared" si="14"/>
        <v>Error?</v>
      </c>
    </row>
    <row r="1023" spans="1:4" x14ac:dyDescent="0.2">
      <c r="A1023" s="5">
        <v>962</v>
      </c>
      <c r="B1023" s="138">
        <f>'Expenditures 15-22'!H50</f>
        <v>6631</v>
      </c>
      <c r="D1023" s="2" t="str">
        <f t="shared" ref="D1023:D1086" si="15">IF(ISBLANK(B1023),"OK",IF(A1023-B1023=0,"OK","Error?"))</f>
        <v>Error?</v>
      </c>
    </row>
    <row r="1024" spans="1:4" x14ac:dyDescent="0.2">
      <c r="A1024" s="5">
        <v>963</v>
      </c>
      <c r="B1024" s="138">
        <f>'Expenditures 15-22'!H53</f>
        <v>16058</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1004</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17988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17988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3220229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112698</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124682</v>
      </c>
      <c r="C1106" s="2" t="s">
        <v>573</v>
      </c>
      <c r="D1106" s="2" t="str">
        <f t="shared" si="16"/>
        <v>Error?</v>
      </c>
    </row>
    <row r="1107" spans="1:4" x14ac:dyDescent="0.2">
      <c r="A1107" s="5">
        <v>1046</v>
      </c>
      <c r="B1107" s="138">
        <f>'Expenditures 15-22'!K15</f>
        <v>10020</v>
      </c>
      <c r="C1107" s="2" t="s">
        <v>573</v>
      </c>
      <c r="D1107" s="2" t="str">
        <f t="shared" si="16"/>
        <v>Error?</v>
      </c>
    </row>
    <row r="1108" spans="1:4" x14ac:dyDescent="0.2">
      <c r="A1108" s="5">
        <v>1047</v>
      </c>
      <c r="B1108" s="138">
        <f>'Expenditures 15-22'!K33</f>
        <v>4387368</v>
      </c>
      <c r="C1108" s="2" t="s">
        <v>573</v>
      </c>
      <c r="D1108" s="2" t="str">
        <f t="shared" si="16"/>
        <v>Error?</v>
      </c>
    </row>
    <row r="1109" spans="1:4" x14ac:dyDescent="0.2">
      <c r="A1109" s="5">
        <v>1048</v>
      </c>
      <c r="B1109" s="138">
        <f>'Expenditures 15-22'!K36</f>
        <v>114118</v>
      </c>
      <c r="C1109" s="2" t="s">
        <v>573</v>
      </c>
      <c r="D1109" s="2" t="str">
        <f t="shared" si="16"/>
        <v>Error?</v>
      </c>
    </row>
    <row r="1110" spans="1:4" x14ac:dyDescent="0.2">
      <c r="A1110" s="5">
        <v>1049</v>
      </c>
      <c r="B1110" s="138">
        <f>'Expenditures 15-22'!K37</f>
        <v>83</v>
      </c>
      <c r="C1110" s="2" t="s">
        <v>573</v>
      </c>
      <c r="D1110" s="2" t="str">
        <f t="shared" si="16"/>
        <v>Error?</v>
      </c>
    </row>
    <row r="1111" spans="1:4" x14ac:dyDescent="0.2">
      <c r="A1111" s="5">
        <v>1050</v>
      </c>
      <c r="B1111" s="138">
        <f>'Expenditures 15-22'!K38</f>
        <v>163038</v>
      </c>
      <c r="C1111" s="2" t="s">
        <v>573</v>
      </c>
      <c r="D1111" s="2" t="str">
        <f t="shared" si="16"/>
        <v>Error?</v>
      </c>
    </row>
    <row r="1112" spans="1:4" x14ac:dyDescent="0.2">
      <c r="A1112" s="5">
        <v>1051</v>
      </c>
      <c r="B1112" s="138">
        <f>'Expenditures 15-22'!K39</f>
        <v>59093</v>
      </c>
      <c r="C1112" s="2" t="s">
        <v>573</v>
      </c>
      <c r="D1112" s="2" t="str">
        <f t="shared" si="16"/>
        <v>Error?</v>
      </c>
    </row>
    <row r="1113" spans="1:4" x14ac:dyDescent="0.2">
      <c r="A1113" s="5">
        <v>1052</v>
      </c>
      <c r="B1113" s="138">
        <f>'Expenditures 15-22'!K40</f>
        <v>110371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446703</v>
      </c>
      <c r="C1115" s="2" t="s">
        <v>573</v>
      </c>
      <c r="D1115" s="2" t="str">
        <f t="shared" si="16"/>
        <v>Error?</v>
      </c>
    </row>
    <row r="1116" spans="1:4" x14ac:dyDescent="0.2">
      <c r="A1116" s="5">
        <v>1055</v>
      </c>
      <c r="B1116" s="138">
        <f>'Expenditures 15-22'!K44</f>
        <v>235058</v>
      </c>
      <c r="C1116" s="2" t="s">
        <v>573</v>
      </c>
      <c r="D1116" s="2" t="str">
        <f t="shared" si="16"/>
        <v>Error?</v>
      </c>
    </row>
    <row r="1117" spans="1:4" x14ac:dyDescent="0.2">
      <c r="A1117" s="5">
        <v>1056</v>
      </c>
      <c r="B1117" s="138">
        <f>'Expenditures 15-22'!K45</f>
        <v>292488</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527546</v>
      </c>
      <c r="C1119" s="2" t="s">
        <v>573</v>
      </c>
      <c r="D1119" s="2" t="str">
        <f t="shared" si="16"/>
        <v>Error?</v>
      </c>
    </row>
    <row r="1120" spans="1:4" x14ac:dyDescent="0.2">
      <c r="A1120" s="5">
        <v>1059</v>
      </c>
      <c r="B1120" s="138">
        <f>'Expenditures 15-22'!K49</f>
        <v>621040</v>
      </c>
      <c r="C1120" s="2" t="s">
        <v>573</v>
      </c>
      <c r="D1120" s="2" t="str">
        <f t="shared" si="16"/>
        <v>Error?</v>
      </c>
    </row>
    <row r="1121" spans="1:4" x14ac:dyDescent="0.2">
      <c r="A1121" s="5">
        <v>1060</v>
      </c>
      <c r="B1121" s="138">
        <f>'Expenditures 15-22'!K50</f>
        <v>330655</v>
      </c>
      <c r="C1121" s="2" t="s">
        <v>573</v>
      </c>
      <c r="D1121" s="2" t="str">
        <f t="shared" si="16"/>
        <v>Error?</v>
      </c>
    </row>
    <row r="1122" spans="1:4" x14ac:dyDescent="0.2">
      <c r="A1122" s="5">
        <v>1061</v>
      </c>
      <c r="B1122" s="138">
        <f>'Expenditures 15-22'!K53</f>
        <v>1093320</v>
      </c>
      <c r="C1122" s="2" t="s">
        <v>573</v>
      </c>
      <c r="D1122" s="2" t="str">
        <f t="shared" si="16"/>
        <v>Error?</v>
      </c>
    </row>
    <row r="1123" spans="1:4" x14ac:dyDescent="0.2">
      <c r="A1123" s="5">
        <v>1062</v>
      </c>
      <c r="B1123" s="138">
        <f>'Expenditures 15-22'!K55</f>
        <v>658857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658857</v>
      </c>
      <c r="C1125" s="2" t="s">
        <v>573</v>
      </c>
      <c r="D1125" s="2" t="str">
        <f t="shared" si="16"/>
        <v>Error?</v>
      </c>
    </row>
    <row r="1126" spans="1:4" x14ac:dyDescent="0.2">
      <c r="A1126" s="5">
        <v>1065</v>
      </c>
      <c r="B1126" s="138">
        <f>'Expenditures 15-22'!K59</f>
        <v>40961</v>
      </c>
      <c r="C1126" s="2" t="s">
        <v>573</v>
      </c>
      <c r="D1126" s="2" t="str">
        <f t="shared" si="16"/>
        <v>Error?</v>
      </c>
    </row>
    <row r="1127" spans="1:4" x14ac:dyDescent="0.2">
      <c r="A1127" s="5">
        <v>1066</v>
      </c>
      <c r="B1127" s="138">
        <f>'Expenditures 15-22'!K60</f>
        <v>149909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174686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365556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32500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32500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3124482</v>
      </c>
      <c r="C1143" s="2" t="s">
        <v>573</v>
      </c>
      <c r="D1143" s="2" t="str">
        <f t="shared" si="16"/>
        <v>Error?</v>
      </c>
    </row>
    <row r="1144" spans="1:4" x14ac:dyDescent="0.2">
      <c r="A1144" s="5">
        <v>1083</v>
      </c>
      <c r="B1144" s="138">
        <f>'Expenditures 15-22'!K75</f>
        <v>9619</v>
      </c>
      <c r="C1144" s="2" t="s">
        <v>573</v>
      </c>
      <c r="D1144" s="2" t="str">
        <f t="shared" si="16"/>
        <v>Error?</v>
      </c>
    </row>
    <row r="1145" spans="1:4" x14ac:dyDescent="0.2">
      <c r="A1145" s="5">
        <v>1084</v>
      </c>
      <c r="B1145" s="138">
        <f>'Expenditures 15-22'!K102</f>
        <v>375932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7897401</v>
      </c>
      <c r="C1152" s="2" t="s">
        <v>573</v>
      </c>
      <c r="D1152" s="2" t="str">
        <f t="shared" si="17"/>
        <v>Error?</v>
      </c>
    </row>
    <row r="1153" spans="1:4" x14ac:dyDescent="0.2">
      <c r="A1153" s="5">
        <v>1092</v>
      </c>
      <c r="B1153" s="138">
        <f>'Expenditures 15-22'!K115</f>
        <v>1025035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32017</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79325</v>
      </c>
      <c r="D1221" s="2" t="str">
        <f t="shared" si="18"/>
        <v>Error?</v>
      </c>
    </row>
    <row r="1222" spans="1:4" x14ac:dyDescent="0.2">
      <c r="A1222" s="10">
        <v>1161</v>
      </c>
      <c r="D1222" s="2" t="str">
        <f t="shared" si="18"/>
        <v>OK</v>
      </c>
    </row>
    <row r="1223" spans="1:4" x14ac:dyDescent="0.2">
      <c r="A1223" s="5">
        <v>1162</v>
      </c>
      <c r="B1223" s="138">
        <f>'Expenditures 15-22'!C127</f>
        <v>111342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111342</v>
      </c>
      <c r="C1225" s="2" t="s">
        <v>573</v>
      </c>
      <c r="D1225" s="2" t="str">
        <f t="shared" si="18"/>
        <v>Error?</v>
      </c>
    </row>
    <row r="1226" spans="1:4" x14ac:dyDescent="0.2">
      <c r="A1226" s="5">
        <v>1165</v>
      </c>
      <c r="B1226" s="138">
        <f>'Expenditures 15-22'!C151</f>
        <v>111342</v>
      </c>
      <c r="C1226" s="2" t="s">
        <v>573</v>
      </c>
      <c r="D1226" s="2" t="str">
        <f t="shared" si="18"/>
        <v>Error?</v>
      </c>
    </row>
    <row r="1227" spans="1:4" x14ac:dyDescent="0.2">
      <c r="A1227" s="5">
        <v>1166</v>
      </c>
      <c r="B1227" s="138">
        <f>'Expenditures 15-22'!D122</f>
        <v>384</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17639</v>
      </c>
      <c r="D1229" s="2" t="str">
        <f t="shared" si="18"/>
        <v>Error?</v>
      </c>
    </row>
    <row r="1230" spans="1:4" x14ac:dyDescent="0.2">
      <c r="A1230" s="10">
        <v>1169</v>
      </c>
      <c r="D1230" s="2" t="str">
        <f t="shared" si="18"/>
        <v>OK</v>
      </c>
    </row>
    <row r="1231" spans="1:4" x14ac:dyDescent="0.2">
      <c r="A1231" s="5">
        <v>1170</v>
      </c>
      <c r="B1231" s="138">
        <f>'Expenditures 15-22'!D127</f>
        <v>18023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18023</v>
      </c>
      <c r="C1233" s="2" t="s">
        <v>573</v>
      </c>
      <c r="D1233" s="2" t="str">
        <f t="shared" si="18"/>
        <v>Error?</v>
      </c>
    </row>
    <row r="1234" spans="1:4" x14ac:dyDescent="0.2">
      <c r="A1234" s="5">
        <v>1173</v>
      </c>
      <c r="B1234" s="138">
        <f>'Expenditures 15-22'!D151</f>
        <v>18023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1083100</v>
      </c>
      <c r="D1237" s="2" t="str">
        <f t="shared" si="18"/>
        <v>Error?</v>
      </c>
    </row>
    <row r="1238" spans="1:4" x14ac:dyDescent="0.2">
      <c r="A1238" s="10">
        <v>1177</v>
      </c>
      <c r="D1238" s="2" t="str">
        <f t="shared" si="18"/>
        <v>OK</v>
      </c>
    </row>
    <row r="1239" spans="1:4" x14ac:dyDescent="0.2">
      <c r="A1239" s="5">
        <v>1178</v>
      </c>
      <c r="B1239" s="138">
        <f>'Expenditures 15-22'!E127</f>
        <v>1083100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1083100</v>
      </c>
      <c r="C1241" s="2" t="s">
        <v>573</v>
      </c>
      <c r="D1241" s="2" t="str">
        <f t="shared" si="18"/>
        <v>Error?</v>
      </c>
    </row>
    <row r="1242" spans="1:4" x14ac:dyDescent="0.2">
      <c r="A1242" s="5">
        <v>1181</v>
      </c>
      <c r="B1242" s="138">
        <f>'Expenditures 15-22'!E151</f>
        <v>1083100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173744</v>
      </c>
      <c r="D1245" s="2" t="str">
        <f t="shared" si="18"/>
        <v>Error?</v>
      </c>
    </row>
    <row r="1246" spans="1:4" x14ac:dyDescent="0.2">
      <c r="A1246" s="10">
        <v>1185</v>
      </c>
      <c r="D1246" s="2" t="str">
        <f t="shared" si="18"/>
        <v>OK</v>
      </c>
    </row>
    <row r="1247" spans="1:4" x14ac:dyDescent="0.2">
      <c r="A1247" s="5">
        <v>1186</v>
      </c>
      <c r="B1247" s="138">
        <f>'Expenditures 15-22'!F127</f>
        <v>173744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173744</v>
      </c>
      <c r="C1249" s="2" t="s">
        <v>573</v>
      </c>
      <c r="D1249" s="2" t="str">
        <f t="shared" si="18"/>
        <v>Error?</v>
      </c>
    </row>
    <row r="1250" spans="1:4" x14ac:dyDescent="0.2">
      <c r="A1250" s="5">
        <v>1189</v>
      </c>
      <c r="B1250" s="138">
        <f>'Expenditures 15-22'!F151</f>
        <v>173744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70606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70606</v>
      </c>
      <c r="C1256" s="2" t="s">
        <v>573</v>
      </c>
      <c r="D1256" s="2" t="str">
        <f t="shared" si="18"/>
        <v>Error?</v>
      </c>
    </row>
    <row r="1257" spans="1:4" x14ac:dyDescent="0.2">
      <c r="A1257" s="5">
        <v>1196</v>
      </c>
      <c r="B1257" s="138">
        <f>'Expenditures 15-22'!G128</f>
        <v>6502</v>
      </c>
      <c r="D1257" s="2" t="str">
        <f t="shared" si="18"/>
        <v>Error?</v>
      </c>
    </row>
    <row r="1258" spans="1:4" x14ac:dyDescent="0.2">
      <c r="A1258" s="5">
        <v>1197</v>
      </c>
      <c r="B1258" s="138">
        <f>'Expenditures 15-22'!G129</f>
        <v>77108</v>
      </c>
      <c r="C1258" s="2" t="s">
        <v>573</v>
      </c>
      <c r="D1258" s="2" t="str">
        <f t="shared" si="18"/>
        <v>Error?</v>
      </c>
    </row>
    <row r="1259" spans="1:4" x14ac:dyDescent="0.2">
      <c r="A1259" s="5">
        <v>1198</v>
      </c>
      <c r="B1259" s="138">
        <f>'Expenditures 15-22'!G151</f>
        <v>77108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32401</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1424414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1456815</v>
      </c>
      <c r="C1279" s="2" t="s">
        <v>573</v>
      </c>
      <c r="D1279" s="2" t="str">
        <f t="shared" ref="D1279:D1342" si="19">IF(ISBLANK(B1279),"OK",IF(A1279-B1279=0,"OK","Error?"))</f>
        <v>Error?</v>
      </c>
    </row>
    <row r="1280" spans="1:4" x14ac:dyDescent="0.2">
      <c r="A1280" s="5">
        <v>1219</v>
      </c>
      <c r="B1280" s="138">
        <f>'Expenditures 15-22'!K128</f>
        <v>6502</v>
      </c>
      <c r="C1280" s="2" t="s">
        <v>573</v>
      </c>
      <c r="D1280" s="2" t="str">
        <f t="shared" si="19"/>
        <v>Error?</v>
      </c>
    </row>
    <row r="1281" spans="1:4" x14ac:dyDescent="0.2">
      <c r="A1281" s="5">
        <v>1220</v>
      </c>
      <c r="B1281" s="138">
        <f>'Expenditures 15-22'!K129</f>
        <v>1463317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1463317</v>
      </c>
      <c r="C1288" s="2" t="s">
        <v>573</v>
      </c>
      <c r="D1288" s="2" t="str">
        <f t="shared" si="19"/>
        <v>Error?</v>
      </c>
    </row>
    <row r="1289" spans="1:4" x14ac:dyDescent="0.2">
      <c r="A1289" s="5">
        <v>1228</v>
      </c>
      <c r="B1289" s="138">
        <f>'Expenditures 15-22'!K152</f>
        <v>-34837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2450</v>
      </c>
      <c r="D1307" s="2" t="str">
        <f t="shared" si="19"/>
        <v>Error?</v>
      </c>
    </row>
    <row r="1308" spans="1:4" x14ac:dyDescent="0.2">
      <c r="A1308" s="5">
        <v>1247</v>
      </c>
      <c r="B1308" s="138">
        <f>'Expenditures 15-22'!E172</f>
        <v>2450</v>
      </c>
      <c r="C1308" s="2" t="s">
        <v>573</v>
      </c>
      <c r="D1308" s="2" t="str">
        <f t="shared" si="19"/>
        <v>Error?</v>
      </c>
    </row>
    <row r="1309" spans="1:4" x14ac:dyDescent="0.2">
      <c r="A1309" s="5">
        <v>1248</v>
      </c>
      <c r="B1309" s="138">
        <f>'Expenditures 15-22'!E174</f>
        <v>2450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331868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1878890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2210758</v>
      </c>
      <c r="C1317" s="2" t="s">
        <v>573</v>
      </c>
      <c r="D1317" s="2" t="str">
        <f t="shared" si="19"/>
        <v>Error?</v>
      </c>
    </row>
    <row r="1318" spans="1:4" x14ac:dyDescent="0.2">
      <c r="A1318" s="5">
        <v>1257</v>
      </c>
      <c r="B1318" s="138">
        <f>'Expenditures 15-22'!H174</f>
        <v>2210758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331868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1878890</v>
      </c>
      <c r="C1329" s="2" t="s">
        <v>573</v>
      </c>
      <c r="D1329" s="2" t="str">
        <f t="shared" si="19"/>
        <v>Error?</v>
      </c>
    </row>
    <row r="1330" spans="1:4" x14ac:dyDescent="0.2">
      <c r="A1330" s="5">
        <v>1269</v>
      </c>
      <c r="B1330" s="138">
        <f>'Expenditures 15-22'!K171</f>
        <v>2450</v>
      </c>
      <c r="C1330" s="2" t="s">
        <v>573</v>
      </c>
      <c r="D1330" s="2" t="str">
        <f t="shared" si="19"/>
        <v>Error?</v>
      </c>
    </row>
    <row r="1331" spans="1:4" x14ac:dyDescent="0.2">
      <c r="A1331" s="5">
        <v>1270</v>
      </c>
      <c r="B1331" s="138">
        <f>'Expenditures 15-22'!K172</f>
        <v>2213208</v>
      </c>
      <c r="C1331" s="2" t="s">
        <v>573</v>
      </c>
      <c r="D1331" s="2" t="str">
        <f t="shared" si="19"/>
        <v>Error?</v>
      </c>
    </row>
    <row r="1332" spans="1:4" x14ac:dyDescent="0.2">
      <c r="A1332" s="5">
        <v>1271</v>
      </c>
      <c r="B1332" s="138">
        <f>'Expenditures 15-22'!K174</f>
        <v>2213208</v>
      </c>
      <c r="C1332" s="2" t="s">
        <v>573</v>
      </c>
      <c r="D1332" s="2" t="str">
        <f t="shared" si="19"/>
        <v>Error?</v>
      </c>
    </row>
    <row r="1333" spans="1:4" x14ac:dyDescent="0.2">
      <c r="A1333" s="5">
        <v>1272</v>
      </c>
      <c r="B1333" s="138">
        <f>'Expenditures 15-22'!K175</f>
        <v>-492999</v>
      </c>
      <c r="C1333" s="2" t="s">
        <v>573</v>
      </c>
      <c r="D1333" s="2" t="str">
        <f t="shared" si="19"/>
        <v>Error?</v>
      </c>
    </row>
    <row r="1334" spans="1:4" x14ac:dyDescent="0.2">
      <c r="A1334" s="10">
        <v>1273</v>
      </c>
      <c r="D1334" s="2" t="str">
        <f t="shared" si="19"/>
        <v>OK</v>
      </c>
    </row>
    <row r="1335" spans="1:4" x14ac:dyDescent="0.2">
      <c r="A1335" s="5">
        <v>1274</v>
      </c>
      <c r="B1335" s="138">
        <f>'Expenditures 15-22'!C182</f>
        <v>31047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31047</v>
      </c>
      <c r="C1339" s="2" t="s">
        <v>573</v>
      </c>
      <c r="D1339" s="2" t="str">
        <f t="shared" si="19"/>
        <v>Error?</v>
      </c>
    </row>
    <row r="1340" spans="1:4" x14ac:dyDescent="0.2">
      <c r="A1340" s="5">
        <v>1279</v>
      </c>
      <c r="B1340" s="138">
        <f>'Expenditures 15-22'!C210</f>
        <v>31047</v>
      </c>
      <c r="C1340" s="2" t="s">
        <v>573</v>
      </c>
      <c r="D1340" s="2" t="str">
        <f t="shared" si="19"/>
        <v>Error?</v>
      </c>
    </row>
    <row r="1341" spans="1:4" x14ac:dyDescent="0.2">
      <c r="A1341" s="5">
        <v>1280</v>
      </c>
      <c r="B1341" s="138">
        <f>'Expenditures 15-22'!D182</f>
        <v>372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372</v>
      </c>
      <c r="C1345" s="2" t="s">
        <v>573</v>
      </c>
      <c r="D1345" s="2" t="str">
        <f t="shared" si="20"/>
        <v>Error?</v>
      </c>
    </row>
    <row r="1346" spans="1:4" x14ac:dyDescent="0.2">
      <c r="A1346" s="5">
        <v>1285</v>
      </c>
      <c r="B1346" s="138">
        <f>'Expenditures 15-22'!D210</f>
        <v>372</v>
      </c>
      <c r="C1346" s="2" t="s">
        <v>573</v>
      </c>
      <c r="D1346" s="2" t="str">
        <f t="shared" si="20"/>
        <v>Error?</v>
      </c>
    </row>
    <row r="1347" spans="1:4" x14ac:dyDescent="0.2">
      <c r="A1347" s="5">
        <v>1286</v>
      </c>
      <c r="B1347" s="138">
        <f>'Expenditures 15-22'!E182</f>
        <v>637089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637089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637089</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668508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668508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668508</v>
      </c>
      <c r="C1388" s="2" t="s">
        <v>573</v>
      </c>
      <c r="D1388" s="2" t="str">
        <f t="shared" si="20"/>
        <v>Error?</v>
      </c>
    </row>
    <row r="1389" spans="1:4" x14ac:dyDescent="0.2">
      <c r="A1389" s="5">
        <v>1328</v>
      </c>
      <c r="B1389" s="138">
        <f>'Expenditures 15-22'!K211</f>
        <v>46959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1279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138</v>
      </c>
      <c r="D1409" s="2" t="str">
        <f t="shared" si="21"/>
        <v>Error?</v>
      </c>
    </row>
    <row r="1410" spans="1:4" x14ac:dyDescent="0.2">
      <c r="A1410" s="5">
        <v>1349</v>
      </c>
      <c r="B1410" s="138">
        <f>'Expenditures 15-22'!D229</f>
        <v>66556</v>
      </c>
      <c r="C1410" s="2" t="s">
        <v>573</v>
      </c>
      <c r="D1410" s="2" t="str">
        <f t="shared" si="21"/>
        <v>Error?</v>
      </c>
    </row>
    <row r="1411" spans="1:4" x14ac:dyDescent="0.2">
      <c r="A1411" s="5">
        <v>1350</v>
      </c>
      <c r="B1411" s="138">
        <f>'Expenditures 15-22'!D232</f>
        <v>1447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6510</v>
      </c>
      <c r="D1413" s="2" t="str">
        <f t="shared" si="21"/>
        <v>Error?</v>
      </c>
    </row>
    <row r="1414" spans="1:4" x14ac:dyDescent="0.2">
      <c r="A1414" s="5">
        <v>1353</v>
      </c>
      <c r="B1414" s="138">
        <f>'Expenditures 15-22'!D235</f>
        <v>816</v>
      </c>
      <c r="D1414" s="2" t="str">
        <f t="shared" si="21"/>
        <v>Error?</v>
      </c>
    </row>
    <row r="1415" spans="1:4" x14ac:dyDescent="0.2">
      <c r="A1415" s="5">
        <v>1354</v>
      </c>
      <c r="B1415" s="138">
        <f>'Expenditures 15-22'!D236</f>
        <v>891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9664</v>
      </c>
      <c r="C1417" s="2" t="s">
        <v>573</v>
      </c>
      <c r="D1417" s="2" t="str">
        <f t="shared" si="21"/>
        <v>Error?</v>
      </c>
    </row>
    <row r="1418" spans="1:4" x14ac:dyDescent="0.2">
      <c r="A1418" s="5">
        <v>1357</v>
      </c>
      <c r="B1418" s="138">
        <f>'Expenditures 15-22'!D240</f>
        <v>12806</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12806</v>
      </c>
      <c r="C1421" s="2" t="s">
        <v>573</v>
      </c>
      <c r="D1421" s="2" t="str">
        <f t="shared" si="21"/>
        <v>Error?</v>
      </c>
    </row>
    <row r="1422" spans="1:4" x14ac:dyDescent="0.2">
      <c r="A1422" s="5">
        <v>1361</v>
      </c>
      <c r="B1422" s="138">
        <f>'Expenditures 15-22'!D245</f>
        <v>2768</v>
      </c>
      <c r="D1422" s="2" t="str">
        <f t="shared" si="21"/>
        <v>Error?</v>
      </c>
    </row>
    <row r="1423" spans="1:4" x14ac:dyDescent="0.2">
      <c r="A1423" s="5">
        <v>1362</v>
      </c>
      <c r="B1423" s="138">
        <f>'Expenditures 15-22'!D246</f>
        <v>15405</v>
      </c>
      <c r="D1423" s="2" t="str">
        <f t="shared" si="21"/>
        <v>Error?</v>
      </c>
    </row>
    <row r="1424" spans="1:4" x14ac:dyDescent="0.2">
      <c r="A1424" s="5">
        <v>1363</v>
      </c>
      <c r="B1424" s="138">
        <f>'Expenditures 15-22'!D257</f>
        <v>25441</v>
      </c>
      <c r="C1424" s="2" t="s">
        <v>573</v>
      </c>
      <c r="D1424" s="2" t="str">
        <f t="shared" si="21"/>
        <v>Error?</v>
      </c>
    </row>
    <row r="1425" spans="1:4" x14ac:dyDescent="0.2">
      <c r="A1425" s="5">
        <v>1364</v>
      </c>
      <c r="B1425" s="138">
        <f>'Expenditures 15-22'!D259</f>
        <v>21178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21178</v>
      </c>
      <c r="C1427" s="2" t="s">
        <v>573</v>
      </c>
      <c r="D1427" s="2" t="str">
        <f t="shared" si="21"/>
        <v>Error?</v>
      </c>
    </row>
    <row r="1428" spans="1:4" x14ac:dyDescent="0.2">
      <c r="A1428" s="5">
        <v>1367</v>
      </c>
      <c r="B1428" s="138">
        <f>'Expenditures 15-22'!D263</f>
        <v>2436</v>
      </c>
      <c r="D1428" s="2" t="str">
        <f t="shared" si="21"/>
        <v>Error?</v>
      </c>
    </row>
    <row r="1429" spans="1:4" x14ac:dyDescent="0.2">
      <c r="A1429" s="5">
        <v>1368</v>
      </c>
      <c r="B1429" s="138">
        <f>'Expenditures 15-22'!D264</f>
        <v>14856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8314</v>
      </c>
      <c r="D1431" s="2" t="str">
        <f t="shared" si="21"/>
        <v>Error?</v>
      </c>
    </row>
    <row r="1432" spans="1:4" x14ac:dyDescent="0.2">
      <c r="A1432" s="5">
        <v>1371</v>
      </c>
      <c r="B1432" s="138">
        <f>'Expenditures 15-22'!D267</f>
        <v>1135</v>
      </c>
      <c r="D1432" s="2" t="str">
        <f t="shared" si="21"/>
        <v>Error?</v>
      </c>
    </row>
    <row r="1433" spans="1:4" x14ac:dyDescent="0.2">
      <c r="A1433" s="5">
        <v>1372</v>
      </c>
      <c r="B1433" s="138">
        <f>'Expenditures 15-22'!D268</f>
        <v>4265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31006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100095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166651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1279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138</v>
      </c>
      <c r="C1473" s="2" t="s">
        <v>573</v>
      </c>
      <c r="D1473" s="2" t="str">
        <f t="shared" si="22"/>
        <v>Error?</v>
      </c>
    </row>
    <row r="1474" spans="1:4" x14ac:dyDescent="0.2">
      <c r="A1474" s="5">
        <v>1413</v>
      </c>
      <c r="B1474" s="138">
        <f>'Expenditures 15-22'!K229</f>
        <v>66556</v>
      </c>
      <c r="C1474" s="2" t="s">
        <v>573</v>
      </c>
      <c r="D1474" s="2" t="str">
        <f t="shared" si="22"/>
        <v>Error?</v>
      </c>
    </row>
    <row r="1475" spans="1:4" x14ac:dyDescent="0.2">
      <c r="A1475" s="5">
        <v>1414</v>
      </c>
      <c r="B1475" s="138">
        <f>'Expenditures 15-22'!K232</f>
        <v>1447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6510</v>
      </c>
      <c r="C1477" s="2" t="s">
        <v>573</v>
      </c>
      <c r="D1477" s="2" t="str">
        <f t="shared" si="22"/>
        <v>Error?</v>
      </c>
    </row>
    <row r="1478" spans="1:4" x14ac:dyDescent="0.2">
      <c r="A1478" s="5">
        <v>1417</v>
      </c>
      <c r="B1478" s="138">
        <f>'Expenditures 15-22'!K235</f>
        <v>816</v>
      </c>
      <c r="C1478" s="2" t="s">
        <v>573</v>
      </c>
      <c r="D1478" s="2" t="str">
        <f t="shared" si="22"/>
        <v>Error?</v>
      </c>
    </row>
    <row r="1479" spans="1:4" x14ac:dyDescent="0.2">
      <c r="A1479" s="5">
        <v>1418</v>
      </c>
      <c r="B1479" s="138">
        <f>'Expenditures 15-22'!K236</f>
        <v>891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9664</v>
      </c>
      <c r="C1481" s="2" t="s">
        <v>573</v>
      </c>
      <c r="D1481" s="2" t="str">
        <f t="shared" si="22"/>
        <v>Error?</v>
      </c>
    </row>
    <row r="1482" spans="1:4" x14ac:dyDescent="0.2">
      <c r="A1482" s="5">
        <v>1421</v>
      </c>
      <c r="B1482" s="138">
        <f>'Expenditures 15-22'!K240</f>
        <v>12806</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12806</v>
      </c>
      <c r="C1485" s="2" t="s">
        <v>573</v>
      </c>
      <c r="D1485" s="2" t="str">
        <f t="shared" si="22"/>
        <v>Error?</v>
      </c>
    </row>
    <row r="1486" spans="1:4" x14ac:dyDescent="0.2">
      <c r="A1486" s="5">
        <v>1425</v>
      </c>
      <c r="B1486" s="138">
        <f>'Expenditures 15-22'!K245</f>
        <v>2768</v>
      </c>
      <c r="C1486" s="2" t="s">
        <v>573</v>
      </c>
      <c r="D1486" s="2" t="str">
        <f t="shared" si="22"/>
        <v>Error?</v>
      </c>
    </row>
    <row r="1487" spans="1:4" x14ac:dyDescent="0.2">
      <c r="A1487" s="5">
        <v>1426</v>
      </c>
      <c r="B1487" s="138">
        <f>'Expenditures 15-22'!K246</f>
        <v>15405</v>
      </c>
      <c r="C1487" s="2" t="s">
        <v>573</v>
      </c>
      <c r="D1487" s="2" t="str">
        <f t="shared" si="22"/>
        <v>Error?</v>
      </c>
    </row>
    <row r="1488" spans="1:4" x14ac:dyDescent="0.2">
      <c r="A1488" s="5">
        <v>1427</v>
      </c>
      <c r="B1488" s="138">
        <f>'Expenditures 15-22'!K257</f>
        <v>25441</v>
      </c>
      <c r="C1488" s="2" t="s">
        <v>573</v>
      </c>
      <c r="D1488" s="2" t="str">
        <f t="shared" si="22"/>
        <v>Error?</v>
      </c>
    </row>
    <row r="1489" spans="1:4" x14ac:dyDescent="0.2">
      <c r="A1489" s="5">
        <v>1428</v>
      </c>
      <c r="B1489" s="138">
        <f>'Expenditures 15-22'!K259</f>
        <v>21178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21178</v>
      </c>
      <c r="C1491" s="2" t="s">
        <v>573</v>
      </c>
      <c r="D1491" s="2" t="str">
        <f t="shared" si="22"/>
        <v>Error?</v>
      </c>
    </row>
    <row r="1492" spans="1:4" x14ac:dyDescent="0.2">
      <c r="A1492" s="5">
        <v>1431</v>
      </c>
      <c r="B1492" s="138">
        <f>'Expenditures 15-22'!K263</f>
        <v>2436</v>
      </c>
      <c r="C1492" s="2" t="s">
        <v>573</v>
      </c>
      <c r="D1492" s="2" t="str">
        <f t="shared" si="22"/>
        <v>Error?</v>
      </c>
    </row>
    <row r="1493" spans="1:4" x14ac:dyDescent="0.2">
      <c r="A1493" s="5">
        <v>1432</v>
      </c>
      <c r="B1493" s="138">
        <f>'Expenditures 15-22'!K264</f>
        <v>14856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8314</v>
      </c>
      <c r="C1495" s="2" t="s">
        <v>573</v>
      </c>
      <c r="D1495" s="2" t="str">
        <f t="shared" si="22"/>
        <v>Error?</v>
      </c>
    </row>
    <row r="1496" spans="1:4" x14ac:dyDescent="0.2">
      <c r="A1496" s="5">
        <v>1435</v>
      </c>
      <c r="B1496" s="138">
        <f>'Expenditures 15-22'!K267</f>
        <v>1135</v>
      </c>
      <c r="C1496" s="2" t="s">
        <v>573</v>
      </c>
      <c r="D1496" s="2" t="str">
        <f t="shared" si="22"/>
        <v>Error?</v>
      </c>
    </row>
    <row r="1497" spans="1:4" x14ac:dyDescent="0.2">
      <c r="A1497" s="5">
        <v>1436</v>
      </c>
      <c r="B1497" s="138">
        <f>'Expenditures 15-22'!K268</f>
        <v>4265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31006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100095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166651</v>
      </c>
      <c r="C1517" s="2" t="s">
        <v>573</v>
      </c>
      <c r="D1517" s="2" t="str">
        <f t="shared" si="22"/>
        <v>Error?</v>
      </c>
    </row>
    <row r="1518" spans="1:4" x14ac:dyDescent="0.2">
      <c r="A1518" s="5">
        <v>1457</v>
      </c>
      <c r="B1518" s="138">
        <f>'Expenditures 15-22'!K296</f>
        <v>-785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4356553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4356553</v>
      </c>
      <c r="C1547" s="2" t="s">
        <v>573</v>
      </c>
      <c r="D1547" s="2" t="str">
        <f t="shared" si="23"/>
        <v>Error?</v>
      </c>
    </row>
    <row r="1548" spans="1:4" x14ac:dyDescent="0.2">
      <c r="A1548" s="5">
        <v>1487</v>
      </c>
      <c r="B1548" s="138">
        <f>'Expenditures 15-22'!G312</f>
        <v>4356553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4356553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4356553</v>
      </c>
      <c r="C1559" s="2" t="s">
        <v>573</v>
      </c>
      <c r="D1559" s="2" t="str">
        <f t="shared" si="23"/>
        <v>Error?</v>
      </c>
    </row>
    <row r="1560" spans="1:4" x14ac:dyDescent="0.2">
      <c r="A1560" s="5">
        <v>1499</v>
      </c>
      <c r="B1560" s="138">
        <f>'Expenditures 15-22'!K312</f>
        <v>4356553</v>
      </c>
      <c r="C1560" s="2" t="s">
        <v>573</v>
      </c>
      <c r="D1560" s="2" t="str">
        <f t="shared" si="23"/>
        <v>Error?</v>
      </c>
    </row>
    <row r="1561" spans="1:4" x14ac:dyDescent="0.2">
      <c r="A1561" s="5">
        <v>1500</v>
      </c>
      <c r="B1561" s="138">
        <f>'Expenditures 15-22'!K313</f>
        <v>-4204279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6199786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5011613</v>
      </c>
      <c r="C1630" s="2" t="s">
        <v>573</v>
      </c>
      <c r="D1630" s="2" t="str">
        <f t="shared" si="24"/>
        <v>Error?</v>
      </c>
    </row>
    <row r="1631" spans="1:4" x14ac:dyDescent="0.2">
      <c r="A1631" s="5">
        <v>1570</v>
      </c>
      <c r="B1631" s="138">
        <f>'Acct Summary 7-8'!D79</f>
        <v>1835459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1800622</v>
      </c>
      <c r="C1644" s="2" t="s">
        <v>573</v>
      </c>
      <c r="D1644" s="2" t="str">
        <f t="shared" si="24"/>
        <v>Error?</v>
      </c>
    </row>
    <row r="1645" spans="1:4" x14ac:dyDescent="0.2">
      <c r="A1645" s="5">
        <v>1584</v>
      </c>
      <c r="B1645" s="138">
        <f>'Acct Summary 7-8'!E79</f>
        <v>901591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2621800</v>
      </c>
      <c r="C1658" s="2" t="s">
        <v>573</v>
      </c>
      <c r="D1658" s="2" t="str">
        <f t="shared" si="24"/>
        <v>Error?</v>
      </c>
    </row>
    <row r="1659" spans="1:4" x14ac:dyDescent="0.2">
      <c r="A1659" s="5">
        <v>1598</v>
      </c>
      <c r="B1659" s="138">
        <f>'Acct Summary 7-8'!F79</f>
        <v>375639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422598</v>
      </c>
      <c r="C1672" s="2" t="s">
        <v>573</v>
      </c>
      <c r="D1672" s="2" t="str">
        <f t="shared" si="25"/>
        <v>Error?</v>
      </c>
    </row>
    <row r="1673" spans="1:4" x14ac:dyDescent="0.2">
      <c r="A1673" s="5">
        <v>1612</v>
      </c>
      <c r="B1673" s="138">
        <f>'Acct Summary 7-8'!G79</f>
        <v>325132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324347</v>
      </c>
      <c r="C1686" s="2" t="s">
        <v>573</v>
      </c>
      <c r="D1686" s="2" t="str">
        <f t="shared" si="25"/>
        <v>Error?</v>
      </c>
    </row>
    <row r="1687" spans="1:4" x14ac:dyDescent="0.2">
      <c r="A1687" s="5">
        <v>1626</v>
      </c>
      <c r="B1687" s="138">
        <f>'Acct Summary 7-8'!H79</f>
        <v>7466755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3262476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7066950</v>
      </c>
      <c r="C1744" s="2" t="s">
        <v>573</v>
      </c>
      <c r="D1744" s="2" t="str">
        <f t="shared" si="26"/>
        <v>Error?</v>
      </c>
    </row>
    <row r="1745" spans="1:5" x14ac:dyDescent="0.2">
      <c r="A1745" s="5">
        <v>1684</v>
      </c>
      <c r="B1745" s="138">
        <f>'Tax Sched 23'!B5</f>
        <v>1165418</v>
      </c>
      <c r="C1745" s="2" t="s">
        <v>573</v>
      </c>
      <c r="D1745" s="2" t="str">
        <f t="shared" si="26"/>
        <v>Error?</v>
      </c>
    </row>
    <row r="1746" spans="1:5" x14ac:dyDescent="0.2">
      <c r="A1746" s="5">
        <v>1685</v>
      </c>
      <c r="B1746" s="138">
        <f>'Tax Sched 23'!B6</f>
        <v>1714002</v>
      </c>
      <c r="C1746" s="2" t="s">
        <v>573</v>
      </c>
      <c r="D1746" s="2" t="str">
        <f t="shared" si="26"/>
        <v>Error?</v>
      </c>
    </row>
    <row r="1747" spans="1:5" x14ac:dyDescent="0.2">
      <c r="A1747" s="5">
        <v>1686</v>
      </c>
      <c r="B1747" s="138">
        <f>'Tax Sched 23'!B7</f>
        <v>473365</v>
      </c>
      <c r="C1747" s="2" t="s">
        <v>573</v>
      </c>
      <c r="D1747" s="2" t="str">
        <f t="shared" si="26"/>
        <v>Error?</v>
      </c>
    </row>
    <row r="1748" spans="1:5" x14ac:dyDescent="0.2">
      <c r="A1748" s="5">
        <v>1687</v>
      </c>
      <c r="B1748" s="138">
        <f>'Tax Sched 23'!B8</f>
        <v>81831</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10583397</v>
      </c>
      <c r="C1759" s="2" t="s">
        <v>573</v>
      </c>
      <c r="D1759" s="2" t="str">
        <f t="shared" si="26"/>
        <v>Error?</v>
      </c>
    </row>
    <row r="1760" spans="1:5" x14ac:dyDescent="0.2">
      <c r="A1760" s="5">
        <v>1699</v>
      </c>
      <c r="B1760" s="138">
        <f>'Tax Sched 23'!D4</f>
        <v>3497516</v>
      </c>
      <c r="C1760" s="2" t="s">
        <v>573</v>
      </c>
      <c r="D1760" s="2" t="str">
        <f t="shared" si="26"/>
        <v>Error?</v>
      </c>
    </row>
    <row r="1761" spans="1:5" x14ac:dyDescent="0.2">
      <c r="A1761" s="5">
        <v>1700</v>
      </c>
      <c r="B1761" s="138">
        <f>'Tax Sched 23'!D5</f>
        <v>575020</v>
      </c>
      <c r="C1761" s="2" t="s">
        <v>573</v>
      </c>
      <c r="D1761" s="2" t="str">
        <f t="shared" si="26"/>
        <v>Error?</v>
      </c>
    </row>
    <row r="1762" spans="1:5" s="8" customFormat="1" x14ac:dyDescent="0.2">
      <c r="A1762" s="5">
        <v>1701</v>
      </c>
      <c r="B1762" s="138">
        <f>'Tax Sched 23'!D6</f>
        <v>857792</v>
      </c>
      <c r="C1762" s="2" t="s">
        <v>573</v>
      </c>
      <c r="D1762" s="2" t="str">
        <f t="shared" si="26"/>
        <v>Error?</v>
      </c>
      <c r="E1762" s="9"/>
    </row>
    <row r="1763" spans="1:5" x14ac:dyDescent="0.2">
      <c r="A1763" s="5">
        <v>1702</v>
      </c>
      <c r="B1763" s="138">
        <f>'Tax Sched 23'!D7</f>
        <v>225585</v>
      </c>
      <c r="C1763" s="2" t="s">
        <v>573</v>
      </c>
      <c r="D1763" s="2" t="str">
        <f t="shared" si="26"/>
        <v>Error?</v>
      </c>
    </row>
    <row r="1764" spans="1:5" x14ac:dyDescent="0.2">
      <c r="A1764" s="5">
        <v>1703</v>
      </c>
      <c r="B1764" s="138">
        <f>'Tax Sched 23'!D8</f>
        <v>40757</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5237427</v>
      </c>
      <c r="C1775" s="2" t="s">
        <v>573</v>
      </c>
      <c r="D1775" s="2" t="str">
        <f t="shared" si="26"/>
        <v>Error?</v>
      </c>
    </row>
    <row r="1776" spans="1:5" x14ac:dyDescent="0.2">
      <c r="A1776" s="5">
        <v>1715</v>
      </c>
      <c r="B1776" s="138">
        <f>'Tax Sched 23'!C4</f>
        <v>3569434</v>
      </c>
      <c r="D1776" s="2" t="str">
        <f t="shared" si="26"/>
        <v>Error?</v>
      </c>
    </row>
    <row r="1777" spans="1:4" x14ac:dyDescent="0.2">
      <c r="A1777" s="5">
        <v>1716</v>
      </c>
      <c r="B1777" s="138">
        <f>'Tax Sched 23'!C5</f>
        <v>590398</v>
      </c>
      <c r="D1777" s="2" t="str">
        <f t="shared" si="26"/>
        <v>Error?</v>
      </c>
    </row>
    <row r="1778" spans="1:4" x14ac:dyDescent="0.2">
      <c r="A1778" s="5">
        <v>1717</v>
      </c>
      <c r="B1778" s="138">
        <f>'Tax Sched 23'!C6</f>
        <v>856210</v>
      </c>
      <c r="D1778" s="2" t="str">
        <f t="shared" si="26"/>
        <v>Error?</v>
      </c>
    </row>
    <row r="1779" spans="1:4" x14ac:dyDescent="0.2">
      <c r="A1779" s="5">
        <v>1718</v>
      </c>
      <c r="B1779" s="138">
        <f>'Tax Sched 23'!C7</f>
        <v>247780</v>
      </c>
      <c r="D1779" s="2" t="str">
        <f t="shared" si="26"/>
        <v>Error?</v>
      </c>
    </row>
    <row r="1780" spans="1:4" x14ac:dyDescent="0.2">
      <c r="A1780" s="5">
        <v>1719</v>
      </c>
      <c r="B1780" s="138">
        <f>'Tax Sched 23'!C8</f>
        <v>41074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5345970</v>
      </c>
      <c r="C1791" s="2" t="s">
        <v>573</v>
      </c>
      <c r="D1791" s="2" t="str">
        <f t="shared" ref="D1791:D1854" si="27">IF(ISBLANK(B1791),"OK",IF(A1791-B1791=0,"OK","Error?"))</f>
        <v>Error?</v>
      </c>
    </row>
    <row r="1792" spans="1:4" x14ac:dyDescent="0.2">
      <c r="A1792" s="5">
        <v>1731</v>
      </c>
      <c r="B1792" s="138">
        <f>'Tax Sched 23'!F4</f>
        <v>3774997</v>
      </c>
      <c r="C1792" s="2" t="s">
        <v>573</v>
      </c>
      <c r="D1792" s="2" t="str">
        <f t="shared" si="27"/>
        <v>Error?</v>
      </c>
    </row>
    <row r="1793" spans="1:4" x14ac:dyDescent="0.2">
      <c r="A1793" s="5">
        <v>1732</v>
      </c>
      <c r="B1793" s="138">
        <f>'Tax Sched 23'!F5</f>
        <v>624398</v>
      </c>
      <c r="C1793" s="2" t="s">
        <v>573</v>
      </c>
      <c r="D1793" s="2" t="str">
        <f t="shared" si="27"/>
        <v>Error?</v>
      </c>
    </row>
    <row r="1794" spans="1:4" x14ac:dyDescent="0.2">
      <c r="A1794" s="5">
        <v>1733</v>
      </c>
      <c r="B1794" s="138">
        <f>'Tax Sched 23'!F6</f>
        <v>905519</v>
      </c>
      <c r="C1794" s="2" t="s">
        <v>573</v>
      </c>
      <c r="D1794" s="2" t="str">
        <f t="shared" si="27"/>
        <v>Error?</v>
      </c>
    </row>
    <row r="1795" spans="1:4" x14ac:dyDescent="0.2">
      <c r="A1795" s="5">
        <v>1734</v>
      </c>
      <c r="B1795" s="138">
        <f>'Tax Sched 23'!F7</f>
        <v>262049</v>
      </c>
      <c r="C1795" s="2" t="s">
        <v>573</v>
      </c>
      <c r="D1795" s="2" t="str">
        <f t="shared" si="27"/>
        <v>Error?</v>
      </c>
    </row>
    <row r="1796" spans="1:4" x14ac:dyDescent="0.2">
      <c r="A1796" s="5">
        <v>1735</v>
      </c>
      <c r="B1796" s="138">
        <f>'Tax Sched 23'!F8</f>
        <v>43440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5653843</v>
      </c>
      <c r="C1807" s="2" t="s">
        <v>573</v>
      </c>
      <c r="D1807" s="2" t="str">
        <f t="shared" si="27"/>
        <v>Error?</v>
      </c>
    </row>
    <row r="1808" spans="1:4" x14ac:dyDescent="0.2">
      <c r="A1808" s="5">
        <v>1747</v>
      </c>
      <c r="B1808" s="138">
        <f>'Tax Sched 23'!E4</f>
        <v>7344431</v>
      </c>
      <c r="D1808" s="2" t="str">
        <f t="shared" si="27"/>
        <v>Error?</v>
      </c>
    </row>
    <row r="1809" spans="1:4" x14ac:dyDescent="0.2">
      <c r="A1809" s="5">
        <v>1748</v>
      </c>
      <c r="B1809" s="138">
        <f>'Tax Sched 23'!E5</f>
        <v>1214796</v>
      </c>
      <c r="D1809" s="2" t="str">
        <f t="shared" si="27"/>
        <v>Error?</v>
      </c>
    </row>
    <row r="1810" spans="1:4" x14ac:dyDescent="0.2">
      <c r="A1810" s="5">
        <v>1749</v>
      </c>
      <c r="B1810" s="138">
        <f>'Tax Sched 23'!E6</f>
        <v>1761729</v>
      </c>
      <c r="D1810" s="2" t="str">
        <f t="shared" si="27"/>
        <v>Error?</v>
      </c>
    </row>
    <row r="1811" spans="1:4" x14ac:dyDescent="0.2">
      <c r="A1811" s="5">
        <v>1750</v>
      </c>
      <c r="B1811" s="138">
        <f>'Tax Sched 23'!E7</f>
        <v>509829</v>
      </c>
      <c r="D1811" s="2" t="str">
        <f t="shared" si="27"/>
        <v>Error?</v>
      </c>
    </row>
    <row r="1812" spans="1:4" x14ac:dyDescent="0.2">
      <c r="A1812" s="5">
        <v>1751</v>
      </c>
      <c r="B1812" s="138">
        <f>'Tax Sched 23'!E8</f>
        <v>84514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10999813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9629072</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274299</v>
      </c>
      <c r="D2008" s="2" t="str">
        <f t="shared" si="30"/>
        <v>Error?</v>
      </c>
    </row>
    <row r="2009" spans="1:4" x14ac:dyDescent="0.2">
      <c r="A2009" s="5">
        <v>1948</v>
      </c>
      <c r="B2009" s="138">
        <f>'Cap Outlay Deprec 26'!C8</f>
        <v>15845557</v>
      </c>
      <c r="D2009" s="2" t="str">
        <f t="shared" si="30"/>
        <v>Error?</v>
      </c>
    </row>
    <row r="2010" spans="1:4" x14ac:dyDescent="0.2">
      <c r="A2010" s="5">
        <v>1949</v>
      </c>
      <c r="B2010" s="138">
        <f>'Cap Outlay Deprec 26'!C10</f>
        <v>365194</v>
      </c>
      <c r="D2010" s="2" t="str">
        <f t="shared" si="30"/>
        <v>Error?</v>
      </c>
    </row>
    <row r="2011" spans="1:4" x14ac:dyDescent="0.2">
      <c r="A2011" s="5">
        <v>1950</v>
      </c>
      <c r="B2011" s="138">
        <f>'Cap Outlay Deprec 26'!C12</f>
        <v>3093910</v>
      </c>
      <c r="D2011" s="2" t="str">
        <f t="shared" si="30"/>
        <v>Error?</v>
      </c>
    </row>
    <row r="2012" spans="1:4" x14ac:dyDescent="0.2">
      <c r="A2012" s="5">
        <v>1951</v>
      </c>
      <c r="B2012" s="138">
        <f>'Cap Outlay Deprec 26'!C13</f>
        <v>723449</v>
      </c>
      <c r="D2012" s="2" t="str">
        <f t="shared" si="30"/>
        <v>Error?</v>
      </c>
    </row>
    <row r="2013" spans="1:4" x14ac:dyDescent="0.2">
      <c r="A2013" s="5">
        <v>1952</v>
      </c>
      <c r="B2013" s="138">
        <f>'Cap Outlay Deprec 26'!C16</f>
        <v>20725328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5057493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128934</v>
      </c>
      <c r="D2017" s="2" t="str">
        <f t="shared" si="30"/>
        <v>Error?</v>
      </c>
    </row>
    <row r="2018" spans="1:4" x14ac:dyDescent="0.2">
      <c r="A2018" s="5">
        <v>1957</v>
      </c>
      <c r="B2018" s="138">
        <f>'Cap Outlay Deprec 26'!D13</f>
        <v>9906</v>
      </c>
      <c r="D2018" s="2" t="str">
        <f t="shared" si="30"/>
        <v>Error?</v>
      </c>
    </row>
    <row r="2019" spans="1:4" x14ac:dyDescent="0.2">
      <c r="A2019" s="5">
        <v>1958</v>
      </c>
      <c r="B2019" s="138">
        <f>'Cap Outlay Deprec 26'!D16</f>
        <v>5246405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422919</v>
      </c>
      <c r="C2025" s="2" t="s">
        <v>573</v>
      </c>
      <c r="D2025" s="2" t="str">
        <f t="shared" si="30"/>
        <v>Error?</v>
      </c>
    </row>
    <row r="2026" spans="1:4" x14ac:dyDescent="0.2">
      <c r="A2026" s="5">
        <v>1965</v>
      </c>
      <c r="B2026" s="138">
        <f>'Cap Outlay Deprec 26'!F5</f>
        <v>274299</v>
      </c>
      <c r="C2026" s="2" t="s">
        <v>573</v>
      </c>
      <c r="D2026" s="2" t="str">
        <f t="shared" si="30"/>
        <v>Error?</v>
      </c>
    </row>
    <row r="2027" spans="1:4" x14ac:dyDescent="0.2">
      <c r="A2027" s="5">
        <v>1966</v>
      </c>
      <c r="B2027" s="138">
        <f>'Cap Outlay Deprec 26'!F8</f>
        <v>20903050</v>
      </c>
      <c r="C2027" s="2" t="s">
        <v>573</v>
      </c>
      <c r="D2027" s="2" t="str">
        <f t="shared" si="30"/>
        <v>Error?</v>
      </c>
    </row>
    <row r="2028" spans="1:4" x14ac:dyDescent="0.2">
      <c r="A2028" s="5">
        <v>1967</v>
      </c>
      <c r="B2028" s="138">
        <f>'Cap Outlay Deprec 26'!F10</f>
        <v>365194</v>
      </c>
      <c r="C2028" s="2" t="s">
        <v>573</v>
      </c>
      <c r="D2028" s="2" t="str">
        <f t="shared" si="30"/>
        <v>Error?</v>
      </c>
    </row>
    <row r="2029" spans="1:4" x14ac:dyDescent="0.2">
      <c r="A2029" s="5">
        <v>1968</v>
      </c>
      <c r="B2029" s="138">
        <f>'Cap Outlay Deprec 26'!F12</f>
        <v>3222844</v>
      </c>
      <c r="C2029" s="2" t="s">
        <v>573</v>
      </c>
      <c r="D2029" s="2" t="str">
        <f t="shared" si="30"/>
        <v>Error?</v>
      </c>
    </row>
    <row r="2030" spans="1:4" x14ac:dyDescent="0.2">
      <c r="A2030" s="5">
        <v>1969</v>
      </c>
      <c r="B2030" s="138">
        <f>'Cap Outlay Deprec 26'!F13</f>
        <v>733355</v>
      </c>
      <c r="C2030" s="2" t="s">
        <v>573</v>
      </c>
      <c r="D2030" s="2" t="str">
        <f t="shared" si="30"/>
        <v>Error?</v>
      </c>
    </row>
    <row r="2031" spans="1:4" x14ac:dyDescent="0.2">
      <c r="A2031" s="5">
        <v>1970</v>
      </c>
      <c r="B2031" s="138">
        <f>'Cap Outlay Deprec 26'!F16</f>
        <v>25548814</v>
      </c>
      <c r="C2031" s="2" t="s">
        <v>573</v>
      </c>
      <c r="D2031" s="2" t="str">
        <f t="shared" si="30"/>
        <v>Error?</v>
      </c>
    </row>
    <row r="2032" spans="1:4" x14ac:dyDescent="0.2">
      <c r="A2032" s="10">
        <v>1971</v>
      </c>
      <c r="D2032" s="2" t="str">
        <f t="shared" si="30"/>
        <v>OK</v>
      </c>
    </row>
    <row r="2033" spans="1:4" x14ac:dyDescent="0.2">
      <c r="A2033" s="5">
        <v>1972</v>
      </c>
      <c r="B2033" s="138">
        <f>'Cap Outlay Deprec 26'!H8</f>
        <v>6453013</v>
      </c>
      <c r="D2033" s="2" t="str">
        <f t="shared" si="30"/>
        <v>Error?</v>
      </c>
    </row>
    <row r="2034" spans="1:4" x14ac:dyDescent="0.2">
      <c r="A2034" s="5">
        <v>1973</v>
      </c>
      <c r="B2034" s="138">
        <f>'Cap Outlay Deprec 26'!H10</f>
        <v>290913</v>
      </c>
      <c r="D2034" s="2" t="str">
        <f t="shared" si="30"/>
        <v>Error?</v>
      </c>
    </row>
    <row r="2035" spans="1:4" x14ac:dyDescent="0.2">
      <c r="A2035" s="5">
        <v>1974</v>
      </c>
      <c r="B2035" s="138">
        <f>'Cap Outlay Deprec 26'!H12</f>
        <v>2557942</v>
      </c>
      <c r="D2035" s="2" t="str">
        <f t="shared" si="30"/>
        <v>Error?</v>
      </c>
    </row>
    <row r="2036" spans="1:4" x14ac:dyDescent="0.2">
      <c r="A2036" s="5">
        <v>1975</v>
      </c>
      <c r="B2036" s="138">
        <f>'Cap Outlay Deprec 26'!H13</f>
        <v>501092</v>
      </c>
      <c r="D2036" s="2" t="str">
        <f t="shared" si="30"/>
        <v>Error?</v>
      </c>
    </row>
    <row r="2037" spans="1:4" x14ac:dyDescent="0.2">
      <c r="A2037" s="5">
        <v>1976</v>
      </c>
      <c r="B2037" s="138">
        <f>'Cap Outlay Deprec 26'!H16</f>
        <v>9802960</v>
      </c>
      <c r="C2037" s="2" t="s">
        <v>573</v>
      </c>
      <c r="D2037" s="2" t="str">
        <f t="shared" si="30"/>
        <v>Error?</v>
      </c>
    </row>
    <row r="2038" spans="1:4" x14ac:dyDescent="0.2">
      <c r="A2038" s="10">
        <v>1977</v>
      </c>
      <c r="D2038" s="2" t="str">
        <f t="shared" si="30"/>
        <v>OK</v>
      </c>
    </row>
    <row r="2039" spans="1:4" x14ac:dyDescent="0.2">
      <c r="A2039" s="5">
        <v>1978</v>
      </c>
      <c r="B2039" s="138">
        <f>'Cap Outlay Deprec 26'!I8</f>
        <v>360296</v>
      </c>
      <c r="D2039" s="2" t="str">
        <f t="shared" si="30"/>
        <v>Error?</v>
      </c>
    </row>
    <row r="2040" spans="1:4" x14ac:dyDescent="0.2">
      <c r="A2040" s="5">
        <v>1979</v>
      </c>
      <c r="B2040" s="138">
        <f>'Cap Outlay Deprec 26'!I10</f>
        <v>5929</v>
      </c>
      <c r="D2040" s="2" t="str">
        <f t="shared" si="30"/>
        <v>Error?</v>
      </c>
    </row>
    <row r="2041" spans="1:4" x14ac:dyDescent="0.2">
      <c r="A2041" s="5">
        <v>1980</v>
      </c>
      <c r="B2041" s="138">
        <f>'Cap Outlay Deprec 26'!I12</f>
        <v>126797</v>
      </c>
      <c r="D2041" s="2" t="str">
        <f t="shared" si="30"/>
        <v>Error?</v>
      </c>
    </row>
    <row r="2042" spans="1:4" x14ac:dyDescent="0.2">
      <c r="A2042" s="5">
        <v>1981</v>
      </c>
      <c r="B2042" s="138">
        <f>'Cap Outlay Deprec 26'!I13</f>
        <v>84103</v>
      </c>
      <c r="D2042" s="2" t="str">
        <f t="shared" si="30"/>
        <v>Error?</v>
      </c>
    </row>
    <row r="2043" spans="1:4" x14ac:dyDescent="0.2">
      <c r="A2043" s="5">
        <v>1982</v>
      </c>
      <c r="B2043" s="138">
        <f>'Cap Outlay Deprec 26'!I16</f>
        <v>577125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6813309</v>
      </c>
      <c r="C2051" s="2" t="s">
        <v>573</v>
      </c>
      <c r="D2051" s="2" t="str">
        <f t="shared" si="31"/>
        <v>Error?</v>
      </c>
    </row>
    <row r="2052" spans="1:4" x14ac:dyDescent="0.2">
      <c r="A2052" s="5">
        <v>1991</v>
      </c>
      <c r="B2052" s="138">
        <f>'Cap Outlay Deprec 26'!K10</f>
        <v>296842</v>
      </c>
      <c r="C2052" s="2" t="s">
        <v>573</v>
      </c>
      <c r="D2052" s="2" t="str">
        <f t="shared" si="31"/>
        <v>Error?</v>
      </c>
    </row>
    <row r="2053" spans="1:4" x14ac:dyDescent="0.2">
      <c r="A2053" s="5">
        <v>1992</v>
      </c>
      <c r="B2053" s="138">
        <f>'Cap Outlay Deprec 26'!K12</f>
        <v>2684739</v>
      </c>
      <c r="C2053" s="2" t="s">
        <v>573</v>
      </c>
      <c r="D2053" s="2" t="str">
        <f t="shared" si="31"/>
        <v>Error?</v>
      </c>
    </row>
    <row r="2054" spans="1:4" x14ac:dyDescent="0.2">
      <c r="A2054" s="5">
        <v>1993</v>
      </c>
      <c r="B2054" s="138">
        <f>'Cap Outlay Deprec 26'!K13</f>
        <v>585195</v>
      </c>
      <c r="C2054" s="2" t="s">
        <v>573</v>
      </c>
      <c r="D2054" s="2" t="str">
        <f t="shared" si="31"/>
        <v>Error?</v>
      </c>
    </row>
    <row r="2055" spans="1:4" x14ac:dyDescent="0.2">
      <c r="A2055" s="5">
        <v>1994</v>
      </c>
      <c r="B2055" s="138">
        <f>'Cap Outlay Deprec 26'!K16</f>
        <v>10380085</v>
      </c>
      <c r="C2055" s="2" t="s">
        <v>573</v>
      </c>
      <c r="D2055" s="2" t="str">
        <f t="shared" si="31"/>
        <v>Error?</v>
      </c>
    </row>
    <row r="2056" spans="1:4" x14ac:dyDescent="0.2">
      <c r="A2056" s="5">
        <v>1995</v>
      </c>
      <c r="B2056" s="138">
        <f>'Cap Outlay Deprec 26'!L5</f>
        <v>274299</v>
      </c>
      <c r="C2056" s="2" t="s">
        <v>573</v>
      </c>
      <c r="D2056" s="2" t="str">
        <f t="shared" si="31"/>
        <v>Error?</v>
      </c>
    </row>
    <row r="2057" spans="1:4" x14ac:dyDescent="0.2">
      <c r="A2057" s="5">
        <v>1996</v>
      </c>
      <c r="B2057" s="138">
        <f>'Cap Outlay Deprec 26'!L8</f>
        <v>14089741</v>
      </c>
      <c r="C2057" s="2" t="s">
        <v>573</v>
      </c>
      <c r="D2057" s="2" t="str">
        <f t="shared" si="31"/>
        <v>Error?</v>
      </c>
    </row>
    <row r="2058" spans="1:4" x14ac:dyDescent="0.2">
      <c r="A2058" s="5">
        <v>1997</v>
      </c>
      <c r="B2058" s="138">
        <f>'Cap Outlay Deprec 26'!L10</f>
        <v>68352</v>
      </c>
      <c r="C2058" s="2" t="s">
        <v>573</v>
      </c>
      <c r="D2058" s="2" t="str">
        <f t="shared" si="31"/>
        <v>Error?</v>
      </c>
    </row>
    <row r="2059" spans="1:4" x14ac:dyDescent="0.2">
      <c r="A2059" s="5">
        <v>1998</v>
      </c>
      <c r="B2059" s="138">
        <f>'Cap Outlay Deprec 26'!L12</f>
        <v>538105</v>
      </c>
      <c r="C2059" s="2" t="s">
        <v>573</v>
      </c>
      <c r="D2059" s="2" t="str">
        <f t="shared" si="31"/>
        <v>Error?</v>
      </c>
    </row>
    <row r="2060" spans="1:4" x14ac:dyDescent="0.2">
      <c r="A2060" s="5">
        <v>1999</v>
      </c>
      <c r="B2060" s="138">
        <f>'Cap Outlay Deprec 26'!L13</f>
        <v>148160</v>
      </c>
      <c r="C2060" s="2" t="s">
        <v>573</v>
      </c>
      <c r="D2060" s="2" t="str">
        <f t="shared" si="31"/>
        <v>Error?</v>
      </c>
    </row>
    <row r="2061" spans="1:4" x14ac:dyDescent="0.2">
      <c r="A2061" s="5">
        <v>2000</v>
      </c>
      <c r="B2061" s="138">
        <f>'Cap Outlay Deprec 26'!L16</f>
        <v>15168729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375932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8037841</v>
      </c>
      <c r="C2551" s="2" t="s">
        <v>573</v>
      </c>
      <c r="D2551" s="2" t="str">
        <f t="shared" si="38"/>
        <v>Error?</v>
      </c>
    </row>
    <row r="2552" spans="1:4" x14ac:dyDescent="0.2">
      <c r="A2552" s="10">
        <v>2491</v>
      </c>
      <c r="D2552" s="2" t="str">
        <f t="shared" si="38"/>
        <v>OK</v>
      </c>
    </row>
    <row r="2553" spans="1:4" x14ac:dyDescent="0.2">
      <c r="A2553" s="5">
        <v>2492</v>
      </c>
      <c r="B2553" s="138">
        <f>'Acct Summary 7-8'!C6</f>
        <v>484357</v>
      </c>
      <c r="C2553" s="2" t="s">
        <v>573</v>
      </c>
      <c r="D2553" s="2" t="str">
        <f t="shared" si="38"/>
        <v>Error?</v>
      </c>
    </row>
    <row r="2554" spans="1:4" x14ac:dyDescent="0.2">
      <c r="A2554" s="5">
        <v>2493</v>
      </c>
      <c r="B2554" s="138">
        <f>'Acct Summary 7-8'!C7</f>
        <v>400238</v>
      </c>
      <c r="C2554" s="2" t="s">
        <v>573</v>
      </c>
      <c r="D2554" s="2" t="str">
        <f t="shared" si="38"/>
        <v>Error?</v>
      </c>
    </row>
    <row r="2555" spans="1:4" x14ac:dyDescent="0.2">
      <c r="A2555" s="5">
        <v>2494</v>
      </c>
      <c r="B2555" s="138">
        <f>'Acct Summary 7-8'!C8</f>
        <v>8922436</v>
      </c>
      <c r="C2555" s="2" t="s">
        <v>573</v>
      </c>
      <c r="D2555" s="2" t="str">
        <f t="shared" si="38"/>
        <v>Error?</v>
      </c>
    </row>
    <row r="2556" spans="1:4" x14ac:dyDescent="0.2">
      <c r="A2556" s="5">
        <v>2495</v>
      </c>
      <c r="B2556" s="138">
        <f>'Acct Summary 7-8'!C12</f>
        <v>4387368</v>
      </c>
      <c r="C2556" s="2" t="s">
        <v>573</v>
      </c>
      <c r="D2556" s="2" t="str">
        <f t="shared" si="38"/>
        <v>Error?</v>
      </c>
    </row>
    <row r="2557" spans="1:4" x14ac:dyDescent="0.2">
      <c r="A2557" s="5">
        <v>2496</v>
      </c>
      <c r="B2557" s="138">
        <f>'Acct Summary 7-8'!C13</f>
        <v>3124482</v>
      </c>
      <c r="C2557" s="2" t="s">
        <v>573</v>
      </c>
      <c r="D2557" s="2" t="str">
        <f t="shared" si="38"/>
        <v>Error?</v>
      </c>
    </row>
    <row r="2558" spans="1:4" x14ac:dyDescent="0.2">
      <c r="A2558" s="5">
        <v>2497</v>
      </c>
      <c r="B2558" s="138">
        <f>'Acct Summary 7-8'!C14</f>
        <v>9619</v>
      </c>
      <c r="C2558" s="2" t="s">
        <v>573</v>
      </c>
      <c r="D2558" s="2" t="str">
        <f t="shared" si="38"/>
        <v>Error?</v>
      </c>
    </row>
    <row r="2559" spans="1:4" x14ac:dyDescent="0.2">
      <c r="A2559" s="5">
        <v>2498</v>
      </c>
      <c r="B2559" s="138">
        <f>'Acct Summary 7-8'!C15</f>
        <v>375932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7897401</v>
      </c>
      <c r="C2561" s="2" t="s">
        <v>573</v>
      </c>
      <c r="D2561" s="2" t="str">
        <f t="shared" si="39"/>
        <v>Error?</v>
      </c>
    </row>
    <row r="2562" spans="1:4" x14ac:dyDescent="0.2">
      <c r="A2562" s="5">
        <v>2501</v>
      </c>
      <c r="B2562" s="138">
        <f>'Acct Summary 7-8'!C20</f>
        <v>1025035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1428480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1428480</v>
      </c>
      <c r="C2568" s="2" t="s">
        <v>573</v>
      </c>
      <c r="D2568" s="2" t="str">
        <f t="shared" si="39"/>
        <v>Error?</v>
      </c>
    </row>
    <row r="2569" spans="1:4" x14ac:dyDescent="0.2">
      <c r="A2569" s="5">
        <v>2508</v>
      </c>
      <c r="B2569" s="138">
        <f>'Acct Summary 7-8'!D13</f>
        <v>1463317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1463317</v>
      </c>
      <c r="C2573" s="2" t="s">
        <v>573</v>
      </c>
      <c r="D2573" s="2" t="str">
        <f t="shared" si="39"/>
        <v>Error?</v>
      </c>
    </row>
    <row r="2574" spans="1:4" x14ac:dyDescent="0.2">
      <c r="A2574" s="5">
        <v>2513</v>
      </c>
      <c r="B2574" s="138">
        <f>'Acct Summary 7-8'!D20</f>
        <v>-34837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496289</v>
      </c>
      <c r="C2591" s="2" t="s">
        <v>573</v>
      </c>
      <c r="D2591" s="2" t="str">
        <f t="shared" si="39"/>
        <v>Error?</v>
      </c>
    </row>
    <row r="2592" spans="1:4" x14ac:dyDescent="0.2">
      <c r="A2592" s="10">
        <v>2531</v>
      </c>
      <c r="D2592" s="2" t="str">
        <f t="shared" si="39"/>
        <v>OK</v>
      </c>
    </row>
    <row r="2593" spans="1:4" x14ac:dyDescent="0.2">
      <c r="A2593" s="5">
        <v>2532</v>
      </c>
      <c r="B2593" s="138">
        <f>'Acct Summary 7-8'!F6</f>
        <v>219178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715467</v>
      </c>
      <c r="C2595" s="2" t="s">
        <v>573</v>
      </c>
      <c r="D2595" s="2" t="str">
        <f t="shared" si="39"/>
        <v>Error?</v>
      </c>
    </row>
    <row r="2596" spans="1:4" x14ac:dyDescent="0.2">
      <c r="A2596" s="5">
        <v>2535</v>
      </c>
      <c r="B2596" s="138">
        <f>'Acct Summary 7-8'!F13</f>
        <v>668508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668508</v>
      </c>
      <c r="C2600" s="2" t="s">
        <v>573</v>
      </c>
      <c r="D2600" s="2" t="str">
        <f t="shared" si="39"/>
        <v>Error?</v>
      </c>
    </row>
    <row r="2601" spans="1:4" x14ac:dyDescent="0.2">
      <c r="A2601" s="5">
        <v>2540</v>
      </c>
      <c r="B2601" s="138">
        <f>'Acct Summary 7-8'!F20</f>
        <v>46959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165866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165866</v>
      </c>
      <c r="C2606" s="2" t="s">
        <v>573</v>
      </c>
      <c r="D2606" s="2" t="str">
        <f t="shared" si="39"/>
        <v>Error?</v>
      </c>
    </row>
    <row r="2607" spans="1:4" x14ac:dyDescent="0.2">
      <c r="A2607" s="5">
        <v>2546</v>
      </c>
      <c r="B2607" s="138">
        <f>'Acct Summary 7-8'!G12</f>
        <v>66556</v>
      </c>
      <c r="C2607" s="2" t="s">
        <v>573</v>
      </c>
      <c r="D2607" s="2" t="str">
        <f t="shared" si="39"/>
        <v>Error?</v>
      </c>
    </row>
    <row r="2608" spans="1:4" x14ac:dyDescent="0.2">
      <c r="A2608" s="5">
        <v>2547</v>
      </c>
      <c r="B2608" s="138">
        <f>'Acct Summary 7-8'!G13</f>
        <v>100095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166651</v>
      </c>
      <c r="C2612" s="2" t="s">
        <v>573</v>
      </c>
      <c r="D2612" s="2" t="str">
        <f t="shared" si="39"/>
        <v>Error?</v>
      </c>
    </row>
    <row r="2613" spans="1:4" x14ac:dyDescent="0.2">
      <c r="A2613" s="5">
        <v>2552</v>
      </c>
      <c r="B2613" s="138">
        <f>'Acct Summary 7-8'!G20</f>
        <v>-785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1720209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1720209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2213208</v>
      </c>
      <c r="C2634" s="2" t="s">
        <v>573</v>
      </c>
      <c r="D2634" s="2" t="str">
        <f t="shared" si="40"/>
        <v>Error?</v>
      </c>
    </row>
    <row r="2635" spans="1:4" x14ac:dyDescent="0.2">
      <c r="A2635" s="5">
        <v>2574</v>
      </c>
      <c r="B2635" s="138">
        <f>'Acct Summary 7-8'!E17</f>
        <v>2213208</v>
      </c>
      <c r="C2635" s="2" t="s">
        <v>573</v>
      </c>
      <c r="D2635" s="2" t="str">
        <f t="shared" si="40"/>
        <v>Error?</v>
      </c>
    </row>
    <row r="2636" spans="1:4" x14ac:dyDescent="0.2">
      <c r="A2636" s="5">
        <v>2575</v>
      </c>
      <c r="B2636" s="138">
        <f>'Acct Summary 7-8'!E20</f>
        <v>-492999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152274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152274</v>
      </c>
      <c r="C2658" s="2" t="s">
        <v>573</v>
      </c>
      <c r="D2658" s="2" t="str">
        <f t="shared" si="40"/>
        <v>Error?</v>
      </c>
    </row>
    <row r="2659" spans="1:4" x14ac:dyDescent="0.2">
      <c r="A2659" s="5">
        <v>2598</v>
      </c>
      <c r="B2659" s="138">
        <f>'Acct Summary 7-8'!H13</f>
        <v>4356553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4356553</v>
      </c>
      <c r="C2661" s="2" t="s">
        <v>573</v>
      </c>
      <c r="D2661" s="2" t="str">
        <f t="shared" si="40"/>
        <v>Error?</v>
      </c>
    </row>
    <row r="2662" spans="1:4" x14ac:dyDescent="0.2">
      <c r="A2662" s="5">
        <v>2601</v>
      </c>
      <c r="B2662" s="138">
        <f>'Acct Summary 7-8'!H20</f>
        <v>-4204279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126237</v>
      </c>
      <c r="D2718" s="2" t="str">
        <f t="shared" si="41"/>
        <v>Error?</v>
      </c>
    </row>
    <row r="2719" spans="1:4" x14ac:dyDescent="0.2">
      <c r="A2719" s="5">
        <v>2658</v>
      </c>
      <c r="B2719" s="138">
        <f>'Expenditures 15-22'!D51</f>
        <v>13359</v>
      </c>
      <c r="D2719" s="2" t="str">
        <f t="shared" si="41"/>
        <v>Error?</v>
      </c>
    </row>
    <row r="2720" spans="1:4" x14ac:dyDescent="0.2">
      <c r="A2720" s="5">
        <v>2659</v>
      </c>
      <c r="B2720" s="138">
        <f>'Expenditures 15-22'!E51</f>
        <v>224</v>
      </c>
      <c r="D2720" s="2" t="str">
        <f t="shared" si="41"/>
        <v>Error?</v>
      </c>
    </row>
    <row r="2721" spans="1:4" x14ac:dyDescent="0.2">
      <c r="A2721" s="5">
        <v>2660</v>
      </c>
      <c r="B2721" s="138">
        <f>'Expenditures 15-22'!F51</f>
        <v>1625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180</v>
      </c>
      <c r="D2723" s="2" t="str">
        <f t="shared" si="41"/>
        <v>Error?</v>
      </c>
    </row>
    <row r="2724" spans="1:4" x14ac:dyDescent="0.2">
      <c r="A2724" s="5">
        <v>2663</v>
      </c>
      <c r="B2724" s="138">
        <f>'Expenditures 15-22'!K51</f>
        <v>141625</v>
      </c>
      <c r="C2724" s="2" t="s">
        <v>573</v>
      </c>
      <c r="D2724" s="2" t="str">
        <f t="shared" si="41"/>
        <v>Error?</v>
      </c>
    </row>
    <row r="2725" spans="1:4" x14ac:dyDescent="0.2">
      <c r="A2725" s="5">
        <v>2664</v>
      </c>
      <c r="B2725" s="138">
        <f>'Expenditures 15-22'!D247</f>
        <v>7268</v>
      </c>
      <c r="D2725" s="2" t="str">
        <f t="shared" si="41"/>
        <v>Error?</v>
      </c>
    </row>
    <row r="2726" spans="1:4" x14ac:dyDescent="0.2">
      <c r="A2726" s="5">
        <v>2665</v>
      </c>
      <c r="B2726" s="138">
        <f>'Expenditures 15-22'!K247</f>
        <v>7268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375932</v>
      </c>
      <c r="C2789" s="2" t="s">
        <v>573</v>
      </c>
      <c r="D2789" s="2" t="str">
        <f t="shared" si="42"/>
        <v>Error?</v>
      </c>
    </row>
    <row r="2790" spans="1:4" x14ac:dyDescent="0.2">
      <c r="A2790" s="5">
        <v>2729</v>
      </c>
      <c r="B2790" s="138">
        <f>'Expenditures 15-22'!E102</f>
        <v>375932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50072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267616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58903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267616</v>
      </c>
      <c r="D2912" s="2" t="str">
        <f t="shared" si="44"/>
        <v>Error?</v>
      </c>
    </row>
    <row r="2913" spans="1:4" x14ac:dyDescent="0.2">
      <c r="A2913" s="5">
        <v>2852</v>
      </c>
      <c r="B2913" s="138">
        <f>'Assets-Liab 5-6'!I41</f>
        <v>267616</v>
      </c>
      <c r="C2913" s="2" t="s">
        <v>573</v>
      </c>
      <c r="D2913" s="2" t="str">
        <f t="shared" si="44"/>
        <v>Error?</v>
      </c>
    </row>
    <row r="2914" spans="1:4" x14ac:dyDescent="0.2">
      <c r="A2914" s="5">
        <v>2853</v>
      </c>
      <c r="B2914" s="138">
        <f>'Assets-Liab 5-6'!L33</f>
        <v>58903</v>
      </c>
      <c r="D2914" s="2" t="str">
        <f t="shared" si="44"/>
        <v>Error?</v>
      </c>
    </row>
    <row r="2915" spans="1:4" x14ac:dyDescent="0.2">
      <c r="A2915" s="10">
        <v>2854</v>
      </c>
      <c r="D2915" s="2" t="str">
        <f t="shared" si="44"/>
        <v>OK</v>
      </c>
    </row>
    <row r="2916" spans="1:4" x14ac:dyDescent="0.2">
      <c r="A2916" s="5">
        <v>2855</v>
      </c>
      <c r="B2916" s="138">
        <f>'Assets-Liab 5-6'!L34</f>
        <v>58903</v>
      </c>
      <c r="C2916" s="2" t="s">
        <v>573</v>
      </c>
      <c r="D2916" s="2" t="str">
        <f t="shared" si="44"/>
        <v>Error?</v>
      </c>
    </row>
    <row r="2917" spans="1:4" x14ac:dyDescent="0.2">
      <c r="A2917" s="5">
        <v>2856</v>
      </c>
      <c r="B2917" s="138">
        <f>'Assets-Liab 5-6'!L41</f>
        <v>58903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375932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375932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189069</v>
      </c>
      <c r="D3055" s="2" t="str">
        <f t="shared" si="46"/>
        <v>Error?</v>
      </c>
    </row>
    <row r="3056" spans="1:4" x14ac:dyDescent="0.2">
      <c r="A3056" s="5">
        <v>2995</v>
      </c>
      <c r="B3056" s="138">
        <f>'Expenditures 15-22'!D10</f>
        <v>46666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7249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242984</v>
      </c>
      <c r="C3062" s="2" t="s">
        <v>573</v>
      </c>
      <c r="D3062" s="2" t="str">
        <f t="shared" si="46"/>
        <v>Error?</v>
      </c>
    </row>
    <row r="3063" spans="1:4" x14ac:dyDescent="0.2">
      <c r="A3063" s="10">
        <v>3002</v>
      </c>
      <c r="D3063" s="2" t="str">
        <f t="shared" si="46"/>
        <v>OK</v>
      </c>
    </row>
    <row r="3064" spans="1:4" x14ac:dyDescent="0.2">
      <c r="A3064" s="5">
        <v>3003</v>
      </c>
      <c r="B3064" s="138">
        <f>'Expenditures 15-22'!D219</f>
        <v>5136</v>
      </c>
      <c r="D3064" s="2" t="str">
        <f t="shared" si="46"/>
        <v>Error?</v>
      </c>
    </row>
    <row r="3065" spans="1:4" x14ac:dyDescent="0.2">
      <c r="A3065" s="5">
        <v>3004</v>
      </c>
      <c r="B3065" s="138">
        <f>'Expenditures 15-22'!K219</f>
        <v>5136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976</v>
      </c>
      <c r="C3225" s="2" t="s">
        <v>573</v>
      </c>
      <c r="D3225" s="2" t="str">
        <f t="shared" si="49"/>
        <v>Error?</v>
      </c>
    </row>
    <row r="3226" spans="1:4" x14ac:dyDescent="0.2">
      <c r="A3226" s="5">
        <v>3165</v>
      </c>
      <c r="B3226" s="138">
        <f>'Acct Summary 7-8'!I8</f>
        <v>976</v>
      </c>
      <c r="C3226" s="2" t="s">
        <v>573</v>
      </c>
      <c r="D3226" s="2" t="str">
        <f t="shared" si="49"/>
        <v>Error?</v>
      </c>
    </row>
    <row r="3227" spans="1:4" x14ac:dyDescent="0.2">
      <c r="A3227" s="5">
        <v>3166</v>
      </c>
      <c r="B3227" s="138">
        <f>'Acct Summary 7-8'!I20</f>
        <v>976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2213208</v>
      </c>
      <c r="C3231" s="2" t="s">
        <v>573</v>
      </c>
      <c r="D3231" s="2" t="str">
        <f t="shared" si="49"/>
        <v>Error?</v>
      </c>
    </row>
    <row r="3232" spans="1:4" x14ac:dyDescent="0.2">
      <c r="A3232" s="5">
        <v>3171</v>
      </c>
      <c r="B3232" s="138">
        <f>'Acct Summary 7-8'!C77</f>
        <v>-2213208</v>
      </c>
      <c r="C3232" s="2" t="s">
        <v>573</v>
      </c>
      <c r="D3232" s="2" t="str">
        <f t="shared" si="49"/>
        <v>Error?</v>
      </c>
    </row>
    <row r="3233" spans="1:4" x14ac:dyDescent="0.2">
      <c r="A3233" s="5">
        <v>3172</v>
      </c>
      <c r="B3233" s="138">
        <f>'Acct Summary 7-8'!C78</f>
        <v>-1188173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-34837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46959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2213208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2213208</v>
      </c>
      <c r="C3277" s="2" t="s">
        <v>573</v>
      </c>
      <c r="D3277" s="2" t="str">
        <f t="shared" si="50"/>
        <v>Error?</v>
      </c>
    </row>
    <row r="3278" spans="1:4" x14ac:dyDescent="0.2">
      <c r="A3278" s="5">
        <v>3217</v>
      </c>
      <c r="B3278" s="138">
        <f>'Acct Summary 7-8'!E78</f>
        <v>1720209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-4204279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976</v>
      </c>
      <c r="C3320" s="2" t="s">
        <v>573</v>
      </c>
      <c r="D3320" s="2" t="str">
        <f t="shared" si="50"/>
        <v>Error?</v>
      </c>
    </row>
    <row r="3321" spans="1:4" x14ac:dyDescent="0.2">
      <c r="A3321" s="5">
        <v>3260</v>
      </c>
      <c r="B3321" s="138">
        <f>'Acct Summary 7-8'!I79</f>
        <v>266640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267616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439727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122485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7343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5606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575161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35275</v>
      </c>
      <c r="D3387" s="2" t="str">
        <f t="shared" si="51"/>
        <v>Error?</v>
      </c>
    </row>
    <row r="3388" spans="1:4" x14ac:dyDescent="0.2">
      <c r="A3388" s="5">
        <v>3327</v>
      </c>
      <c r="B3388" s="138">
        <f>'Expenditures 15-22'!D217</f>
        <v>23769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35275</v>
      </c>
      <c r="C3390" s="2" t="s">
        <v>573</v>
      </c>
      <c r="D3390" s="2" t="str">
        <f t="shared" si="51"/>
        <v>Error?</v>
      </c>
    </row>
    <row r="3391" spans="1:4" x14ac:dyDescent="0.2">
      <c r="A3391" s="5">
        <v>3330</v>
      </c>
      <c r="B3391" s="138">
        <f>'Expenditures 15-22'!K217</f>
        <v>23769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5044837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1698980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2621800</v>
      </c>
      <c r="D3417" s="2" t="str">
        <f t="shared" si="52"/>
        <v>Error?</v>
      </c>
    </row>
    <row r="3418" spans="1:4" x14ac:dyDescent="0.2">
      <c r="A3418" s="10">
        <v>3357</v>
      </c>
      <c r="D3418" s="2" t="str">
        <f t="shared" si="52"/>
        <v>OK</v>
      </c>
    </row>
    <row r="3419" spans="1:4" x14ac:dyDescent="0.2">
      <c r="A3419" s="5">
        <v>3358</v>
      </c>
      <c r="B3419" s="138">
        <f>'Assets-Liab 5-6'!F4</f>
        <v>422598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324347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267616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58903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81831</v>
      </c>
      <c r="C3446" s="2" t="s">
        <v>573</v>
      </c>
      <c r="D3446" s="2" t="str">
        <f t="shared" si="52"/>
        <v>Error?</v>
      </c>
    </row>
    <row r="3447" spans="1:4" x14ac:dyDescent="0.2">
      <c r="A3447" s="5">
        <v>3386</v>
      </c>
      <c r="B3447" s="138">
        <f>'Tax Sched 23'!D16</f>
        <v>40757</v>
      </c>
      <c r="C3447" s="2" t="s">
        <v>573</v>
      </c>
      <c r="D3447" s="2" t="str">
        <f t="shared" si="52"/>
        <v>Error?</v>
      </c>
    </row>
    <row r="3448" spans="1:4" x14ac:dyDescent="0.2">
      <c r="A3448" s="5">
        <v>3387</v>
      </c>
      <c r="B3448" s="138">
        <f>'Tax Sched 23'!C16</f>
        <v>41074</v>
      </c>
      <c r="D3448" s="2" t="str">
        <f t="shared" si="52"/>
        <v>Error?</v>
      </c>
    </row>
    <row r="3449" spans="1:4" x14ac:dyDescent="0.2">
      <c r="A3449" s="5">
        <v>3388</v>
      </c>
      <c r="B3449" s="138">
        <f>'Tax Sched 23'!F16</f>
        <v>43440</v>
      </c>
      <c r="C3449" s="2" t="s">
        <v>573</v>
      </c>
      <c r="D3449" s="2" t="str">
        <f t="shared" si="52"/>
        <v>Error?</v>
      </c>
    </row>
    <row r="3450" spans="1:4" x14ac:dyDescent="0.2">
      <c r="A3450" s="5">
        <v>3389</v>
      </c>
      <c r="B3450" s="138">
        <f>'Tax Sched 23'!E16</f>
        <v>84514</v>
      </c>
      <c r="D3450" s="2" t="str">
        <f t="shared" si="52"/>
        <v>Error?</v>
      </c>
    </row>
    <row r="3451" spans="1:4" x14ac:dyDescent="0.2">
      <c r="A3451" s="5">
        <v>3390</v>
      </c>
      <c r="B3451" s="138">
        <f>'Cap Outlay Deprec 26'!C15</f>
        <v>422919</v>
      </c>
      <c r="D3451" s="2" t="str">
        <f t="shared" si="52"/>
        <v>Error?</v>
      </c>
    </row>
    <row r="3452" spans="1:4" x14ac:dyDescent="0.2">
      <c r="A3452" s="5">
        <v>3391</v>
      </c>
      <c r="B3452" s="138">
        <f>'Cap Outlay Deprec 26'!D15</f>
        <v>50072</v>
      </c>
      <c r="D3452" s="2" t="str">
        <f t="shared" si="52"/>
        <v>Error?</v>
      </c>
    </row>
    <row r="3453" spans="1:4" x14ac:dyDescent="0.2">
      <c r="A3453" s="5">
        <v>3392</v>
      </c>
      <c r="B3453" s="138">
        <f>'Cap Outlay Deprec 26'!E15</f>
        <v>422919</v>
      </c>
      <c r="D3453" s="2" t="str">
        <f t="shared" si="52"/>
        <v>Error?</v>
      </c>
    </row>
    <row r="3454" spans="1:4" x14ac:dyDescent="0.2">
      <c r="A3454" s="5">
        <v>3393</v>
      </c>
      <c r="B3454" s="138">
        <f>'Cap Outlay Deprec 26'!F15</f>
        <v>50072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50072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118549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3248616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12171052</v>
      </c>
      <c r="C4122" s="2" t="s">
        <v>573</v>
      </c>
      <c r="D4122" s="2" t="str">
        <f t="shared" si="63"/>
        <v>Error?</v>
      </c>
    </row>
    <row r="4123" spans="1:4" x14ac:dyDescent="0.2">
      <c r="A4123" s="5">
        <v>4062</v>
      </c>
      <c r="B4123" s="138">
        <f>'Acct Summary 7-8'!D10</f>
        <v>1428480</v>
      </c>
      <c r="C4123" s="2" t="s">
        <v>573</v>
      </c>
      <c r="D4123" s="2" t="str">
        <f t="shared" si="63"/>
        <v>Error?</v>
      </c>
    </row>
    <row r="4124" spans="1:4" x14ac:dyDescent="0.2">
      <c r="A4124" s="5">
        <v>4063</v>
      </c>
      <c r="B4124" s="138">
        <f>'Acct Summary 7-8'!E10</f>
        <v>1720209</v>
      </c>
      <c r="C4124" s="2" t="s">
        <v>573</v>
      </c>
      <c r="D4124" s="2" t="str">
        <f t="shared" si="63"/>
        <v>Error?</v>
      </c>
    </row>
    <row r="4125" spans="1:4" x14ac:dyDescent="0.2">
      <c r="A4125" s="5">
        <v>4064</v>
      </c>
      <c r="B4125" s="138">
        <f>'Acct Summary 7-8'!F10</f>
        <v>715467</v>
      </c>
      <c r="C4125" s="2" t="s">
        <v>573</v>
      </c>
      <c r="D4125" s="2" t="str">
        <f t="shared" si="63"/>
        <v>Error?</v>
      </c>
    </row>
    <row r="4126" spans="1:4" x14ac:dyDescent="0.2">
      <c r="A4126" s="5">
        <v>4065</v>
      </c>
      <c r="B4126" s="138">
        <f>'Acct Summary 7-8'!G10</f>
        <v>165866</v>
      </c>
      <c r="C4126" s="2" t="s">
        <v>573</v>
      </c>
      <c r="D4126" s="2" t="str">
        <f t="shared" si="63"/>
        <v>Error?</v>
      </c>
    </row>
    <row r="4127" spans="1:4" x14ac:dyDescent="0.2">
      <c r="A4127" s="5">
        <v>4066</v>
      </c>
      <c r="B4127" s="138">
        <f>'Acct Summary 7-8'!H10</f>
        <v>152274</v>
      </c>
      <c r="C4127" s="2" t="s">
        <v>573</v>
      </c>
      <c r="D4127" s="2" t="str">
        <f t="shared" si="63"/>
        <v>Error?</v>
      </c>
    </row>
    <row r="4128" spans="1:4" x14ac:dyDescent="0.2">
      <c r="A4128" s="5">
        <v>4067</v>
      </c>
      <c r="B4128" s="138">
        <f>'Acct Summary 7-8'!I10</f>
        <v>976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3248616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11146017</v>
      </c>
      <c r="C4136" s="2" t="s">
        <v>573</v>
      </c>
      <c r="D4136" s="2" t="str">
        <f t="shared" si="63"/>
        <v>Error?</v>
      </c>
    </row>
    <row r="4137" spans="1:4" x14ac:dyDescent="0.2">
      <c r="A4137" s="5">
        <v>4076</v>
      </c>
      <c r="B4137" s="138">
        <f>'Acct Summary 7-8'!D19</f>
        <v>1463317</v>
      </c>
      <c r="C4137" s="2" t="s">
        <v>573</v>
      </c>
      <c r="D4137" s="2" t="str">
        <f t="shared" si="63"/>
        <v>Error?</v>
      </c>
    </row>
    <row r="4138" spans="1:4" x14ac:dyDescent="0.2">
      <c r="A4138" s="5">
        <v>4077</v>
      </c>
      <c r="B4138" s="138">
        <f>'Acct Summary 7-8'!E19</f>
        <v>2213208</v>
      </c>
      <c r="C4138" s="2" t="s">
        <v>573</v>
      </c>
      <c r="D4138" s="2" t="str">
        <f t="shared" si="63"/>
        <v>Error?</v>
      </c>
    </row>
    <row r="4139" spans="1:4" x14ac:dyDescent="0.2">
      <c r="A4139" s="5">
        <v>4078</v>
      </c>
      <c r="B4139" s="138">
        <f>'Acct Summary 7-8'!F19</f>
        <v>668508</v>
      </c>
      <c r="C4139" s="2" t="s">
        <v>573</v>
      </c>
      <c r="D4139" s="2" t="str">
        <f t="shared" si="63"/>
        <v>Error?</v>
      </c>
    </row>
    <row r="4140" spans="1:4" x14ac:dyDescent="0.2">
      <c r="A4140" s="5">
        <v>4079</v>
      </c>
      <c r="B4140" s="138">
        <f>'Acct Summary 7-8'!G19</f>
        <v>166651</v>
      </c>
      <c r="C4140" s="2" t="s">
        <v>573</v>
      </c>
      <c r="D4140" s="2" t="str">
        <f t="shared" si="63"/>
        <v>Error?</v>
      </c>
    </row>
    <row r="4141" spans="1:4" x14ac:dyDescent="0.2">
      <c r="A4141" s="5">
        <v>4080</v>
      </c>
      <c r="B4141" s="138">
        <f>'Acct Summary 7-8'!H19</f>
        <v>4356553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7750182</v>
      </c>
      <c r="C4171" s="2" t="s">
        <v>573</v>
      </c>
      <c r="D4171" s="2" t="str">
        <f t="shared" si="64"/>
        <v>Error?</v>
      </c>
    </row>
    <row r="4172" spans="1:4" x14ac:dyDescent="0.2">
      <c r="A4172" s="5">
        <v>4111</v>
      </c>
      <c r="B4172" s="138">
        <f>'Short-Term Long-Term Debt 24'!J49</f>
        <v>5128382</v>
      </c>
      <c r="C4172" s="2" t="s">
        <v>573</v>
      </c>
      <c r="D4172" s="2" t="str">
        <f t="shared" si="64"/>
        <v>Error?</v>
      </c>
    </row>
    <row r="4173" spans="1:4" x14ac:dyDescent="0.2">
      <c r="A4173" s="5">
        <v>4112</v>
      </c>
      <c r="B4173" s="138">
        <f>'Short-Term Long-Term Debt 24'!H49</f>
        <v>1878890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1914</v>
      </c>
    </row>
    <row r="4236" spans="1:5" x14ac:dyDescent="0.2">
      <c r="A4236" s="10">
        <v>4175</v>
      </c>
      <c r="D4236" s="2" t="str">
        <f t="shared" si="65"/>
        <v>OK</v>
      </c>
      <c r="E4236" s="4" t="s">
        <v>1914</v>
      </c>
    </row>
    <row r="4237" spans="1:5" x14ac:dyDescent="0.2">
      <c r="A4237" s="10">
        <v>4176</v>
      </c>
      <c r="D4237" s="2" t="str">
        <f t="shared" si="65"/>
        <v>OK</v>
      </c>
      <c r="E4237" s="4" t="s">
        <v>1914</v>
      </c>
    </row>
    <row r="4238" spans="1:5" x14ac:dyDescent="0.2">
      <c r="A4238" s="10">
        <v>4177</v>
      </c>
      <c r="D4238" s="2" t="str">
        <f t="shared" si="65"/>
        <v>OK</v>
      </c>
      <c r="E4238" s="4" t="s">
        <v>1914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1068.9000000000001</v>
      </c>
      <c r="C4265" s="2" t="s">
        <v>573</v>
      </c>
      <c r="D4265" s="2" t="str">
        <f t="shared" si="65"/>
        <v>Error?</v>
      </c>
      <c r="E4265" s="128"/>
    </row>
    <row r="4266" spans="1:5" x14ac:dyDescent="0.2">
      <c r="A4266" s="12">
        <v>4205</v>
      </c>
      <c r="B4266" s="138">
        <f>('FP Info 3'!F10)*100000</f>
        <v>176.8</v>
      </c>
      <c r="C4266" s="2" t="s">
        <v>573</v>
      </c>
      <c r="D4266" s="2" t="str">
        <f t="shared" si="65"/>
        <v>Error?</v>
      </c>
      <c r="E4266" s="128"/>
    </row>
    <row r="4267" spans="1:5" x14ac:dyDescent="0.2">
      <c r="A4267" s="12">
        <v>4206</v>
      </c>
      <c r="B4267" s="138">
        <f>('FP Info 3'!H10)*100000</f>
        <v>74.2</v>
      </c>
      <c r="C4267" s="2" t="s">
        <v>573</v>
      </c>
      <c r="D4267" s="2" t="str">
        <f t="shared" si="65"/>
        <v>Error?</v>
      </c>
      <c r="E4267" s="128"/>
    </row>
    <row r="4268" spans="1:5" x14ac:dyDescent="0.2">
      <c r="A4268" s="12">
        <v>4207</v>
      </c>
      <c r="B4268" s="138">
        <f>('FP Info 3'!J10)*100000</f>
        <v>1320</v>
      </c>
      <c r="C4268" s="2" t="s">
        <v>573</v>
      </c>
      <c r="D4268" s="2" t="str">
        <f t="shared" si="65"/>
        <v>Error?</v>
      </c>
    </row>
    <row r="4269" spans="1:5" x14ac:dyDescent="0.2">
      <c r="A4269" s="12">
        <v>4208</v>
      </c>
      <c r="B4269" s="138">
        <f>'FP Info 3'!J16</f>
        <v>7502449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2831</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15296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35526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1914</v>
      </c>
    </row>
    <row r="4400" spans="1:5" x14ac:dyDescent="0.2">
      <c r="A4400" s="10">
        <v>4339</v>
      </c>
      <c r="D4400" s="2" t="str">
        <f t="shared" si="67"/>
        <v>OK</v>
      </c>
      <c r="E4400" s="4" t="s">
        <v>1914</v>
      </c>
    </row>
    <row r="4401" spans="1:5" x14ac:dyDescent="0.2">
      <c r="A4401" s="10">
        <v>4340</v>
      </c>
      <c r="D4401" s="2" t="str">
        <f t="shared" si="67"/>
        <v>OK</v>
      </c>
      <c r="E4401" s="4" t="s">
        <v>1914</v>
      </c>
    </row>
    <row r="4402" spans="1:5" x14ac:dyDescent="0.2">
      <c r="A4402" s="10">
        <v>4341</v>
      </c>
      <c r="D4402" s="2" t="str">
        <f t="shared" si="67"/>
        <v>OK</v>
      </c>
      <c r="E4402" s="4" t="s">
        <v>1914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11710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687101833</v>
      </c>
      <c r="D4995" s="2" t="str">
        <f t="shared" si="77"/>
        <v>Error?</v>
      </c>
    </row>
    <row r="4996" spans="1:4" x14ac:dyDescent="0.2">
      <c r="A4996" s="12">
        <v>4935</v>
      </c>
      <c r="B4996" s="138">
        <f>'FP Info 3'!H31</f>
        <v>47410026.477000006</v>
      </c>
      <c r="D4996" s="2" t="str">
        <f t="shared" si="77"/>
        <v>Error?</v>
      </c>
    </row>
    <row r="4997" spans="1:4" x14ac:dyDescent="0.2">
      <c r="A4997" s="12">
        <v>4936</v>
      </c>
      <c r="B4997" s="138">
        <f>'FP Info 3'!H37</f>
        <v>7750182</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7066950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7066950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629103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629103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20346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20346</v>
      </c>
      <c r="C5090" s="2" t="s">
        <v>573</v>
      </c>
      <c r="D5090" s="2" t="str">
        <f t="shared" si="78"/>
        <v>Error?</v>
      </c>
    </row>
    <row r="5091" spans="1:4" x14ac:dyDescent="0.2">
      <c r="A5091" s="5">
        <v>5030</v>
      </c>
      <c r="B5091" s="138">
        <f>'Revenues 9-14'!C70</f>
        <v>4160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58907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56823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56823</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72679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55260</v>
      </c>
      <c r="D5118" s="2" t="str">
        <f t="shared" si="78"/>
        <v>Error?</v>
      </c>
    </row>
    <row r="5119" spans="1:4" x14ac:dyDescent="0.2">
      <c r="A5119" s="5">
        <v>5058</v>
      </c>
      <c r="B5119" s="138">
        <f>'Revenues 9-14'!C107</f>
        <v>77773</v>
      </c>
      <c r="D5119" s="2" t="str">
        <f t="shared" ref="D5119:D5182" si="79">IF(ISBLANK(B5119),"OK",IF(A5119-B5119=0,"OK","Error?"))</f>
        <v>Error?</v>
      </c>
    </row>
    <row r="5120" spans="1:4" x14ac:dyDescent="0.2">
      <c r="A5120" s="5">
        <v>5059</v>
      </c>
      <c r="B5120" s="138">
        <f>'Revenues 9-14'!C108</f>
        <v>205712</v>
      </c>
      <c r="C5120" s="2" t="s">
        <v>573</v>
      </c>
      <c r="D5120" s="2" t="str">
        <f t="shared" si="79"/>
        <v>Error?</v>
      </c>
    </row>
    <row r="5121" spans="1:4" x14ac:dyDescent="0.2">
      <c r="A5121" s="5">
        <v>5060</v>
      </c>
      <c r="B5121" s="138">
        <f>'Revenues 9-14'!C109</f>
        <v>8037841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482444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482444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1163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1914</v>
      </c>
    </row>
    <row r="5200" spans="1:5" x14ac:dyDescent="0.2">
      <c r="A5200" s="10">
        <v>5139</v>
      </c>
      <c r="D5200" s="2" t="str">
        <f t="shared" si="80"/>
        <v>OK</v>
      </c>
      <c r="E5200" s="4" t="s">
        <v>1914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484357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68056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70887</v>
      </c>
      <c r="C5246" s="2" t="s">
        <v>573</v>
      </c>
      <c r="D5246" s="2" t="str">
        <f t="shared" si="80"/>
        <v>Error?</v>
      </c>
    </row>
    <row r="5247" spans="1:4" x14ac:dyDescent="0.2">
      <c r="A5247" s="5">
        <v>5186</v>
      </c>
      <c r="B5247" s="138">
        <f>'Revenues 9-14'!C200</f>
        <v>59758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59758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5015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202046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207061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400238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400238</v>
      </c>
      <c r="C5326" s="2" t="s">
        <v>573</v>
      </c>
      <c r="D5326" s="2" t="str">
        <f t="shared" si="82"/>
        <v>Error?</v>
      </c>
    </row>
    <row r="5327" spans="1:5" x14ac:dyDescent="0.2">
      <c r="A5327" s="5">
        <v>5266</v>
      </c>
      <c r="B5327" s="138">
        <f>'Revenues 9-14'!C268</f>
        <v>8922436</v>
      </c>
      <c r="C5327" s="2" t="s">
        <v>573</v>
      </c>
      <c r="D5327" s="2" t="str">
        <f t="shared" si="82"/>
        <v>Error?</v>
      </c>
    </row>
    <row r="5328" spans="1:5" x14ac:dyDescent="0.2">
      <c r="A5328" s="5">
        <v>5267</v>
      </c>
      <c r="B5328" s="138">
        <f>'Revenues 9-14'!D5</f>
        <v>1165418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1165418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573</v>
      </c>
      <c r="D5339" s="2" t="str">
        <f t="shared" si="82"/>
        <v>Error?</v>
      </c>
    </row>
    <row r="5340" spans="1:4" x14ac:dyDescent="0.2">
      <c r="A5340" s="5">
        <v>5279</v>
      </c>
      <c r="B5340" s="138">
        <f>'Revenues 9-14'!D65</f>
        <v>6687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6687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246375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246375</v>
      </c>
      <c r="C5355" s="2" t="s">
        <v>573</v>
      </c>
      <c r="D5355" s="2" t="str">
        <f t="shared" si="82"/>
        <v>Error?</v>
      </c>
    </row>
    <row r="5356" spans="1:4" x14ac:dyDescent="0.2">
      <c r="A5356" s="5">
        <v>5295</v>
      </c>
      <c r="B5356" s="138">
        <f>'Revenues 9-14'!D109</f>
        <v>1428480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1428480</v>
      </c>
      <c r="C5508" s="2" t="s">
        <v>573</v>
      </c>
      <c r="D5508" s="2" t="str">
        <f t="shared" si="85"/>
        <v>Error?</v>
      </c>
    </row>
    <row r="5509" spans="1:4" x14ac:dyDescent="0.2">
      <c r="A5509" s="5">
        <v>5448</v>
      </c>
      <c r="B5509" s="138">
        <f>'Revenues 9-14'!E5</f>
        <v>1714002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1714002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6207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6207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1720209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1720209</v>
      </c>
      <c r="C5552" s="2" t="s">
        <v>573</v>
      </c>
      <c r="D5552" s="2" t="str">
        <f t="shared" si="85"/>
        <v>Error?</v>
      </c>
    </row>
    <row r="5553" spans="1:4" x14ac:dyDescent="0.2">
      <c r="A5553" s="5">
        <v>5492</v>
      </c>
      <c r="B5553" s="138">
        <f>'Revenues 9-14'!F5</f>
        <v>473365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473365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v>
      </c>
      <c r="C5562" s="2" t="s">
        <v>573</v>
      </c>
      <c r="D5562" s="2" t="str">
        <f t="shared" si="85"/>
        <v>Error?</v>
      </c>
    </row>
    <row r="5563" spans="1:4" x14ac:dyDescent="0.2">
      <c r="A5563" s="5">
        <v>5502</v>
      </c>
      <c r="B5563" s="138">
        <f>'Revenues 9-14'!F42</f>
        <v>8188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8188</v>
      </c>
      <c r="C5579" s="2" t="s">
        <v>573</v>
      </c>
      <c r="D5579" s="2" t="str">
        <f t="shared" si="86"/>
        <v>Error?</v>
      </c>
    </row>
    <row r="5580" spans="1:4" x14ac:dyDescent="0.2">
      <c r="A5580" s="5">
        <v>5519</v>
      </c>
      <c r="B5580" s="138">
        <f>'Revenues 9-14'!F65</f>
        <v>1480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1480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12256</v>
      </c>
      <c r="D5586" s="2" t="str">
        <f t="shared" si="86"/>
        <v>Error?</v>
      </c>
    </row>
    <row r="5587" spans="1:4" x14ac:dyDescent="0.2">
      <c r="A5587" s="5">
        <v>5526</v>
      </c>
      <c r="B5587" s="138">
        <f>'Revenues 9-14'!F108</f>
        <v>12256</v>
      </c>
      <c r="C5587" s="2" t="s">
        <v>573</v>
      </c>
      <c r="D5587" s="2" t="str">
        <f t="shared" si="86"/>
        <v>Error?</v>
      </c>
    </row>
    <row r="5588" spans="1:4" x14ac:dyDescent="0.2">
      <c r="A5588" s="5">
        <v>5527</v>
      </c>
      <c r="B5588" s="138">
        <f>'Revenues 9-14'!F109</f>
        <v>496289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3759</v>
      </c>
      <c r="D5615" s="2" t="str">
        <f t="shared" si="86"/>
        <v>Error?</v>
      </c>
    </row>
    <row r="5616" spans="1:4" x14ac:dyDescent="0.2">
      <c r="A5616" s="10">
        <v>5555</v>
      </c>
      <c r="D5616" s="2" t="str">
        <f t="shared" si="86"/>
        <v>OK</v>
      </c>
    </row>
    <row r="5617" spans="1:5" x14ac:dyDescent="0.2">
      <c r="A5617" s="5">
        <v>5556</v>
      </c>
      <c r="B5617" s="138">
        <f>'Revenues 9-14'!F153</f>
        <v>215419</v>
      </c>
      <c r="D5617" s="2" t="str">
        <f t="shared" si="86"/>
        <v>Error?</v>
      </c>
    </row>
    <row r="5618" spans="1:5" x14ac:dyDescent="0.2">
      <c r="A5618" s="5">
        <v>5557</v>
      </c>
      <c r="B5618" s="138">
        <f>'Revenues 9-14'!F155</f>
        <v>219178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1914</v>
      </c>
    </row>
    <row r="5631" spans="1:5" x14ac:dyDescent="0.2">
      <c r="A5631" s="10">
        <v>5570</v>
      </c>
      <c r="D5631" s="2" t="str">
        <f t="shared" ref="D5631:D5694" si="87">IF(ISBLANK(B5631),"OK",IF(A5631-B5631=0,"OK","Error?"))</f>
        <v>OK</v>
      </c>
      <c r="E5631" s="4" t="s">
        <v>1914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219178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219178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715467</v>
      </c>
      <c r="C5720" s="2" t="s">
        <v>573</v>
      </c>
      <c r="D5720" s="2" t="str">
        <f t="shared" si="88"/>
        <v>Error?</v>
      </c>
    </row>
    <row r="5721" spans="1:4" x14ac:dyDescent="0.2">
      <c r="A5721" s="5">
        <v>5660</v>
      </c>
      <c r="B5721" s="138">
        <f>'Revenues 9-14'!G5</f>
        <v>81831</v>
      </c>
      <c r="D5721" s="2" t="str">
        <f t="shared" si="88"/>
        <v>Error?</v>
      </c>
    </row>
    <row r="5722" spans="1:4" x14ac:dyDescent="0.2">
      <c r="A5722" s="5">
        <v>5661</v>
      </c>
      <c r="B5722" s="138">
        <f>'Revenues 9-14'!G7</f>
        <v>0</v>
      </c>
      <c r="D5722" s="2" t="str">
        <f t="shared" si="88"/>
        <v>Error?</v>
      </c>
    </row>
    <row r="5723" spans="1:4" x14ac:dyDescent="0.2">
      <c r="A5723" s="5">
        <v>5662</v>
      </c>
      <c r="B5723" s="138">
        <f>'Revenues 9-14'!G8</f>
        <v>81831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163662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v>
      </c>
      <c r="C5730" s="2" t="s">
        <v>573</v>
      </c>
      <c r="D5730" s="2" t="str">
        <f t="shared" si="88"/>
        <v>Error?</v>
      </c>
    </row>
    <row r="5731" spans="1:4" x14ac:dyDescent="0.2">
      <c r="A5731" s="5">
        <v>5670</v>
      </c>
      <c r="B5731" s="138">
        <f>'Revenues 9-14'!G65</f>
        <v>1204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1204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1914</v>
      </c>
    </row>
    <row r="5768" spans="1:5" x14ac:dyDescent="0.2">
      <c r="A5768" s="10">
        <v>5707</v>
      </c>
      <c r="D5768" s="2" t="str">
        <f t="shared" si="89"/>
        <v>OK</v>
      </c>
      <c r="E5768" s="4" t="s">
        <v>1914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165866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152274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152274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152274</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976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165866</v>
      </c>
      <c r="C6024" s="2" t="s">
        <v>573</v>
      </c>
      <c r="D6024" s="2" t="str">
        <f t="shared" si="93"/>
        <v>Error?</v>
      </c>
    </row>
    <row r="6025" spans="1:5" x14ac:dyDescent="0.2">
      <c r="A6025" s="5">
        <v>5964</v>
      </c>
      <c r="B6025" s="138">
        <f>'Revenues 9-14'!H109</f>
        <v>152274</v>
      </c>
      <c r="C6025" s="2" t="s">
        <v>573</v>
      </c>
      <c r="D6025" s="2" t="str">
        <f t="shared" si="93"/>
        <v>Error?</v>
      </c>
    </row>
    <row r="6026" spans="1:5" x14ac:dyDescent="0.2">
      <c r="A6026" s="5">
        <v>5965</v>
      </c>
      <c r="B6026" s="138">
        <f>'Revenues 9-14'!I109</f>
        <v>976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53708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9421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421.3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24813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-1188173</v>
      </c>
      <c r="D6267" s="2" t="str">
        <f t="shared" si="96"/>
        <v>Error?</v>
      </c>
      <c r="E6267" s="2" t="s">
        <v>190</v>
      </c>
    </row>
    <row r="6268" spans="1:5" x14ac:dyDescent="0.2">
      <c r="A6268">
        <v>6207</v>
      </c>
      <c r="B6268" s="138">
        <f>'Acct Summary 7-8'!D82</f>
        <v>-34837</v>
      </c>
      <c r="D6268" s="2" t="str">
        <f t="shared" si="96"/>
        <v>Error?</v>
      </c>
      <c r="E6268" s="2" t="s">
        <v>190</v>
      </c>
    </row>
    <row r="6269" spans="1:5" x14ac:dyDescent="0.2">
      <c r="A6269">
        <v>6208</v>
      </c>
      <c r="B6269" s="138">
        <f>'Acct Summary 7-8'!E82</f>
        <v>1720209</v>
      </c>
      <c r="D6269" s="2" t="str">
        <f t="shared" si="96"/>
        <v>Error?</v>
      </c>
      <c r="E6269" s="2" t="s">
        <v>190</v>
      </c>
    </row>
    <row r="6270" spans="1:5" x14ac:dyDescent="0.2">
      <c r="A6270">
        <v>6209</v>
      </c>
      <c r="B6270" s="138">
        <f>'Acct Summary 7-8'!F82</f>
        <v>46959</v>
      </c>
      <c r="D6270" s="2" t="str">
        <f t="shared" si="96"/>
        <v>Error?</v>
      </c>
      <c r="E6270" s="2" t="s">
        <v>190</v>
      </c>
    </row>
    <row r="6271" spans="1:5" x14ac:dyDescent="0.2">
      <c r="A6271">
        <v>6210</v>
      </c>
      <c r="B6271" s="138">
        <f>'Acct Summary 7-8'!G82</f>
        <v>-785</v>
      </c>
      <c r="D6271" s="2" t="str">
        <f t="shared" ref="D6271:D6334" si="97">IF(ISBLANK(B6271),"OK",IF(A6271-B6271=0,"OK","Error?"))</f>
        <v>Error?</v>
      </c>
      <c r="E6271" s="2" t="s">
        <v>190</v>
      </c>
    </row>
    <row r="6272" spans="1:5" x14ac:dyDescent="0.2">
      <c r="A6272">
        <v>6211</v>
      </c>
      <c r="B6272" s="138">
        <f>'Acct Summary 7-8'!H82</f>
        <v>-4204279</v>
      </c>
      <c r="D6272" s="2" t="str">
        <f t="shared" si="97"/>
        <v>Error?</v>
      </c>
      <c r="E6272" s="2" t="s">
        <v>190</v>
      </c>
    </row>
    <row r="6273" spans="1:5" x14ac:dyDescent="0.2">
      <c r="A6273">
        <v>6212</v>
      </c>
      <c r="B6273" s="138">
        <f>'Acct Summary 7-8'!I82</f>
        <v>976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-0.23708394882046957</v>
      </c>
      <c r="D6276" s="2" t="str">
        <f t="shared" si="97"/>
        <v>Error?</v>
      </c>
      <c r="E6276" s="2" t="s">
        <v>190</v>
      </c>
    </row>
    <row r="6277" spans="1:5" x14ac:dyDescent="0.2">
      <c r="A6277">
        <v>6216</v>
      </c>
      <c r="B6277" s="138">
        <f>'Acct Summary 7-8'!D83</f>
        <v>-1.9347203355285007E-2</v>
      </c>
      <c r="D6277" s="2" t="str">
        <f t="shared" si="97"/>
        <v>Error?</v>
      </c>
      <c r="E6277" s="2" t="s">
        <v>190</v>
      </c>
    </row>
    <row r="6278" spans="1:5" x14ac:dyDescent="0.2">
      <c r="A6278">
        <v>6217</v>
      </c>
      <c r="B6278" s="138">
        <f>'Acct Summary 7-8'!E83</f>
        <v>0.65611755282630257</v>
      </c>
      <c r="D6278" s="2" t="str">
        <f t="shared" si="97"/>
        <v>Error?</v>
      </c>
      <c r="E6278" s="2" t="s">
        <v>190</v>
      </c>
    </row>
    <row r="6279" spans="1:5" x14ac:dyDescent="0.2">
      <c r="A6279">
        <v>6218</v>
      </c>
      <c r="B6279" s="138">
        <f>'Acct Summary 7-8'!F83</f>
        <v>0.1111197875995627</v>
      </c>
      <c r="D6279" s="2" t="str">
        <f t="shared" si="97"/>
        <v>Error?</v>
      </c>
      <c r="E6279" s="2" t="s">
        <v>190</v>
      </c>
    </row>
    <row r="6280" spans="1:5" x14ac:dyDescent="0.2">
      <c r="A6280">
        <v>6219</v>
      </c>
      <c r="B6280" s="138">
        <f>'Acct Summary 7-8'!G83</f>
        <v>-2.420247451032382E-3</v>
      </c>
      <c r="D6280" s="2" t="str">
        <f t="shared" si="97"/>
        <v>Error?</v>
      </c>
      <c r="E6280" s="2" t="s">
        <v>190</v>
      </c>
    </row>
    <row r="6281" spans="1:5" x14ac:dyDescent="0.2">
      <c r="A6281">
        <v>6220</v>
      </c>
      <c r="B6281" s="138">
        <f>'Acct Summary 7-8'!H83</f>
        <v>-1.2886773726458065</v>
      </c>
      <c r="D6281" s="2" t="str">
        <f t="shared" si="97"/>
        <v>Error?</v>
      </c>
      <c r="E6281" s="2" t="s">
        <v>190</v>
      </c>
    </row>
    <row r="6282" spans="1:5" x14ac:dyDescent="0.2">
      <c r="A6282">
        <v>6221</v>
      </c>
      <c r="B6282" s="138">
        <f>'Acct Summary 7-8'!I83</f>
        <v>3.6470166208298458E-3</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1878890</v>
      </c>
      <c r="D6287" s="2" t="str">
        <f t="shared" si="97"/>
        <v>Error?</v>
      </c>
      <c r="E6287" s="2" t="s">
        <v>190</v>
      </c>
    </row>
    <row r="6288" spans="1:5" x14ac:dyDescent="0.2">
      <c r="A6288">
        <v>6227</v>
      </c>
      <c r="B6288" s="138">
        <f>'Acct Summary 7-8'!E40</f>
        <v>334318</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1913</v>
      </c>
    </row>
    <row r="6383" spans="1:6" x14ac:dyDescent="0.2">
      <c r="A6383" s="129">
        <v>6322</v>
      </c>
      <c r="D6383" s="2" t="str">
        <f t="shared" si="98"/>
        <v>OK</v>
      </c>
      <c r="E6383" s="2" t="s">
        <v>190</v>
      </c>
      <c r="F6383" s="1" t="s">
        <v>1913</v>
      </c>
    </row>
    <row r="6384" spans="1:6" x14ac:dyDescent="0.2">
      <c r="A6384" s="129">
        <v>6323</v>
      </c>
      <c r="D6384" s="2" t="str">
        <f t="shared" si="98"/>
        <v>OK</v>
      </c>
      <c r="E6384" s="2" t="s">
        <v>190</v>
      </c>
      <c r="F6384" s="1" t="s">
        <v>1913</v>
      </c>
    </row>
    <row r="6385" spans="1:6" x14ac:dyDescent="0.2">
      <c r="A6385" s="129">
        <v>6324</v>
      </c>
      <c r="D6385" s="2" t="str">
        <f t="shared" si="98"/>
        <v>OK</v>
      </c>
      <c r="E6385" s="2" t="s">
        <v>190</v>
      </c>
      <c r="F6385" s="1" t="s">
        <v>1913</v>
      </c>
    </row>
    <row r="6386" spans="1:6" x14ac:dyDescent="0.2">
      <c r="A6386" s="129">
        <v>6325</v>
      </c>
      <c r="D6386" s="2" t="str">
        <f t="shared" si="98"/>
        <v>OK</v>
      </c>
      <c r="E6386" s="2" t="s">
        <v>190</v>
      </c>
      <c r="F6386" s="1" t="s">
        <v>1913</v>
      </c>
    </row>
    <row r="6387" spans="1:6" x14ac:dyDescent="0.2">
      <c r="A6387" s="129">
        <v>6326</v>
      </c>
      <c r="D6387" s="2" t="str">
        <f t="shared" si="98"/>
        <v>OK</v>
      </c>
      <c r="E6387" s="2" t="s">
        <v>190</v>
      </c>
      <c r="F6387" s="1" t="s">
        <v>1913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1913</v>
      </c>
    </row>
    <row r="6411" spans="1:6" x14ac:dyDescent="0.2">
      <c r="A6411" s="129">
        <v>6350</v>
      </c>
      <c r="D6411" s="2" t="str">
        <f t="shared" si="99"/>
        <v>OK</v>
      </c>
      <c r="E6411" s="2" t="s">
        <v>190</v>
      </c>
      <c r="F6411" s="1" t="s">
        <v>1913</v>
      </c>
    </row>
    <row r="6412" spans="1:6" x14ac:dyDescent="0.2">
      <c r="A6412" s="129">
        <v>6351</v>
      </c>
      <c r="D6412" s="2" t="str">
        <f t="shared" si="99"/>
        <v>OK</v>
      </c>
      <c r="E6412" s="2" t="s">
        <v>190</v>
      </c>
      <c r="F6412" s="1" t="s">
        <v>1913</v>
      </c>
    </row>
    <row r="6413" spans="1:6" x14ac:dyDescent="0.2">
      <c r="A6413" s="129">
        <v>6352</v>
      </c>
      <c r="D6413" s="2" t="str">
        <f t="shared" si="99"/>
        <v>OK</v>
      </c>
      <c r="E6413" s="2" t="s">
        <v>190</v>
      </c>
      <c r="F6413" s="1" t="s">
        <v>1913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1913</v>
      </c>
    </row>
    <row r="6842" spans="1:5" x14ac:dyDescent="0.2">
      <c r="A6842" s="129">
        <v>6781</v>
      </c>
      <c r="D6842" s="2" t="str">
        <f t="shared" si="105"/>
        <v>OK</v>
      </c>
      <c r="E6842" s="1" t="s">
        <v>1913</v>
      </c>
    </row>
    <row r="6843" spans="1:5" x14ac:dyDescent="0.2">
      <c r="A6843" s="129">
        <v>6782</v>
      </c>
      <c r="D6843" s="2" t="str">
        <f t="shared" si="105"/>
        <v>OK</v>
      </c>
      <c r="E6843" s="1" t="s">
        <v>1913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101594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959</v>
      </c>
      <c r="D7075" s="2" t="str">
        <f t="shared" si="109"/>
        <v>Error?</v>
      </c>
    </row>
    <row r="7076" spans="1:4" x14ac:dyDescent="0.2">
      <c r="A7076">
        <v>7015</v>
      </c>
      <c r="B7076" s="138">
        <f>'Expenditures 15-22'!K218</f>
        <v>959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75070</v>
      </c>
      <c r="D7251" s="2" t="str">
        <f t="shared" si="112"/>
        <v>Error?</v>
      </c>
    </row>
    <row r="7252" spans="1:4" x14ac:dyDescent="0.2">
      <c r="A7252">
        <f t="shared" si="113"/>
        <v>7191</v>
      </c>
      <c r="B7252" s="138">
        <f>'Expenditures 15-22'!D9</f>
        <v>25504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1020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577125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1878890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334318</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1829</v>
      </c>
    </row>
    <row r="7775" spans="1:5" x14ac:dyDescent="0.2">
      <c r="A7775">
        <v>7714</v>
      </c>
      <c r="B7775" s="138">
        <f>'Expenditures 15-22'!H133</f>
        <v>0</v>
      </c>
      <c r="D7775" s="2" t="str">
        <f t="shared" si="127"/>
        <v>Error?</v>
      </c>
      <c r="E7775" s="4" t="s">
        <v>1829</v>
      </c>
    </row>
    <row r="7776" spans="1:5" x14ac:dyDescent="0.2">
      <c r="A7776">
        <v>7715</v>
      </c>
      <c r="B7776" s="138">
        <f>'Expenditures 15-22'!K133</f>
        <v>0</v>
      </c>
      <c r="D7776" s="2" t="str">
        <f t="shared" si="127"/>
        <v>Error?</v>
      </c>
      <c r="E7776" s="4" t="s">
        <v>1829</v>
      </c>
    </row>
    <row r="7777" spans="1:5" x14ac:dyDescent="0.2">
      <c r="A7777">
        <v>7716</v>
      </c>
      <c r="B7777" s="138">
        <f>'Expenditures 15-22'!H157</f>
        <v>0</v>
      </c>
      <c r="D7777" s="2" t="str">
        <f t="shared" si="127"/>
        <v>Error?</v>
      </c>
      <c r="E7777" s="4" t="s">
        <v>1829</v>
      </c>
    </row>
    <row r="7778" spans="1:5" x14ac:dyDescent="0.2">
      <c r="A7778">
        <v>7717</v>
      </c>
      <c r="B7778" s="138">
        <f>'Expenditures 15-22'!K157</f>
        <v>0</v>
      </c>
      <c r="D7778" s="2" t="str">
        <f t="shared" si="127"/>
        <v>Error?</v>
      </c>
      <c r="E7778" s="4" t="s">
        <v>1829</v>
      </c>
    </row>
    <row r="7779" spans="1:5" x14ac:dyDescent="0.2">
      <c r="A7779">
        <v>7718</v>
      </c>
      <c r="B7779" s="138">
        <f>'Expenditures 15-22'!H158</f>
        <v>0</v>
      </c>
      <c r="D7779" s="2" t="str">
        <f t="shared" si="127"/>
        <v>Error?</v>
      </c>
      <c r="E7779" s="4" t="s">
        <v>1829</v>
      </c>
    </row>
    <row r="7780" spans="1:5" x14ac:dyDescent="0.2">
      <c r="A7780">
        <v>7719</v>
      </c>
      <c r="B7780" s="138">
        <f>'Expenditures 15-22'!K158</f>
        <v>0</v>
      </c>
      <c r="D7780" s="2" t="str">
        <f t="shared" si="127"/>
        <v>Error?</v>
      </c>
      <c r="E7780" s="4" t="s">
        <v>1829</v>
      </c>
    </row>
    <row r="7781" spans="1:5" x14ac:dyDescent="0.2">
      <c r="A7781">
        <v>7720</v>
      </c>
      <c r="B7781" s="138">
        <f>'Expenditures 15-22'!H159</f>
        <v>0</v>
      </c>
      <c r="D7781" s="2" t="str">
        <f t="shared" si="127"/>
        <v>Error?</v>
      </c>
      <c r="E7781" s="4" t="s">
        <v>1829</v>
      </c>
    </row>
    <row r="7782" spans="1:5" x14ac:dyDescent="0.2">
      <c r="A7782">
        <v>7721</v>
      </c>
      <c r="B7782" s="138">
        <f>'Expenditures 15-22'!K159</f>
        <v>0</v>
      </c>
      <c r="D7782" s="2" t="str">
        <f t="shared" si="127"/>
        <v>Error?</v>
      </c>
      <c r="E7782" s="4" t="s">
        <v>1829</v>
      </c>
    </row>
    <row r="7783" spans="1:5" x14ac:dyDescent="0.2">
      <c r="A7783">
        <v>7722</v>
      </c>
      <c r="B7783" s="138">
        <f>'Expenditures 15-22'!D282</f>
        <v>0</v>
      </c>
      <c r="D7783" s="2" t="str">
        <f t="shared" si="127"/>
        <v>Error?</v>
      </c>
      <c r="E7783" s="4" t="s">
        <v>1829</v>
      </c>
    </row>
    <row r="7784" spans="1:5" x14ac:dyDescent="0.2">
      <c r="A7784">
        <v>7723</v>
      </c>
      <c r="B7784" s="138">
        <f>'Expenditures 15-22'!K282</f>
        <v>0</v>
      </c>
      <c r="D7784" s="2" t="str">
        <f t="shared" si="127"/>
        <v>Error?</v>
      </c>
      <c r="E7784" s="4" t="s">
        <v>1829</v>
      </c>
    </row>
    <row r="7785" spans="1:5" x14ac:dyDescent="0.2">
      <c r="A7785">
        <v>7724</v>
      </c>
      <c r="B7785" s="138">
        <f>'Expenditures 15-22'!H332</f>
        <v>0</v>
      </c>
      <c r="D7785" s="2" t="str">
        <f t="shared" si="127"/>
        <v>Error?</v>
      </c>
      <c r="E7785" s="4" t="s">
        <v>1829</v>
      </c>
    </row>
    <row r="7786" spans="1:5" x14ac:dyDescent="0.2">
      <c r="A7786">
        <v>7725</v>
      </c>
      <c r="B7786" s="138">
        <f>'Expenditures 15-22'!K332</f>
        <v>0</v>
      </c>
      <c r="D7786" s="2" t="str">
        <f t="shared" si="127"/>
        <v>Error?</v>
      </c>
      <c r="E7786" s="4" t="s">
        <v>1829</v>
      </c>
    </row>
    <row r="7787" spans="1:5" x14ac:dyDescent="0.2">
      <c r="A7787">
        <v>7726</v>
      </c>
      <c r="B7787" s="138">
        <f>'Expenditures 15-22'!H333</f>
        <v>0</v>
      </c>
      <c r="D7787" s="2" t="str">
        <f t="shared" si="127"/>
        <v>Error?</v>
      </c>
      <c r="E7787" s="4" t="s">
        <v>1829</v>
      </c>
    </row>
    <row r="7788" spans="1:5" x14ac:dyDescent="0.2">
      <c r="A7788">
        <v>7727</v>
      </c>
      <c r="B7788" s="138">
        <f>'Expenditures 15-22'!K333</f>
        <v>0</v>
      </c>
      <c r="D7788" s="2" t="str">
        <f t="shared" si="127"/>
        <v>Error?</v>
      </c>
      <c r="E7788" s="4" t="s">
        <v>1829</v>
      </c>
    </row>
    <row r="7789" spans="1:5" x14ac:dyDescent="0.2">
      <c r="A7789">
        <v>7728</v>
      </c>
      <c r="B7789" s="138">
        <f>'Expenditures 15-22'!H334</f>
        <v>0</v>
      </c>
      <c r="D7789" s="2" t="str">
        <f t="shared" si="127"/>
        <v>Error?</v>
      </c>
      <c r="E7789" s="4" t="s">
        <v>1829</v>
      </c>
    </row>
    <row r="7790" spans="1:5" x14ac:dyDescent="0.2">
      <c r="A7790">
        <v>7729</v>
      </c>
      <c r="B7790" s="138">
        <f>'Expenditures 15-22'!K334</f>
        <v>0</v>
      </c>
      <c r="D7790" s="2" t="str">
        <f t="shared" si="127"/>
        <v>Error?</v>
      </c>
      <c r="E7790" s="4" t="s">
        <v>1829</v>
      </c>
    </row>
    <row r="7791" spans="1:5" x14ac:dyDescent="0.2">
      <c r="A7791">
        <v>7730</v>
      </c>
      <c r="B7791" s="138">
        <f>'Expenditures 15-22'!H354</f>
        <v>0</v>
      </c>
      <c r="D7791" s="2" t="str">
        <f t="shared" si="127"/>
        <v>Error?</v>
      </c>
      <c r="E7791" s="4" t="s">
        <v>1829</v>
      </c>
    </row>
    <row r="7792" spans="1:5" x14ac:dyDescent="0.2">
      <c r="A7792">
        <v>7731</v>
      </c>
      <c r="B7792" s="138">
        <f>'Expenditures 15-22'!K354</f>
        <v>0</v>
      </c>
      <c r="D7792" s="2" t="str">
        <f t="shared" si="127"/>
        <v>Error?</v>
      </c>
      <c r="E7792" s="4" t="s">
        <v>1829</v>
      </c>
    </row>
    <row r="7793" spans="1:5" x14ac:dyDescent="0.2">
      <c r="A7793">
        <v>7732</v>
      </c>
      <c r="B7793" s="138">
        <f>'Expenditures 15-22'!H355</f>
        <v>0</v>
      </c>
      <c r="D7793" s="2" t="str">
        <f t="shared" si="127"/>
        <v>Error?</v>
      </c>
      <c r="E7793" s="4" t="s">
        <v>1829</v>
      </c>
    </row>
    <row r="7794" spans="1:5" x14ac:dyDescent="0.2">
      <c r="A7794">
        <v>7733</v>
      </c>
      <c r="B7794" s="138">
        <f>'Expenditures 15-22'!K355</f>
        <v>0</v>
      </c>
      <c r="D7794" s="2" t="str">
        <f t="shared" si="127"/>
        <v>Error?</v>
      </c>
      <c r="E7794" s="4" t="s">
        <v>1829</v>
      </c>
    </row>
    <row r="7795" spans="1:5" x14ac:dyDescent="0.2">
      <c r="A7795">
        <v>7734</v>
      </c>
      <c r="B7795" s="138">
        <f>'Expenditures 15-22'!E138</f>
        <v>0</v>
      </c>
      <c r="D7795" s="2" t="str">
        <f t="shared" si="127"/>
        <v>Error?</v>
      </c>
      <c r="E7795" s="4" t="s">
        <v>1829</v>
      </c>
    </row>
    <row r="7796" spans="1:5" x14ac:dyDescent="0.2">
      <c r="A7796">
        <v>7735</v>
      </c>
      <c r="B7796" s="138">
        <f>'Acct Summary 7-8'!J15</f>
        <v>0</v>
      </c>
      <c r="D7796" s="2" t="str">
        <f t="shared" si="127"/>
        <v>Error?</v>
      </c>
      <c r="E7796" s="4" t="s">
        <v>1829</v>
      </c>
    </row>
    <row r="7797" spans="1:5" x14ac:dyDescent="0.2">
      <c r="A7797">
        <v>7736</v>
      </c>
      <c r="B7797" s="138">
        <f>'Contracts Paid in CY 29'!D34</f>
        <v>1639907</v>
      </c>
      <c r="D7797" s="2" t="str">
        <f t="shared" si="127"/>
        <v>Error?</v>
      </c>
      <c r="E7797" s="4" t="s">
        <v>1878</v>
      </c>
    </row>
    <row r="7798" spans="1:5" x14ac:dyDescent="0.2">
      <c r="A7798">
        <v>7737</v>
      </c>
      <c r="B7798" s="138">
        <f>'Contracts Paid in CY 29'!F34</f>
        <v>350000</v>
      </c>
      <c r="D7798" s="2" t="str">
        <f t="shared" si="127"/>
        <v>Error?</v>
      </c>
      <c r="E7798" s="4" t="s">
        <v>1878</v>
      </c>
    </row>
    <row r="7799" spans="1:5" x14ac:dyDescent="0.2">
      <c r="A7799">
        <v>7738</v>
      </c>
      <c r="B7799" s="138">
        <f>'Contracts Paid in CY 29'!G34</f>
        <v>1289907</v>
      </c>
      <c r="D7799" s="2" t="str">
        <f t="shared" si="127"/>
        <v>Error?</v>
      </c>
      <c r="E7799" s="4" t="s">
        <v>1878</v>
      </c>
    </row>
    <row r="7800" spans="1:5" x14ac:dyDescent="0.2">
      <c r="A7800">
        <v>7739</v>
      </c>
      <c r="D7800" s="2" t="str">
        <f t="shared" si="127"/>
        <v>OK</v>
      </c>
    </row>
    <row r="7801" spans="1:5" x14ac:dyDescent="0.2">
      <c r="A7801">
        <v>7740</v>
      </c>
      <c r="B7801" s="138">
        <f>'Revenues 9-14'!C120</f>
        <v>0</v>
      </c>
      <c r="D7801" s="2" t="str">
        <f t="shared" si="127"/>
        <v>Error?</v>
      </c>
      <c r="E7801" s="4" t="s">
        <v>1915</v>
      </c>
    </row>
    <row r="7802" spans="1:5" x14ac:dyDescent="0.2">
      <c r="A7802">
        <v>7741</v>
      </c>
      <c r="B7802" s="138">
        <f>'Revenues 9-14'!D120</f>
        <v>0</v>
      </c>
      <c r="D7802" s="2" t="str">
        <f t="shared" si="127"/>
        <v>Error?</v>
      </c>
      <c r="E7802" s="4" t="s">
        <v>1915</v>
      </c>
    </row>
    <row r="7803" spans="1:5" x14ac:dyDescent="0.2">
      <c r="A7803">
        <v>7742</v>
      </c>
      <c r="B7803" s="138">
        <f>'Revenues 9-14'!E120</f>
        <v>0</v>
      </c>
      <c r="D7803" s="2" t="str">
        <f t="shared" si="127"/>
        <v>Error?</v>
      </c>
      <c r="E7803" s="4" t="s">
        <v>1915</v>
      </c>
    </row>
    <row r="7804" spans="1:5" x14ac:dyDescent="0.2">
      <c r="A7804">
        <v>7743</v>
      </c>
      <c r="B7804" s="138">
        <f>'Revenues 9-14'!F120</f>
        <v>0</v>
      </c>
      <c r="D7804" s="2" t="str">
        <f t="shared" si="127"/>
        <v>Error?</v>
      </c>
      <c r="E7804" s="4" t="s">
        <v>1915</v>
      </c>
    </row>
    <row r="7805" spans="1:5" x14ac:dyDescent="0.2">
      <c r="A7805">
        <v>7744</v>
      </c>
      <c r="B7805" s="138">
        <f>'Revenues 9-14'!G120</f>
        <v>0</v>
      </c>
      <c r="D7805" s="2" t="str">
        <f t="shared" si="127"/>
        <v>Error?</v>
      </c>
      <c r="E7805" s="4" t="s">
        <v>1915</v>
      </c>
    </row>
    <row r="7806" spans="1:5" x14ac:dyDescent="0.2">
      <c r="A7806">
        <v>7745</v>
      </c>
      <c r="B7806" s="138">
        <f>'Revenues 9-14'!H120</f>
        <v>0</v>
      </c>
      <c r="D7806" s="2" t="str">
        <f t="shared" si="127"/>
        <v>Error?</v>
      </c>
      <c r="E7806" s="4" t="s">
        <v>1915</v>
      </c>
    </row>
    <row r="7807" spans="1:5" x14ac:dyDescent="0.2">
      <c r="A7807">
        <v>7746</v>
      </c>
      <c r="B7807" s="138">
        <f>'Revenues 9-14'!J120</f>
        <v>0</v>
      </c>
      <c r="D7807" s="2" t="str">
        <f t="shared" ref="D7807:D7816" si="128">IF(ISBLANK(B7807),"OK",IF(A7807-B7807=0,"OK","Error?"))</f>
        <v>Error?</v>
      </c>
      <c r="E7807" s="4" t="s">
        <v>1915</v>
      </c>
    </row>
    <row r="7808" spans="1:5" x14ac:dyDescent="0.2">
      <c r="A7808">
        <v>7747</v>
      </c>
      <c r="B7808" s="138">
        <f>'Revenues 9-14'!K120</f>
        <v>0</v>
      </c>
      <c r="D7808" s="2" t="str">
        <f t="shared" si="128"/>
        <v>Error?</v>
      </c>
      <c r="E7808" s="4" t="s">
        <v>1915</v>
      </c>
    </row>
    <row r="7809" spans="1:5" x14ac:dyDescent="0.2">
      <c r="A7809">
        <v>7748</v>
      </c>
      <c r="B7809" s="138">
        <f>'Revenues 9-14'!C261</f>
        <v>0</v>
      </c>
      <c r="D7809" s="2" t="str">
        <f t="shared" si="128"/>
        <v>Error?</v>
      </c>
      <c r="E7809" s="4" t="s">
        <v>1916</v>
      </c>
    </row>
    <row r="7810" spans="1:5" x14ac:dyDescent="0.2">
      <c r="A7810">
        <v>7749</v>
      </c>
      <c r="B7810" s="138">
        <f>'Revenues 9-14'!D261</f>
        <v>0</v>
      </c>
      <c r="D7810" s="2" t="str">
        <f t="shared" si="128"/>
        <v>Error?</v>
      </c>
      <c r="E7810" s="4" t="s">
        <v>1916</v>
      </c>
    </row>
    <row r="7811" spans="1:5" x14ac:dyDescent="0.2">
      <c r="A7811">
        <v>7750</v>
      </c>
      <c r="B7811" s="138">
        <f>'Revenues 9-14'!F261</f>
        <v>0</v>
      </c>
      <c r="D7811" s="2" t="str">
        <f t="shared" si="128"/>
        <v>Error?</v>
      </c>
      <c r="E7811" s="4" t="s">
        <v>1916</v>
      </c>
    </row>
    <row r="7812" spans="1:5" x14ac:dyDescent="0.2">
      <c r="A7812">
        <v>7751</v>
      </c>
      <c r="B7812" s="138">
        <f>'Revenues 9-14'!G261</f>
        <v>0</v>
      </c>
      <c r="D7812" s="2" t="str">
        <f t="shared" si="128"/>
        <v>Error?</v>
      </c>
      <c r="E7812" s="4" t="s">
        <v>1916</v>
      </c>
    </row>
    <row r="7813" spans="1:5" x14ac:dyDescent="0.2">
      <c r="A7813">
        <v>7752</v>
      </c>
      <c r="B7813" s="138">
        <f>'Revenues 9-14'!C262</f>
        <v>0</v>
      </c>
      <c r="D7813" s="2" t="str">
        <f t="shared" si="128"/>
        <v>Error?</v>
      </c>
      <c r="E7813" s="4" t="s">
        <v>1917</v>
      </c>
    </row>
    <row r="7814" spans="1:5" x14ac:dyDescent="0.2">
      <c r="A7814">
        <v>7753</v>
      </c>
      <c r="B7814" s="138">
        <f>'Revenues 9-14'!D262</f>
        <v>0</v>
      </c>
      <c r="D7814" s="2" t="str">
        <f t="shared" si="128"/>
        <v>Error?</v>
      </c>
      <c r="E7814" s="4" t="s">
        <v>1917</v>
      </c>
    </row>
    <row r="7815" spans="1:5" x14ac:dyDescent="0.2">
      <c r="A7815">
        <v>7754</v>
      </c>
      <c r="B7815" s="138">
        <f>'Revenues 9-14'!F262</f>
        <v>0</v>
      </c>
      <c r="D7815" s="2" t="str">
        <f t="shared" si="128"/>
        <v>Error?</v>
      </c>
      <c r="E7815" s="4" t="s">
        <v>1917</v>
      </c>
    </row>
    <row r="7816" spans="1:5" x14ac:dyDescent="0.2">
      <c r="A7816">
        <v>7755</v>
      </c>
      <c r="B7816" s="138">
        <f>'Revenues 9-14'!G262</f>
        <v>0</v>
      </c>
      <c r="D7816" s="2" t="str">
        <f t="shared" si="128"/>
        <v>Error?</v>
      </c>
      <c r="E7816" s="4" t="s">
        <v>1917</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81" t="s">
        <v>1191</v>
      </c>
      <c r="B2" s="2381"/>
      <c r="C2" s="2381"/>
      <c r="D2" s="2381"/>
      <c r="E2" s="2381"/>
      <c r="F2" s="2381"/>
      <c r="G2" s="2381"/>
      <c r="H2" s="2381"/>
      <c r="I2" s="2381"/>
      <c r="J2" s="2381"/>
      <c r="K2" s="2381"/>
      <c r="L2" s="2381"/>
    </row>
    <row r="3" spans="1:29" ht="13.5" customHeight="1" x14ac:dyDescent="0.2">
      <c r="A3" s="2412" t="s">
        <v>1190</v>
      </c>
      <c r="B3" s="2412"/>
      <c r="C3" s="2412"/>
      <c r="D3" s="2412"/>
      <c r="E3" s="2412"/>
      <c r="F3" s="2412"/>
      <c r="G3" s="2412"/>
      <c r="H3" s="2412"/>
      <c r="I3" s="2412"/>
      <c r="J3" s="2412"/>
      <c r="K3" s="2412"/>
      <c r="L3" s="2412"/>
    </row>
    <row r="4" spans="1:29" ht="13.5" customHeight="1" x14ac:dyDescent="0.2">
      <c r="A4" s="2381" t="s">
        <v>1963</v>
      </c>
      <c r="B4" s="2402"/>
      <c r="C4" s="2402"/>
      <c r="D4" s="2402"/>
      <c r="E4" s="2402"/>
      <c r="F4" s="2402"/>
      <c r="G4" s="2402"/>
      <c r="H4" s="2402"/>
      <c r="I4" s="2402"/>
      <c r="J4" s="2402"/>
      <c r="K4" s="2402"/>
      <c r="L4" s="2402"/>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x14ac:dyDescent="0.2">
      <c r="A7" s="2403" t="str">
        <f>COVER!A17</f>
        <v>Salt Creek SD 48</v>
      </c>
      <c r="B7" s="2404"/>
      <c r="C7" s="2404"/>
      <c r="D7" s="2405"/>
      <c r="E7" s="2406">
        <f>COVER!A13</f>
        <v>19022048002</v>
      </c>
      <c r="F7" s="2407"/>
      <c r="G7" s="2413" t="str">
        <f>COVER!T23</f>
        <v>066-004133</v>
      </c>
      <c r="H7" s="2414"/>
      <c r="I7" s="2414"/>
      <c r="J7" s="2414"/>
      <c r="K7" s="2414"/>
      <c r="L7" s="2415"/>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416"/>
      <c r="B9" s="2417"/>
      <c r="C9" s="2417"/>
      <c r="D9" s="2417"/>
      <c r="E9" s="2417"/>
      <c r="F9" s="2418"/>
      <c r="G9" s="2387" t="str">
        <f>COVER!T13</f>
        <v>Wermer, Rogers, Doran &amp; Ruzon, LLC</v>
      </c>
      <c r="H9" s="2419"/>
      <c r="I9" s="2419"/>
      <c r="J9" s="2419"/>
      <c r="K9" s="2419"/>
      <c r="L9" s="2420"/>
    </row>
    <row r="10" spans="1:29" ht="13.5" customHeight="1" x14ac:dyDescent="0.2">
      <c r="A10" s="2393" t="str">
        <f>COVER!A38</f>
        <v>Jake Chung</v>
      </c>
      <c r="B10" s="2394"/>
      <c r="C10" s="2394"/>
      <c r="D10" s="2394"/>
      <c r="E10" s="2394"/>
      <c r="F10" s="2395"/>
      <c r="G10" s="2387" t="str">
        <f>COVER!T17</f>
        <v>755 Essington Road</v>
      </c>
      <c r="H10" s="2388"/>
      <c r="I10" s="2388"/>
      <c r="J10" s="2388"/>
      <c r="K10" s="2388"/>
      <c r="L10" s="2389"/>
    </row>
    <row r="11" spans="1:29" ht="13.5" customHeight="1" x14ac:dyDescent="0.2">
      <c r="A11" s="1161" t="s">
        <v>1517</v>
      </c>
      <c r="B11" s="1162"/>
      <c r="C11" s="1163"/>
      <c r="D11" s="1168"/>
      <c r="E11" s="1163"/>
      <c r="F11" s="1167"/>
      <c r="G11" s="2387" t="str">
        <f>COVER!T19</f>
        <v>Joliet</v>
      </c>
      <c r="H11" s="2388"/>
      <c r="I11" s="2388"/>
      <c r="J11" s="2388"/>
      <c r="K11" s="2388"/>
      <c r="L11" s="2389"/>
    </row>
    <row r="12" spans="1:29" ht="13.5" customHeight="1" x14ac:dyDescent="0.2">
      <c r="A12" s="2396" t="s">
        <v>1516</v>
      </c>
      <c r="B12" s="2397"/>
      <c r="C12" s="2397"/>
      <c r="D12" s="2397"/>
      <c r="E12" s="2397"/>
      <c r="F12" s="2398"/>
      <c r="G12" s="2390"/>
      <c r="H12" s="2391"/>
      <c r="I12" s="2391"/>
      <c r="J12" s="2391"/>
      <c r="K12" s="2391"/>
      <c r="L12" s="2392"/>
    </row>
    <row r="13" spans="1:29" ht="13.5" customHeight="1" x14ac:dyDescent="0.2">
      <c r="A13" s="2387"/>
      <c r="B13" s="2388"/>
      <c r="C13" s="2388"/>
      <c r="D13" s="2388"/>
      <c r="E13" s="2388"/>
      <c r="F13" s="2389"/>
      <c r="G13" s="2382" t="s">
        <v>1518</v>
      </c>
      <c r="H13" s="2383"/>
      <c r="I13" s="2399" t="str">
        <f>COVER!T25</f>
        <v>dmm@wrdr.com</v>
      </c>
      <c r="J13" s="2400"/>
      <c r="K13" s="2400"/>
      <c r="L13" s="2401"/>
    </row>
    <row r="14" spans="1:29" ht="13.5" customHeight="1" x14ac:dyDescent="0.2">
      <c r="A14" s="2387" t="str">
        <f>COVER!A19</f>
        <v>1110 South Villa Park</v>
      </c>
      <c r="B14" s="2388"/>
      <c r="C14" s="2388"/>
      <c r="D14" s="2388"/>
      <c r="E14" s="2388"/>
      <c r="F14" s="2389"/>
      <c r="G14" s="1172" t="s">
        <v>1185</v>
      </c>
      <c r="H14" s="1170"/>
      <c r="I14" s="1170"/>
      <c r="J14" s="1170"/>
      <c r="K14" s="1170"/>
      <c r="L14" s="1171"/>
    </row>
    <row r="15" spans="1:29" ht="13.5" customHeight="1" x14ac:dyDescent="0.2">
      <c r="A15" s="2387" t="str">
        <f>COVER!A21</f>
        <v>Villa Park</v>
      </c>
      <c r="B15" s="2388"/>
      <c r="C15" s="2388"/>
      <c r="D15" s="2388"/>
      <c r="E15" s="2388"/>
      <c r="F15" s="2389"/>
      <c r="G15" s="2384" t="str">
        <f>COVER!T15</f>
        <v>David M. Meyer</v>
      </c>
      <c r="H15" s="2385"/>
      <c r="I15" s="2385"/>
      <c r="J15" s="2385"/>
      <c r="K15" s="2385"/>
      <c r="L15" s="2386"/>
    </row>
    <row r="16" spans="1:29" ht="12.2" customHeight="1" x14ac:dyDescent="0.2">
      <c r="A16" s="2409">
        <f>COVER!A25</f>
        <v>60181</v>
      </c>
      <c r="B16" s="2410"/>
      <c r="C16" s="2410"/>
      <c r="D16" s="2410"/>
      <c r="E16" s="2410"/>
      <c r="F16" s="2411"/>
      <c r="G16" s="2421"/>
      <c r="H16" s="2422"/>
      <c r="I16" s="2422"/>
      <c r="J16" s="2422"/>
      <c r="K16" s="2422"/>
      <c r="L16" s="2423"/>
    </row>
    <row r="17" spans="1:13" ht="12.2" customHeight="1" x14ac:dyDescent="0.2">
      <c r="A17" s="2424"/>
      <c r="B17" s="2410"/>
      <c r="C17" s="2410"/>
      <c r="D17" s="2410"/>
      <c r="E17" s="2410"/>
      <c r="F17" s="2411"/>
      <c r="G17" s="1172" t="s">
        <v>1184</v>
      </c>
      <c r="H17" s="1170"/>
      <c r="I17" s="1170"/>
      <c r="J17" s="1170"/>
      <c r="K17" s="1174" t="s">
        <v>1183</v>
      </c>
      <c r="L17" s="1167"/>
      <c r="M17" s="1160"/>
    </row>
    <row r="18" spans="1:13" ht="12.2" customHeight="1" x14ac:dyDescent="0.2">
      <c r="A18" s="2393"/>
      <c r="B18" s="2394"/>
      <c r="C18" s="2394"/>
      <c r="D18" s="2394"/>
      <c r="E18" s="2394"/>
      <c r="F18" s="2395"/>
      <c r="G18" s="2403" t="str">
        <f>COVER!T21</f>
        <v>(815)730-6250</v>
      </c>
      <c r="H18" s="2404"/>
      <c r="I18" s="2404"/>
      <c r="J18" s="2404"/>
      <c r="K18" s="2403" t="str">
        <f>COVER!X21</f>
        <v>(815)730-6257</v>
      </c>
      <c r="L18" s="2408"/>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c r="C26" s="1179" t="s">
        <v>1693</v>
      </c>
    </row>
    <row r="27" spans="1:13" s="1175" customFormat="1" ht="9" customHeight="1" x14ac:dyDescent="0.2">
      <c r="B27" s="1180"/>
      <c r="C27" s="1179"/>
    </row>
    <row r="28" spans="1:13" s="1175" customFormat="1" ht="12.2" customHeight="1" x14ac:dyDescent="0.2">
      <c r="A28" s="1182"/>
      <c r="B28" s="1178"/>
      <c r="C28" s="1179" t="s">
        <v>1694</v>
      </c>
    </row>
    <row r="29" spans="1:13" s="1175" customFormat="1" ht="9" customHeight="1" x14ac:dyDescent="0.2">
      <c r="A29" s="1182"/>
      <c r="B29" s="1180"/>
      <c r="C29" s="1179"/>
    </row>
    <row r="30" spans="1:13" s="1175" customFormat="1" ht="12.2" customHeight="1" x14ac:dyDescent="0.2">
      <c r="B30" s="1178"/>
      <c r="C30" s="1179" t="s">
        <v>1560</v>
      </c>
      <c r="D30" s="1173"/>
      <c r="E30" s="1173"/>
    </row>
    <row r="31" spans="1:13" s="1175" customFormat="1" ht="9" customHeight="1" x14ac:dyDescent="0.2">
      <c r="B31" s="1180"/>
      <c r="C31" s="1179"/>
      <c r="D31" s="1173"/>
      <c r="E31" s="1173"/>
    </row>
    <row r="32" spans="1:13" s="1175" customFormat="1" ht="12.2" customHeight="1" x14ac:dyDescent="0.2">
      <c r="B32" s="1178"/>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c r="C38" s="1179" t="s">
        <v>1564</v>
      </c>
    </row>
    <row r="39" spans="1:8" ht="9" customHeight="1" x14ac:dyDescent="0.2">
      <c r="B39" s="1180"/>
      <c r="C39" s="1183"/>
    </row>
    <row r="40" spans="1:8" s="1175" customFormat="1" ht="13.5" customHeight="1" x14ac:dyDescent="0.2">
      <c r="B40" s="1178"/>
      <c r="C40" s="1179" t="s">
        <v>1565</v>
      </c>
    </row>
    <row r="41" spans="1:8" ht="9" customHeight="1" x14ac:dyDescent="0.2">
      <c r="A41" s="1184"/>
      <c r="B41" s="1180"/>
      <c r="C41" s="1183"/>
    </row>
    <row r="42" spans="1:8" s="1175" customFormat="1" ht="13.5" customHeight="1" x14ac:dyDescent="0.2">
      <c r="B42" s="1178"/>
      <c r="C42" s="1179" t="s">
        <v>1811</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36"/>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activeCell="A4" sqref="A4:L4"/>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25" t="str">
        <f>'Single Audit Cover'!A7</f>
        <v>Salt Creek SD 48</v>
      </c>
      <c r="B1" s="2402"/>
      <c r="C1" s="2402"/>
      <c r="D1" s="2402"/>
    </row>
    <row r="2" spans="1:11" s="1189" customFormat="1" ht="12.75" x14ac:dyDescent="0.2">
      <c r="A2" s="2426">
        <f>'Single Audit Cover'!E7</f>
        <v>19022048002</v>
      </c>
      <c r="B2" s="2427"/>
      <c r="C2" s="2427"/>
      <c r="D2" s="2427"/>
    </row>
    <row r="3" spans="1:11" s="1189" customFormat="1" ht="12.75" x14ac:dyDescent="0.2">
      <c r="A3" s="2425" t="s">
        <v>1511</v>
      </c>
      <c r="B3" s="2402"/>
      <c r="C3" s="2402"/>
      <c r="D3" s="2402"/>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1812</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A4" sqref="A4:L4"/>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9" t="str">
        <f>'Single Audit Cover'!A7</f>
        <v>Salt Creek SD 48</v>
      </c>
      <c r="B1" s="2429"/>
      <c r="C1" s="2429"/>
      <c r="D1" s="2429"/>
      <c r="E1" s="2429"/>
    </row>
    <row r="2" spans="1:5" x14ac:dyDescent="0.2">
      <c r="A2" s="2430">
        <f>'Single Audit Cover'!E7</f>
        <v>19022048002</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34" t="s">
        <v>1243</v>
      </c>
    </row>
    <row r="10" spans="1:5" x14ac:dyDescent="0.2">
      <c r="A10" s="1235" t="s">
        <v>1242</v>
      </c>
      <c r="B10" s="1236" t="s">
        <v>1241</v>
      </c>
      <c r="C10" s="1236"/>
      <c r="D10" s="1237">
        <f>SUM('Acct Summary 7-8'!C7:K7)</f>
        <v>400238</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9421</v>
      </c>
    </row>
    <row r="15" spans="1:5" x14ac:dyDescent="0.2">
      <c r="A15" s="1235"/>
      <c r="B15" s="1236"/>
      <c r="C15" s="1236"/>
    </row>
    <row r="16" spans="1:5" x14ac:dyDescent="0.2">
      <c r="A16" s="1235" t="s">
        <v>1818</v>
      </c>
      <c r="B16" s="1236"/>
      <c r="C16" s="1236"/>
    </row>
    <row r="17" spans="1:4" x14ac:dyDescent="0.2">
      <c r="A17" s="1235" t="s">
        <v>2035</v>
      </c>
      <c r="B17" s="1236" t="s">
        <v>1236</v>
      </c>
      <c r="C17" s="1236"/>
      <c r="D17" s="1238">
        <f>-SUM('Revenues 9-14'!C264:D264,'Revenues 9-14'!F264:G264)</f>
        <v>-35526</v>
      </c>
    </row>
    <row r="19" spans="1:4" ht="13.5" thickBot="1" x14ac:dyDescent="0.25">
      <c r="A19" s="1239" t="s">
        <v>1235</v>
      </c>
      <c r="D19" s="1240">
        <f>SUM(D10:D17)</f>
        <v>374133</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31"/>
      <c r="B24" s="2431"/>
      <c r="D24" s="1242"/>
    </row>
    <row r="25" spans="1:4" x14ac:dyDescent="0.2">
      <c r="A25" s="2428"/>
      <c r="B25" s="2428"/>
      <c r="D25" s="1242"/>
    </row>
    <row r="26" spans="1:4" x14ac:dyDescent="0.2">
      <c r="A26" s="2428"/>
      <c r="B26" s="2428"/>
      <c r="D26" s="1242"/>
    </row>
    <row r="27" spans="1:4" x14ac:dyDescent="0.2">
      <c r="A27" s="2428"/>
      <c r="B27" s="2428"/>
      <c r="D27" s="1242"/>
    </row>
    <row r="28" spans="1:4" x14ac:dyDescent="0.2">
      <c r="A28" s="2428"/>
      <c r="B28" s="2428"/>
      <c r="D28" s="1242"/>
    </row>
    <row r="29" spans="1:4" x14ac:dyDescent="0.2">
      <c r="A29" s="2428"/>
      <c r="B29" s="2428"/>
      <c r="D29" s="1242"/>
    </row>
    <row r="30" spans="1:4" x14ac:dyDescent="0.2">
      <c r="A30" s="2428"/>
      <c r="B30" s="2428"/>
      <c r="D30" s="1242"/>
    </row>
    <row r="32" spans="1:4" x14ac:dyDescent="0.2">
      <c r="A32" s="1234" t="s">
        <v>1233</v>
      </c>
      <c r="D32" s="1237">
        <f>SUM(D19:D30)</f>
        <v>374133</v>
      </c>
    </row>
    <row r="33" spans="1:4" x14ac:dyDescent="0.2">
      <c r="D33" s="1243"/>
    </row>
    <row r="34" spans="1:4" x14ac:dyDescent="0.2">
      <c r="A34" s="317" t="s">
        <v>1232</v>
      </c>
    </row>
    <row r="35" spans="1:4" x14ac:dyDescent="0.2">
      <c r="A35" s="317" t="s">
        <v>1231</v>
      </c>
      <c r="B35" s="1232" t="s">
        <v>1230</v>
      </c>
      <c r="D35" s="1244"/>
    </row>
    <row r="37" spans="1:4" x14ac:dyDescent="0.2">
      <c r="A37" s="1234" t="s">
        <v>1229</v>
      </c>
    </row>
    <row r="39" spans="1:4" ht="13.35" customHeight="1" x14ac:dyDescent="0.2">
      <c r="A39" s="1241" t="s">
        <v>1228</v>
      </c>
    </row>
    <row r="40" spans="1:4" x14ac:dyDescent="0.2">
      <c r="A40" s="2428"/>
      <c r="B40" s="2428"/>
      <c r="D40" s="1242"/>
    </row>
    <row r="41" spans="1:4" x14ac:dyDescent="0.2">
      <c r="A41" s="2428"/>
      <c r="B41" s="2428"/>
      <c r="D41" s="1245"/>
    </row>
    <row r="42" spans="1:4" x14ac:dyDescent="0.2">
      <c r="A42" s="2428"/>
      <c r="B42" s="2428"/>
      <c r="D42" s="1245"/>
    </row>
    <row r="43" spans="1:4" x14ac:dyDescent="0.2">
      <c r="A43" s="2428"/>
      <c r="B43" s="2428"/>
      <c r="D43" s="1245"/>
    </row>
    <row r="44" spans="1:4" x14ac:dyDescent="0.2">
      <c r="A44" s="2428"/>
      <c r="B44" s="2428"/>
      <c r="D44" s="1245"/>
    </row>
    <row r="45" spans="1:4" x14ac:dyDescent="0.2">
      <c r="A45" s="2428"/>
      <c r="B45" s="2428"/>
      <c r="D45" s="1245"/>
    </row>
    <row r="47" spans="1:4" x14ac:dyDescent="0.2">
      <c r="B47" s="1246" t="s">
        <v>1227</v>
      </c>
      <c r="C47" s="1246"/>
      <c r="D47" s="1247">
        <f>SUM(D35:D45)</f>
        <v>0</v>
      </c>
    </row>
    <row r="49" spans="2:4" x14ac:dyDescent="0.2">
      <c r="B49" s="1246" t="s">
        <v>1226</v>
      </c>
      <c r="C49" s="1246"/>
      <c r="D49" s="1247">
        <f>D32-D47</f>
        <v>374133</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9FF-D067-431F-A5FB-6704644F50B9}">
  <dimension ref="A1:X60"/>
  <sheetViews>
    <sheetView zoomScaleNormal="100" zoomScaleSheetLayoutView="75" workbookViewId="0">
      <selection activeCell="A4" sqref="A4:L4"/>
    </sheetView>
  </sheetViews>
  <sheetFormatPr defaultRowHeight="12.75" x14ac:dyDescent="0.2"/>
  <cols>
    <col min="1" max="1" width="53.28515625" style="1" customWidth="1"/>
    <col min="2" max="2" width="7.7109375" style="1" bestFit="1" customWidth="1"/>
    <col min="3" max="3" width="13.42578125" style="1" bestFit="1" customWidth="1"/>
    <col min="4" max="5" width="14.28515625" style="1869" bestFit="1" customWidth="1"/>
    <col min="6" max="8" width="14.140625" style="1869" customWidth="1"/>
    <col min="9" max="9" width="15.42578125" style="1869" customWidth="1"/>
    <col min="10" max="10" width="12" style="1869" customWidth="1"/>
    <col min="11" max="11" width="12.28515625" style="1869" customWidth="1"/>
    <col min="12" max="12" width="11.28515625" style="1869" customWidth="1"/>
    <col min="13" max="13" width="9.140625" style="1" customWidth="1"/>
    <col min="14" max="14" width="9.5703125" style="1" bestFit="1" customWidth="1"/>
    <col min="15" max="15" width="13.42578125" style="1" bestFit="1" customWidth="1"/>
    <col min="16" max="16" width="11.28515625" style="1" bestFit="1" customWidth="1"/>
    <col min="17" max="17" width="10.28515625" style="1" bestFit="1" customWidth="1"/>
    <col min="18" max="252" width="9.140625" style="1"/>
    <col min="253" max="253" width="55.7109375" style="1" customWidth="1"/>
    <col min="254" max="254" width="7.7109375" style="1" bestFit="1" customWidth="1"/>
    <col min="255" max="255" width="13.42578125" style="1" bestFit="1" customWidth="1"/>
    <col min="256" max="259" width="14.28515625" style="1" bestFit="1" customWidth="1"/>
    <col min="260" max="260" width="12" style="1" bestFit="1" customWidth="1"/>
    <col min="261" max="261" width="12.28515625" style="1" bestFit="1" customWidth="1"/>
    <col min="262" max="262" width="10.28515625" style="1" customWidth="1"/>
    <col min="263" max="263" width="9.140625" style="1" customWidth="1"/>
    <col min="264" max="264" width="9.5703125" style="1" bestFit="1" customWidth="1"/>
    <col min="265" max="266" width="10.7109375" style="1" bestFit="1" customWidth="1"/>
    <col min="267" max="269" width="11.85546875" style="1" bestFit="1" customWidth="1"/>
    <col min="270" max="270" width="13.42578125" style="1" bestFit="1" customWidth="1"/>
    <col min="271" max="271" width="9.5703125" style="1" bestFit="1" customWidth="1"/>
    <col min="272" max="508" width="9.140625" style="1"/>
    <col min="509" max="509" width="55.7109375" style="1" customWidth="1"/>
    <col min="510" max="510" width="7.7109375" style="1" bestFit="1" customWidth="1"/>
    <col min="511" max="511" width="13.42578125" style="1" bestFit="1" customWidth="1"/>
    <col min="512" max="515" width="14.28515625" style="1" bestFit="1" customWidth="1"/>
    <col min="516" max="516" width="12" style="1" bestFit="1" customWidth="1"/>
    <col min="517" max="517" width="12.28515625" style="1" bestFit="1" customWidth="1"/>
    <col min="518" max="518" width="10.28515625" style="1" customWidth="1"/>
    <col min="519" max="519" width="9.140625" style="1" customWidth="1"/>
    <col min="520" max="520" width="9.5703125" style="1" bestFit="1" customWidth="1"/>
    <col min="521" max="522" width="10.7109375" style="1" bestFit="1" customWidth="1"/>
    <col min="523" max="525" width="11.85546875" style="1" bestFit="1" customWidth="1"/>
    <col min="526" max="526" width="13.42578125" style="1" bestFit="1" customWidth="1"/>
    <col min="527" max="527" width="9.5703125" style="1" bestFit="1" customWidth="1"/>
    <col min="528" max="764" width="9.140625" style="1"/>
    <col min="765" max="765" width="55.7109375" style="1" customWidth="1"/>
    <col min="766" max="766" width="7.7109375" style="1" bestFit="1" customWidth="1"/>
    <col min="767" max="767" width="13.42578125" style="1" bestFit="1" customWidth="1"/>
    <col min="768" max="771" width="14.28515625" style="1" bestFit="1" customWidth="1"/>
    <col min="772" max="772" width="12" style="1" bestFit="1" customWidth="1"/>
    <col min="773" max="773" width="12.28515625" style="1" bestFit="1" customWidth="1"/>
    <col min="774" max="774" width="10.28515625" style="1" customWidth="1"/>
    <col min="775" max="775" width="9.140625" style="1" customWidth="1"/>
    <col min="776" max="776" width="9.5703125" style="1" bestFit="1" customWidth="1"/>
    <col min="777" max="778" width="10.7109375" style="1" bestFit="1" customWidth="1"/>
    <col min="779" max="781" width="11.85546875" style="1" bestFit="1" customWidth="1"/>
    <col min="782" max="782" width="13.42578125" style="1" bestFit="1" customWidth="1"/>
    <col min="783" max="783" width="9.5703125" style="1" bestFit="1" customWidth="1"/>
    <col min="784" max="1020" width="9.140625" style="1"/>
    <col min="1021" max="1021" width="55.7109375" style="1" customWidth="1"/>
    <col min="1022" max="1022" width="7.7109375" style="1" bestFit="1" customWidth="1"/>
    <col min="1023" max="1023" width="13.42578125" style="1" bestFit="1" customWidth="1"/>
    <col min="1024" max="1027" width="14.28515625" style="1" bestFit="1" customWidth="1"/>
    <col min="1028" max="1028" width="12" style="1" bestFit="1" customWidth="1"/>
    <col min="1029" max="1029" width="12.28515625" style="1" bestFit="1" customWidth="1"/>
    <col min="1030" max="1030" width="10.28515625" style="1" customWidth="1"/>
    <col min="1031" max="1031" width="9.140625" style="1" customWidth="1"/>
    <col min="1032" max="1032" width="9.5703125" style="1" bestFit="1" customWidth="1"/>
    <col min="1033" max="1034" width="10.7109375" style="1" bestFit="1" customWidth="1"/>
    <col min="1035" max="1037" width="11.85546875" style="1" bestFit="1" customWidth="1"/>
    <col min="1038" max="1038" width="13.42578125" style="1" bestFit="1" customWidth="1"/>
    <col min="1039" max="1039" width="9.5703125" style="1" bestFit="1" customWidth="1"/>
    <col min="1040" max="1276" width="9.140625" style="1"/>
    <col min="1277" max="1277" width="55.7109375" style="1" customWidth="1"/>
    <col min="1278" max="1278" width="7.7109375" style="1" bestFit="1" customWidth="1"/>
    <col min="1279" max="1279" width="13.42578125" style="1" bestFit="1" customWidth="1"/>
    <col min="1280" max="1283" width="14.28515625" style="1" bestFit="1" customWidth="1"/>
    <col min="1284" max="1284" width="12" style="1" bestFit="1" customWidth="1"/>
    <col min="1285" max="1285" width="12.28515625" style="1" bestFit="1" customWidth="1"/>
    <col min="1286" max="1286" width="10.28515625" style="1" customWidth="1"/>
    <col min="1287" max="1287" width="9.140625" style="1" customWidth="1"/>
    <col min="1288" max="1288" width="9.5703125" style="1" bestFit="1" customWidth="1"/>
    <col min="1289" max="1290" width="10.7109375" style="1" bestFit="1" customWidth="1"/>
    <col min="1291" max="1293" width="11.85546875" style="1" bestFit="1" customWidth="1"/>
    <col min="1294" max="1294" width="13.42578125" style="1" bestFit="1" customWidth="1"/>
    <col min="1295" max="1295" width="9.5703125" style="1" bestFit="1" customWidth="1"/>
    <col min="1296" max="1532" width="9.140625" style="1"/>
    <col min="1533" max="1533" width="55.7109375" style="1" customWidth="1"/>
    <col min="1534" max="1534" width="7.7109375" style="1" bestFit="1" customWidth="1"/>
    <col min="1535" max="1535" width="13.42578125" style="1" bestFit="1" customWidth="1"/>
    <col min="1536" max="1539" width="14.28515625" style="1" bestFit="1" customWidth="1"/>
    <col min="1540" max="1540" width="12" style="1" bestFit="1" customWidth="1"/>
    <col min="1541" max="1541" width="12.28515625" style="1" bestFit="1" customWidth="1"/>
    <col min="1542" max="1542" width="10.28515625" style="1" customWidth="1"/>
    <col min="1543" max="1543" width="9.140625" style="1" customWidth="1"/>
    <col min="1544" max="1544" width="9.5703125" style="1" bestFit="1" customWidth="1"/>
    <col min="1545" max="1546" width="10.7109375" style="1" bestFit="1" customWidth="1"/>
    <col min="1547" max="1549" width="11.85546875" style="1" bestFit="1" customWidth="1"/>
    <col min="1550" max="1550" width="13.42578125" style="1" bestFit="1" customWidth="1"/>
    <col min="1551" max="1551" width="9.5703125" style="1" bestFit="1" customWidth="1"/>
    <col min="1552" max="1788" width="9.140625" style="1"/>
    <col min="1789" max="1789" width="55.7109375" style="1" customWidth="1"/>
    <col min="1790" max="1790" width="7.7109375" style="1" bestFit="1" customWidth="1"/>
    <col min="1791" max="1791" width="13.42578125" style="1" bestFit="1" customWidth="1"/>
    <col min="1792" max="1795" width="14.28515625" style="1" bestFit="1" customWidth="1"/>
    <col min="1796" max="1796" width="12" style="1" bestFit="1" customWidth="1"/>
    <col min="1797" max="1797" width="12.28515625" style="1" bestFit="1" customWidth="1"/>
    <col min="1798" max="1798" width="10.28515625" style="1" customWidth="1"/>
    <col min="1799" max="1799" width="9.140625" style="1" customWidth="1"/>
    <col min="1800" max="1800" width="9.5703125" style="1" bestFit="1" customWidth="1"/>
    <col min="1801" max="1802" width="10.7109375" style="1" bestFit="1" customWidth="1"/>
    <col min="1803" max="1805" width="11.85546875" style="1" bestFit="1" customWidth="1"/>
    <col min="1806" max="1806" width="13.42578125" style="1" bestFit="1" customWidth="1"/>
    <col min="1807" max="1807" width="9.5703125" style="1" bestFit="1" customWidth="1"/>
    <col min="1808" max="2044" width="9.140625" style="1"/>
    <col min="2045" max="2045" width="55.7109375" style="1" customWidth="1"/>
    <col min="2046" max="2046" width="7.7109375" style="1" bestFit="1" customWidth="1"/>
    <col min="2047" max="2047" width="13.42578125" style="1" bestFit="1" customWidth="1"/>
    <col min="2048" max="2051" width="14.28515625" style="1" bestFit="1" customWidth="1"/>
    <col min="2052" max="2052" width="12" style="1" bestFit="1" customWidth="1"/>
    <col min="2053" max="2053" width="12.28515625" style="1" bestFit="1" customWidth="1"/>
    <col min="2054" max="2054" width="10.28515625" style="1" customWidth="1"/>
    <col min="2055" max="2055" width="9.140625" style="1" customWidth="1"/>
    <col min="2056" max="2056" width="9.5703125" style="1" bestFit="1" customWidth="1"/>
    <col min="2057" max="2058" width="10.7109375" style="1" bestFit="1" customWidth="1"/>
    <col min="2059" max="2061" width="11.85546875" style="1" bestFit="1" customWidth="1"/>
    <col min="2062" max="2062" width="13.42578125" style="1" bestFit="1" customWidth="1"/>
    <col min="2063" max="2063" width="9.5703125" style="1" bestFit="1" customWidth="1"/>
    <col min="2064" max="2300" width="9.140625" style="1"/>
    <col min="2301" max="2301" width="55.7109375" style="1" customWidth="1"/>
    <col min="2302" max="2302" width="7.7109375" style="1" bestFit="1" customWidth="1"/>
    <col min="2303" max="2303" width="13.42578125" style="1" bestFit="1" customWidth="1"/>
    <col min="2304" max="2307" width="14.28515625" style="1" bestFit="1" customWidth="1"/>
    <col min="2308" max="2308" width="12" style="1" bestFit="1" customWidth="1"/>
    <col min="2309" max="2309" width="12.28515625" style="1" bestFit="1" customWidth="1"/>
    <col min="2310" max="2310" width="10.28515625" style="1" customWidth="1"/>
    <col min="2311" max="2311" width="9.140625" style="1" customWidth="1"/>
    <col min="2312" max="2312" width="9.5703125" style="1" bestFit="1" customWidth="1"/>
    <col min="2313" max="2314" width="10.7109375" style="1" bestFit="1" customWidth="1"/>
    <col min="2315" max="2317" width="11.85546875" style="1" bestFit="1" customWidth="1"/>
    <col min="2318" max="2318" width="13.42578125" style="1" bestFit="1" customWidth="1"/>
    <col min="2319" max="2319" width="9.5703125" style="1" bestFit="1" customWidth="1"/>
    <col min="2320" max="2556" width="9.140625" style="1"/>
    <col min="2557" max="2557" width="55.7109375" style="1" customWidth="1"/>
    <col min="2558" max="2558" width="7.7109375" style="1" bestFit="1" customWidth="1"/>
    <col min="2559" max="2559" width="13.42578125" style="1" bestFit="1" customWidth="1"/>
    <col min="2560" max="2563" width="14.28515625" style="1" bestFit="1" customWidth="1"/>
    <col min="2564" max="2564" width="12" style="1" bestFit="1" customWidth="1"/>
    <col min="2565" max="2565" width="12.28515625" style="1" bestFit="1" customWidth="1"/>
    <col min="2566" max="2566" width="10.28515625" style="1" customWidth="1"/>
    <col min="2567" max="2567" width="9.140625" style="1" customWidth="1"/>
    <col min="2568" max="2568" width="9.5703125" style="1" bestFit="1" customWidth="1"/>
    <col min="2569" max="2570" width="10.7109375" style="1" bestFit="1" customWidth="1"/>
    <col min="2571" max="2573" width="11.85546875" style="1" bestFit="1" customWidth="1"/>
    <col min="2574" max="2574" width="13.42578125" style="1" bestFit="1" customWidth="1"/>
    <col min="2575" max="2575" width="9.5703125" style="1" bestFit="1" customWidth="1"/>
    <col min="2576" max="2812" width="9.140625" style="1"/>
    <col min="2813" max="2813" width="55.7109375" style="1" customWidth="1"/>
    <col min="2814" max="2814" width="7.7109375" style="1" bestFit="1" customWidth="1"/>
    <col min="2815" max="2815" width="13.42578125" style="1" bestFit="1" customWidth="1"/>
    <col min="2816" max="2819" width="14.28515625" style="1" bestFit="1" customWidth="1"/>
    <col min="2820" max="2820" width="12" style="1" bestFit="1" customWidth="1"/>
    <col min="2821" max="2821" width="12.28515625" style="1" bestFit="1" customWidth="1"/>
    <col min="2822" max="2822" width="10.28515625" style="1" customWidth="1"/>
    <col min="2823" max="2823" width="9.140625" style="1" customWidth="1"/>
    <col min="2824" max="2824" width="9.5703125" style="1" bestFit="1" customWidth="1"/>
    <col min="2825" max="2826" width="10.7109375" style="1" bestFit="1" customWidth="1"/>
    <col min="2827" max="2829" width="11.85546875" style="1" bestFit="1" customWidth="1"/>
    <col min="2830" max="2830" width="13.42578125" style="1" bestFit="1" customWidth="1"/>
    <col min="2831" max="2831" width="9.5703125" style="1" bestFit="1" customWidth="1"/>
    <col min="2832" max="3068" width="9.140625" style="1"/>
    <col min="3069" max="3069" width="55.7109375" style="1" customWidth="1"/>
    <col min="3070" max="3070" width="7.7109375" style="1" bestFit="1" customWidth="1"/>
    <col min="3071" max="3071" width="13.42578125" style="1" bestFit="1" customWidth="1"/>
    <col min="3072" max="3075" width="14.28515625" style="1" bestFit="1" customWidth="1"/>
    <col min="3076" max="3076" width="12" style="1" bestFit="1" customWidth="1"/>
    <col min="3077" max="3077" width="12.28515625" style="1" bestFit="1" customWidth="1"/>
    <col min="3078" max="3078" width="10.28515625" style="1" customWidth="1"/>
    <col min="3079" max="3079" width="9.140625" style="1" customWidth="1"/>
    <col min="3080" max="3080" width="9.5703125" style="1" bestFit="1" customWidth="1"/>
    <col min="3081" max="3082" width="10.7109375" style="1" bestFit="1" customWidth="1"/>
    <col min="3083" max="3085" width="11.85546875" style="1" bestFit="1" customWidth="1"/>
    <col min="3086" max="3086" width="13.42578125" style="1" bestFit="1" customWidth="1"/>
    <col min="3087" max="3087" width="9.5703125" style="1" bestFit="1" customWidth="1"/>
    <col min="3088" max="3324" width="9.140625" style="1"/>
    <col min="3325" max="3325" width="55.7109375" style="1" customWidth="1"/>
    <col min="3326" max="3326" width="7.7109375" style="1" bestFit="1" customWidth="1"/>
    <col min="3327" max="3327" width="13.42578125" style="1" bestFit="1" customWidth="1"/>
    <col min="3328" max="3331" width="14.28515625" style="1" bestFit="1" customWidth="1"/>
    <col min="3332" max="3332" width="12" style="1" bestFit="1" customWidth="1"/>
    <col min="3333" max="3333" width="12.28515625" style="1" bestFit="1" customWidth="1"/>
    <col min="3334" max="3334" width="10.28515625" style="1" customWidth="1"/>
    <col min="3335" max="3335" width="9.140625" style="1" customWidth="1"/>
    <col min="3336" max="3336" width="9.5703125" style="1" bestFit="1" customWidth="1"/>
    <col min="3337" max="3338" width="10.7109375" style="1" bestFit="1" customWidth="1"/>
    <col min="3339" max="3341" width="11.85546875" style="1" bestFit="1" customWidth="1"/>
    <col min="3342" max="3342" width="13.42578125" style="1" bestFit="1" customWidth="1"/>
    <col min="3343" max="3343" width="9.5703125" style="1" bestFit="1" customWidth="1"/>
    <col min="3344" max="3580" width="9.140625" style="1"/>
    <col min="3581" max="3581" width="55.7109375" style="1" customWidth="1"/>
    <col min="3582" max="3582" width="7.7109375" style="1" bestFit="1" customWidth="1"/>
    <col min="3583" max="3583" width="13.42578125" style="1" bestFit="1" customWidth="1"/>
    <col min="3584" max="3587" width="14.28515625" style="1" bestFit="1" customWidth="1"/>
    <col min="3588" max="3588" width="12" style="1" bestFit="1" customWidth="1"/>
    <col min="3589" max="3589" width="12.28515625" style="1" bestFit="1" customWidth="1"/>
    <col min="3590" max="3590" width="10.28515625" style="1" customWidth="1"/>
    <col min="3591" max="3591" width="9.140625" style="1" customWidth="1"/>
    <col min="3592" max="3592" width="9.5703125" style="1" bestFit="1" customWidth="1"/>
    <col min="3593" max="3594" width="10.7109375" style="1" bestFit="1" customWidth="1"/>
    <col min="3595" max="3597" width="11.85546875" style="1" bestFit="1" customWidth="1"/>
    <col min="3598" max="3598" width="13.42578125" style="1" bestFit="1" customWidth="1"/>
    <col min="3599" max="3599" width="9.5703125" style="1" bestFit="1" customWidth="1"/>
    <col min="3600" max="3836" width="9.140625" style="1"/>
    <col min="3837" max="3837" width="55.7109375" style="1" customWidth="1"/>
    <col min="3838" max="3838" width="7.7109375" style="1" bestFit="1" customWidth="1"/>
    <col min="3839" max="3839" width="13.42578125" style="1" bestFit="1" customWidth="1"/>
    <col min="3840" max="3843" width="14.28515625" style="1" bestFit="1" customWidth="1"/>
    <col min="3844" max="3844" width="12" style="1" bestFit="1" customWidth="1"/>
    <col min="3845" max="3845" width="12.28515625" style="1" bestFit="1" customWidth="1"/>
    <col min="3846" max="3846" width="10.28515625" style="1" customWidth="1"/>
    <col min="3847" max="3847" width="9.140625" style="1" customWidth="1"/>
    <col min="3848" max="3848" width="9.5703125" style="1" bestFit="1" customWidth="1"/>
    <col min="3849" max="3850" width="10.7109375" style="1" bestFit="1" customWidth="1"/>
    <col min="3851" max="3853" width="11.85546875" style="1" bestFit="1" customWidth="1"/>
    <col min="3854" max="3854" width="13.42578125" style="1" bestFit="1" customWidth="1"/>
    <col min="3855" max="3855" width="9.5703125" style="1" bestFit="1" customWidth="1"/>
    <col min="3856" max="4092" width="9.140625" style="1"/>
    <col min="4093" max="4093" width="55.7109375" style="1" customWidth="1"/>
    <col min="4094" max="4094" width="7.7109375" style="1" bestFit="1" customWidth="1"/>
    <col min="4095" max="4095" width="13.42578125" style="1" bestFit="1" customWidth="1"/>
    <col min="4096" max="4099" width="14.28515625" style="1" bestFit="1" customWidth="1"/>
    <col min="4100" max="4100" width="12" style="1" bestFit="1" customWidth="1"/>
    <col min="4101" max="4101" width="12.28515625" style="1" bestFit="1" customWidth="1"/>
    <col min="4102" max="4102" width="10.28515625" style="1" customWidth="1"/>
    <col min="4103" max="4103" width="9.140625" style="1" customWidth="1"/>
    <col min="4104" max="4104" width="9.5703125" style="1" bestFit="1" customWidth="1"/>
    <col min="4105" max="4106" width="10.7109375" style="1" bestFit="1" customWidth="1"/>
    <col min="4107" max="4109" width="11.85546875" style="1" bestFit="1" customWidth="1"/>
    <col min="4110" max="4110" width="13.42578125" style="1" bestFit="1" customWidth="1"/>
    <col min="4111" max="4111" width="9.5703125" style="1" bestFit="1" customWidth="1"/>
    <col min="4112" max="4348" width="9.140625" style="1"/>
    <col min="4349" max="4349" width="55.7109375" style="1" customWidth="1"/>
    <col min="4350" max="4350" width="7.7109375" style="1" bestFit="1" customWidth="1"/>
    <col min="4351" max="4351" width="13.42578125" style="1" bestFit="1" customWidth="1"/>
    <col min="4352" max="4355" width="14.28515625" style="1" bestFit="1" customWidth="1"/>
    <col min="4356" max="4356" width="12" style="1" bestFit="1" customWidth="1"/>
    <col min="4357" max="4357" width="12.28515625" style="1" bestFit="1" customWidth="1"/>
    <col min="4358" max="4358" width="10.28515625" style="1" customWidth="1"/>
    <col min="4359" max="4359" width="9.140625" style="1" customWidth="1"/>
    <col min="4360" max="4360" width="9.5703125" style="1" bestFit="1" customWidth="1"/>
    <col min="4361" max="4362" width="10.7109375" style="1" bestFit="1" customWidth="1"/>
    <col min="4363" max="4365" width="11.85546875" style="1" bestFit="1" customWidth="1"/>
    <col min="4366" max="4366" width="13.42578125" style="1" bestFit="1" customWidth="1"/>
    <col min="4367" max="4367" width="9.5703125" style="1" bestFit="1" customWidth="1"/>
    <col min="4368" max="4604" width="9.140625" style="1"/>
    <col min="4605" max="4605" width="55.7109375" style="1" customWidth="1"/>
    <col min="4606" max="4606" width="7.7109375" style="1" bestFit="1" customWidth="1"/>
    <col min="4607" max="4607" width="13.42578125" style="1" bestFit="1" customWidth="1"/>
    <col min="4608" max="4611" width="14.28515625" style="1" bestFit="1" customWidth="1"/>
    <col min="4612" max="4612" width="12" style="1" bestFit="1" customWidth="1"/>
    <col min="4613" max="4613" width="12.28515625" style="1" bestFit="1" customWidth="1"/>
    <col min="4614" max="4614" width="10.28515625" style="1" customWidth="1"/>
    <col min="4615" max="4615" width="9.140625" style="1" customWidth="1"/>
    <col min="4616" max="4616" width="9.5703125" style="1" bestFit="1" customWidth="1"/>
    <col min="4617" max="4618" width="10.7109375" style="1" bestFit="1" customWidth="1"/>
    <col min="4619" max="4621" width="11.85546875" style="1" bestFit="1" customWidth="1"/>
    <col min="4622" max="4622" width="13.42578125" style="1" bestFit="1" customWidth="1"/>
    <col min="4623" max="4623" width="9.5703125" style="1" bestFit="1" customWidth="1"/>
    <col min="4624" max="4860" width="9.140625" style="1"/>
    <col min="4861" max="4861" width="55.7109375" style="1" customWidth="1"/>
    <col min="4862" max="4862" width="7.7109375" style="1" bestFit="1" customWidth="1"/>
    <col min="4863" max="4863" width="13.42578125" style="1" bestFit="1" customWidth="1"/>
    <col min="4864" max="4867" width="14.28515625" style="1" bestFit="1" customWidth="1"/>
    <col min="4868" max="4868" width="12" style="1" bestFit="1" customWidth="1"/>
    <col min="4869" max="4869" width="12.28515625" style="1" bestFit="1" customWidth="1"/>
    <col min="4870" max="4870" width="10.28515625" style="1" customWidth="1"/>
    <col min="4871" max="4871" width="9.140625" style="1" customWidth="1"/>
    <col min="4872" max="4872" width="9.5703125" style="1" bestFit="1" customWidth="1"/>
    <col min="4873" max="4874" width="10.7109375" style="1" bestFit="1" customWidth="1"/>
    <col min="4875" max="4877" width="11.85546875" style="1" bestFit="1" customWidth="1"/>
    <col min="4878" max="4878" width="13.42578125" style="1" bestFit="1" customWidth="1"/>
    <col min="4879" max="4879" width="9.5703125" style="1" bestFit="1" customWidth="1"/>
    <col min="4880" max="5116" width="9.140625" style="1"/>
    <col min="5117" max="5117" width="55.7109375" style="1" customWidth="1"/>
    <col min="5118" max="5118" width="7.7109375" style="1" bestFit="1" customWidth="1"/>
    <col min="5119" max="5119" width="13.42578125" style="1" bestFit="1" customWidth="1"/>
    <col min="5120" max="5123" width="14.28515625" style="1" bestFit="1" customWidth="1"/>
    <col min="5124" max="5124" width="12" style="1" bestFit="1" customWidth="1"/>
    <col min="5125" max="5125" width="12.28515625" style="1" bestFit="1" customWidth="1"/>
    <col min="5126" max="5126" width="10.28515625" style="1" customWidth="1"/>
    <col min="5127" max="5127" width="9.140625" style="1" customWidth="1"/>
    <col min="5128" max="5128" width="9.5703125" style="1" bestFit="1" customWidth="1"/>
    <col min="5129" max="5130" width="10.7109375" style="1" bestFit="1" customWidth="1"/>
    <col min="5131" max="5133" width="11.85546875" style="1" bestFit="1" customWidth="1"/>
    <col min="5134" max="5134" width="13.42578125" style="1" bestFit="1" customWidth="1"/>
    <col min="5135" max="5135" width="9.5703125" style="1" bestFit="1" customWidth="1"/>
    <col min="5136" max="5372" width="9.140625" style="1"/>
    <col min="5373" max="5373" width="55.7109375" style="1" customWidth="1"/>
    <col min="5374" max="5374" width="7.7109375" style="1" bestFit="1" customWidth="1"/>
    <col min="5375" max="5375" width="13.42578125" style="1" bestFit="1" customWidth="1"/>
    <col min="5376" max="5379" width="14.28515625" style="1" bestFit="1" customWidth="1"/>
    <col min="5380" max="5380" width="12" style="1" bestFit="1" customWidth="1"/>
    <col min="5381" max="5381" width="12.28515625" style="1" bestFit="1" customWidth="1"/>
    <col min="5382" max="5382" width="10.28515625" style="1" customWidth="1"/>
    <col min="5383" max="5383" width="9.140625" style="1" customWidth="1"/>
    <col min="5384" max="5384" width="9.5703125" style="1" bestFit="1" customWidth="1"/>
    <col min="5385" max="5386" width="10.7109375" style="1" bestFit="1" customWidth="1"/>
    <col min="5387" max="5389" width="11.85546875" style="1" bestFit="1" customWidth="1"/>
    <col min="5390" max="5390" width="13.42578125" style="1" bestFit="1" customWidth="1"/>
    <col min="5391" max="5391" width="9.5703125" style="1" bestFit="1" customWidth="1"/>
    <col min="5392" max="5628" width="9.140625" style="1"/>
    <col min="5629" max="5629" width="55.7109375" style="1" customWidth="1"/>
    <col min="5630" max="5630" width="7.7109375" style="1" bestFit="1" customWidth="1"/>
    <col min="5631" max="5631" width="13.42578125" style="1" bestFit="1" customWidth="1"/>
    <col min="5632" max="5635" width="14.28515625" style="1" bestFit="1" customWidth="1"/>
    <col min="5636" max="5636" width="12" style="1" bestFit="1" customWidth="1"/>
    <col min="5637" max="5637" width="12.28515625" style="1" bestFit="1" customWidth="1"/>
    <col min="5638" max="5638" width="10.28515625" style="1" customWidth="1"/>
    <col min="5639" max="5639" width="9.140625" style="1" customWidth="1"/>
    <col min="5640" max="5640" width="9.5703125" style="1" bestFit="1" customWidth="1"/>
    <col min="5641" max="5642" width="10.7109375" style="1" bestFit="1" customWidth="1"/>
    <col min="5643" max="5645" width="11.85546875" style="1" bestFit="1" customWidth="1"/>
    <col min="5646" max="5646" width="13.42578125" style="1" bestFit="1" customWidth="1"/>
    <col min="5647" max="5647" width="9.5703125" style="1" bestFit="1" customWidth="1"/>
    <col min="5648" max="5884" width="9.140625" style="1"/>
    <col min="5885" max="5885" width="55.7109375" style="1" customWidth="1"/>
    <col min="5886" max="5886" width="7.7109375" style="1" bestFit="1" customWidth="1"/>
    <col min="5887" max="5887" width="13.42578125" style="1" bestFit="1" customWidth="1"/>
    <col min="5888" max="5891" width="14.28515625" style="1" bestFit="1" customWidth="1"/>
    <col min="5892" max="5892" width="12" style="1" bestFit="1" customWidth="1"/>
    <col min="5893" max="5893" width="12.28515625" style="1" bestFit="1" customWidth="1"/>
    <col min="5894" max="5894" width="10.28515625" style="1" customWidth="1"/>
    <col min="5895" max="5895" width="9.140625" style="1" customWidth="1"/>
    <col min="5896" max="5896" width="9.5703125" style="1" bestFit="1" customWidth="1"/>
    <col min="5897" max="5898" width="10.7109375" style="1" bestFit="1" customWidth="1"/>
    <col min="5899" max="5901" width="11.85546875" style="1" bestFit="1" customWidth="1"/>
    <col min="5902" max="5902" width="13.42578125" style="1" bestFit="1" customWidth="1"/>
    <col min="5903" max="5903" width="9.5703125" style="1" bestFit="1" customWidth="1"/>
    <col min="5904" max="6140" width="9.140625" style="1"/>
    <col min="6141" max="6141" width="55.7109375" style="1" customWidth="1"/>
    <col min="6142" max="6142" width="7.7109375" style="1" bestFit="1" customWidth="1"/>
    <col min="6143" max="6143" width="13.42578125" style="1" bestFit="1" customWidth="1"/>
    <col min="6144" max="6147" width="14.28515625" style="1" bestFit="1" customWidth="1"/>
    <col min="6148" max="6148" width="12" style="1" bestFit="1" customWidth="1"/>
    <col min="6149" max="6149" width="12.28515625" style="1" bestFit="1" customWidth="1"/>
    <col min="6150" max="6150" width="10.28515625" style="1" customWidth="1"/>
    <col min="6151" max="6151" width="9.140625" style="1" customWidth="1"/>
    <col min="6152" max="6152" width="9.5703125" style="1" bestFit="1" customWidth="1"/>
    <col min="6153" max="6154" width="10.7109375" style="1" bestFit="1" customWidth="1"/>
    <col min="6155" max="6157" width="11.85546875" style="1" bestFit="1" customWidth="1"/>
    <col min="6158" max="6158" width="13.42578125" style="1" bestFit="1" customWidth="1"/>
    <col min="6159" max="6159" width="9.5703125" style="1" bestFit="1" customWidth="1"/>
    <col min="6160" max="6396" width="9.140625" style="1"/>
    <col min="6397" max="6397" width="55.7109375" style="1" customWidth="1"/>
    <col min="6398" max="6398" width="7.7109375" style="1" bestFit="1" customWidth="1"/>
    <col min="6399" max="6399" width="13.42578125" style="1" bestFit="1" customWidth="1"/>
    <col min="6400" max="6403" width="14.28515625" style="1" bestFit="1" customWidth="1"/>
    <col min="6404" max="6404" width="12" style="1" bestFit="1" customWidth="1"/>
    <col min="6405" max="6405" width="12.28515625" style="1" bestFit="1" customWidth="1"/>
    <col min="6406" max="6406" width="10.28515625" style="1" customWidth="1"/>
    <col min="6407" max="6407" width="9.140625" style="1" customWidth="1"/>
    <col min="6408" max="6408" width="9.5703125" style="1" bestFit="1" customWidth="1"/>
    <col min="6409" max="6410" width="10.7109375" style="1" bestFit="1" customWidth="1"/>
    <col min="6411" max="6413" width="11.85546875" style="1" bestFit="1" customWidth="1"/>
    <col min="6414" max="6414" width="13.42578125" style="1" bestFit="1" customWidth="1"/>
    <col min="6415" max="6415" width="9.5703125" style="1" bestFit="1" customWidth="1"/>
    <col min="6416" max="6652" width="9.140625" style="1"/>
    <col min="6653" max="6653" width="55.7109375" style="1" customWidth="1"/>
    <col min="6654" max="6654" width="7.7109375" style="1" bestFit="1" customWidth="1"/>
    <col min="6655" max="6655" width="13.42578125" style="1" bestFit="1" customWidth="1"/>
    <col min="6656" max="6659" width="14.28515625" style="1" bestFit="1" customWidth="1"/>
    <col min="6660" max="6660" width="12" style="1" bestFit="1" customWidth="1"/>
    <col min="6661" max="6661" width="12.28515625" style="1" bestFit="1" customWidth="1"/>
    <col min="6662" max="6662" width="10.28515625" style="1" customWidth="1"/>
    <col min="6663" max="6663" width="9.140625" style="1" customWidth="1"/>
    <col min="6664" max="6664" width="9.5703125" style="1" bestFit="1" customWidth="1"/>
    <col min="6665" max="6666" width="10.7109375" style="1" bestFit="1" customWidth="1"/>
    <col min="6667" max="6669" width="11.85546875" style="1" bestFit="1" customWidth="1"/>
    <col min="6670" max="6670" width="13.42578125" style="1" bestFit="1" customWidth="1"/>
    <col min="6671" max="6671" width="9.5703125" style="1" bestFit="1" customWidth="1"/>
    <col min="6672" max="6908" width="9.140625" style="1"/>
    <col min="6909" max="6909" width="55.7109375" style="1" customWidth="1"/>
    <col min="6910" max="6910" width="7.7109375" style="1" bestFit="1" customWidth="1"/>
    <col min="6911" max="6911" width="13.42578125" style="1" bestFit="1" customWidth="1"/>
    <col min="6912" max="6915" width="14.28515625" style="1" bestFit="1" customWidth="1"/>
    <col min="6916" max="6916" width="12" style="1" bestFit="1" customWidth="1"/>
    <col min="6917" max="6917" width="12.28515625" style="1" bestFit="1" customWidth="1"/>
    <col min="6918" max="6918" width="10.28515625" style="1" customWidth="1"/>
    <col min="6919" max="6919" width="9.140625" style="1" customWidth="1"/>
    <col min="6920" max="6920" width="9.5703125" style="1" bestFit="1" customWidth="1"/>
    <col min="6921" max="6922" width="10.7109375" style="1" bestFit="1" customWidth="1"/>
    <col min="6923" max="6925" width="11.85546875" style="1" bestFit="1" customWidth="1"/>
    <col min="6926" max="6926" width="13.42578125" style="1" bestFit="1" customWidth="1"/>
    <col min="6927" max="6927" width="9.5703125" style="1" bestFit="1" customWidth="1"/>
    <col min="6928" max="7164" width="9.140625" style="1"/>
    <col min="7165" max="7165" width="55.7109375" style="1" customWidth="1"/>
    <col min="7166" max="7166" width="7.7109375" style="1" bestFit="1" customWidth="1"/>
    <col min="7167" max="7167" width="13.42578125" style="1" bestFit="1" customWidth="1"/>
    <col min="7168" max="7171" width="14.28515625" style="1" bestFit="1" customWidth="1"/>
    <col min="7172" max="7172" width="12" style="1" bestFit="1" customWidth="1"/>
    <col min="7173" max="7173" width="12.28515625" style="1" bestFit="1" customWidth="1"/>
    <col min="7174" max="7174" width="10.28515625" style="1" customWidth="1"/>
    <col min="7175" max="7175" width="9.140625" style="1" customWidth="1"/>
    <col min="7176" max="7176" width="9.5703125" style="1" bestFit="1" customWidth="1"/>
    <col min="7177" max="7178" width="10.7109375" style="1" bestFit="1" customWidth="1"/>
    <col min="7179" max="7181" width="11.85546875" style="1" bestFit="1" customWidth="1"/>
    <col min="7182" max="7182" width="13.42578125" style="1" bestFit="1" customWidth="1"/>
    <col min="7183" max="7183" width="9.5703125" style="1" bestFit="1" customWidth="1"/>
    <col min="7184" max="7420" width="9.140625" style="1"/>
    <col min="7421" max="7421" width="55.7109375" style="1" customWidth="1"/>
    <col min="7422" max="7422" width="7.7109375" style="1" bestFit="1" customWidth="1"/>
    <col min="7423" max="7423" width="13.42578125" style="1" bestFit="1" customWidth="1"/>
    <col min="7424" max="7427" width="14.28515625" style="1" bestFit="1" customWidth="1"/>
    <col min="7428" max="7428" width="12" style="1" bestFit="1" customWidth="1"/>
    <col min="7429" max="7429" width="12.28515625" style="1" bestFit="1" customWidth="1"/>
    <col min="7430" max="7430" width="10.28515625" style="1" customWidth="1"/>
    <col min="7431" max="7431" width="9.140625" style="1" customWidth="1"/>
    <col min="7432" max="7432" width="9.5703125" style="1" bestFit="1" customWidth="1"/>
    <col min="7433" max="7434" width="10.7109375" style="1" bestFit="1" customWidth="1"/>
    <col min="7435" max="7437" width="11.85546875" style="1" bestFit="1" customWidth="1"/>
    <col min="7438" max="7438" width="13.42578125" style="1" bestFit="1" customWidth="1"/>
    <col min="7439" max="7439" width="9.5703125" style="1" bestFit="1" customWidth="1"/>
    <col min="7440" max="7676" width="9.140625" style="1"/>
    <col min="7677" max="7677" width="55.7109375" style="1" customWidth="1"/>
    <col min="7678" max="7678" width="7.7109375" style="1" bestFit="1" customWidth="1"/>
    <col min="7679" max="7679" width="13.42578125" style="1" bestFit="1" customWidth="1"/>
    <col min="7680" max="7683" width="14.28515625" style="1" bestFit="1" customWidth="1"/>
    <col min="7684" max="7684" width="12" style="1" bestFit="1" customWidth="1"/>
    <col min="7685" max="7685" width="12.28515625" style="1" bestFit="1" customWidth="1"/>
    <col min="7686" max="7686" width="10.28515625" style="1" customWidth="1"/>
    <col min="7687" max="7687" width="9.140625" style="1" customWidth="1"/>
    <col min="7688" max="7688" width="9.5703125" style="1" bestFit="1" customWidth="1"/>
    <col min="7689" max="7690" width="10.7109375" style="1" bestFit="1" customWidth="1"/>
    <col min="7691" max="7693" width="11.85546875" style="1" bestFit="1" customWidth="1"/>
    <col min="7694" max="7694" width="13.42578125" style="1" bestFit="1" customWidth="1"/>
    <col min="7695" max="7695" width="9.5703125" style="1" bestFit="1" customWidth="1"/>
    <col min="7696" max="7932" width="9.140625" style="1"/>
    <col min="7933" max="7933" width="55.7109375" style="1" customWidth="1"/>
    <col min="7934" max="7934" width="7.7109375" style="1" bestFit="1" customWidth="1"/>
    <col min="7935" max="7935" width="13.42578125" style="1" bestFit="1" customWidth="1"/>
    <col min="7936" max="7939" width="14.28515625" style="1" bestFit="1" customWidth="1"/>
    <col min="7940" max="7940" width="12" style="1" bestFit="1" customWidth="1"/>
    <col min="7941" max="7941" width="12.28515625" style="1" bestFit="1" customWidth="1"/>
    <col min="7942" max="7942" width="10.28515625" style="1" customWidth="1"/>
    <col min="7943" max="7943" width="9.140625" style="1" customWidth="1"/>
    <col min="7944" max="7944" width="9.5703125" style="1" bestFit="1" customWidth="1"/>
    <col min="7945" max="7946" width="10.7109375" style="1" bestFit="1" customWidth="1"/>
    <col min="7947" max="7949" width="11.85546875" style="1" bestFit="1" customWidth="1"/>
    <col min="7950" max="7950" width="13.42578125" style="1" bestFit="1" customWidth="1"/>
    <col min="7951" max="7951" width="9.5703125" style="1" bestFit="1" customWidth="1"/>
    <col min="7952" max="8188" width="9.140625" style="1"/>
    <col min="8189" max="8189" width="55.7109375" style="1" customWidth="1"/>
    <col min="8190" max="8190" width="7.7109375" style="1" bestFit="1" customWidth="1"/>
    <col min="8191" max="8191" width="13.42578125" style="1" bestFit="1" customWidth="1"/>
    <col min="8192" max="8195" width="14.28515625" style="1" bestFit="1" customWidth="1"/>
    <col min="8196" max="8196" width="12" style="1" bestFit="1" customWidth="1"/>
    <col min="8197" max="8197" width="12.28515625" style="1" bestFit="1" customWidth="1"/>
    <col min="8198" max="8198" width="10.28515625" style="1" customWidth="1"/>
    <col min="8199" max="8199" width="9.140625" style="1" customWidth="1"/>
    <col min="8200" max="8200" width="9.5703125" style="1" bestFit="1" customWidth="1"/>
    <col min="8201" max="8202" width="10.7109375" style="1" bestFit="1" customWidth="1"/>
    <col min="8203" max="8205" width="11.85546875" style="1" bestFit="1" customWidth="1"/>
    <col min="8206" max="8206" width="13.42578125" style="1" bestFit="1" customWidth="1"/>
    <col min="8207" max="8207" width="9.5703125" style="1" bestFit="1" customWidth="1"/>
    <col min="8208" max="8444" width="9.140625" style="1"/>
    <col min="8445" max="8445" width="55.7109375" style="1" customWidth="1"/>
    <col min="8446" max="8446" width="7.7109375" style="1" bestFit="1" customWidth="1"/>
    <col min="8447" max="8447" width="13.42578125" style="1" bestFit="1" customWidth="1"/>
    <col min="8448" max="8451" width="14.28515625" style="1" bestFit="1" customWidth="1"/>
    <col min="8452" max="8452" width="12" style="1" bestFit="1" customWidth="1"/>
    <col min="8453" max="8453" width="12.28515625" style="1" bestFit="1" customWidth="1"/>
    <col min="8454" max="8454" width="10.28515625" style="1" customWidth="1"/>
    <col min="8455" max="8455" width="9.140625" style="1" customWidth="1"/>
    <col min="8456" max="8456" width="9.5703125" style="1" bestFit="1" customWidth="1"/>
    <col min="8457" max="8458" width="10.7109375" style="1" bestFit="1" customWidth="1"/>
    <col min="8459" max="8461" width="11.85546875" style="1" bestFit="1" customWidth="1"/>
    <col min="8462" max="8462" width="13.42578125" style="1" bestFit="1" customWidth="1"/>
    <col min="8463" max="8463" width="9.5703125" style="1" bestFit="1" customWidth="1"/>
    <col min="8464" max="8700" width="9.140625" style="1"/>
    <col min="8701" max="8701" width="55.7109375" style="1" customWidth="1"/>
    <col min="8702" max="8702" width="7.7109375" style="1" bestFit="1" customWidth="1"/>
    <col min="8703" max="8703" width="13.42578125" style="1" bestFit="1" customWidth="1"/>
    <col min="8704" max="8707" width="14.28515625" style="1" bestFit="1" customWidth="1"/>
    <col min="8708" max="8708" width="12" style="1" bestFit="1" customWidth="1"/>
    <col min="8709" max="8709" width="12.28515625" style="1" bestFit="1" customWidth="1"/>
    <col min="8710" max="8710" width="10.28515625" style="1" customWidth="1"/>
    <col min="8711" max="8711" width="9.140625" style="1" customWidth="1"/>
    <col min="8712" max="8712" width="9.5703125" style="1" bestFit="1" customWidth="1"/>
    <col min="8713" max="8714" width="10.7109375" style="1" bestFit="1" customWidth="1"/>
    <col min="8715" max="8717" width="11.85546875" style="1" bestFit="1" customWidth="1"/>
    <col min="8718" max="8718" width="13.42578125" style="1" bestFit="1" customWidth="1"/>
    <col min="8719" max="8719" width="9.5703125" style="1" bestFit="1" customWidth="1"/>
    <col min="8720" max="8956" width="9.140625" style="1"/>
    <col min="8957" max="8957" width="55.7109375" style="1" customWidth="1"/>
    <col min="8958" max="8958" width="7.7109375" style="1" bestFit="1" customWidth="1"/>
    <col min="8959" max="8959" width="13.42578125" style="1" bestFit="1" customWidth="1"/>
    <col min="8960" max="8963" width="14.28515625" style="1" bestFit="1" customWidth="1"/>
    <col min="8964" max="8964" width="12" style="1" bestFit="1" customWidth="1"/>
    <col min="8965" max="8965" width="12.28515625" style="1" bestFit="1" customWidth="1"/>
    <col min="8966" max="8966" width="10.28515625" style="1" customWidth="1"/>
    <col min="8967" max="8967" width="9.140625" style="1" customWidth="1"/>
    <col min="8968" max="8968" width="9.5703125" style="1" bestFit="1" customWidth="1"/>
    <col min="8969" max="8970" width="10.7109375" style="1" bestFit="1" customWidth="1"/>
    <col min="8971" max="8973" width="11.85546875" style="1" bestFit="1" customWidth="1"/>
    <col min="8974" max="8974" width="13.42578125" style="1" bestFit="1" customWidth="1"/>
    <col min="8975" max="8975" width="9.5703125" style="1" bestFit="1" customWidth="1"/>
    <col min="8976" max="9212" width="9.140625" style="1"/>
    <col min="9213" max="9213" width="55.7109375" style="1" customWidth="1"/>
    <col min="9214" max="9214" width="7.7109375" style="1" bestFit="1" customWidth="1"/>
    <col min="9215" max="9215" width="13.42578125" style="1" bestFit="1" customWidth="1"/>
    <col min="9216" max="9219" width="14.28515625" style="1" bestFit="1" customWidth="1"/>
    <col min="9220" max="9220" width="12" style="1" bestFit="1" customWidth="1"/>
    <col min="9221" max="9221" width="12.28515625" style="1" bestFit="1" customWidth="1"/>
    <col min="9222" max="9222" width="10.28515625" style="1" customWidth="1"/>
    <col min="9223" max="9223" width="9.140625" style="1" customWidth="1"/>
    <col min="9224" max="9224" width="9.5703125" style="1" bestFit="1" customWidth="1"/>
    <col min="9225" max="9226" width="10.7109375" style="1" bestFit="1" customWidth="1"/>
    <col min="9227" max="9229" width="11.85546875" style="1" bestFit="1" customWidth="1"/>
    <col min="9230" max="9230" width="13.42578125" style="1" bestFit="1" customWidth="1"/>
    <col min="9231" max="9231" width="9.5703125" style="1" bestFit="1" customWidth="1"/>
    <col min="9232" max="9468" width="9.140625" style="1"/>
    <col min="9469" max="9469" width="55.7109375" style="1" customWidth="1"/>
    <col min="9470" max="9470" width="7.7109375" style="1" bestFit="1" customWidth="1"/>
    <col min="9471" max="9471" width="13.42578125" style="1" bestFit="1" customWidth="1"/>
    <col min="9472" max="9475" width="14.28515625" style="1" bestFit="1" customWidth="1"/>
    <col min="9476" max="9476" width="12" style="1" bestFit="1" customWidth="1"/>
    <col min="9477" max="9477" width="12.28515625" style="1" bestFit="1" customWidth="1"/>
    <col min="9478" max="9478" width="10.28515625" style="1" customWidth="1"/>
    <col min="9479" max="9479" width="9.140625" style="1" customWidth="1"/>
    <col min="9480" max="9480" width="9.5703125" style="1" bestFit="1" customWidth="1"/>
    <col min="9481" max="9482" width="10.7109375" style="1" bestFit="1" customWidth="1"/>
    <col min="9483" max="9485" width="11.85546875" style="1" bestFit="1" customWidth="1"/>
    <col min="9486" max="9486" width="13.42578125" style="1" bestFit="1" customWidth="1"/>
    <col min="9487" max="9487" width="9.5703125" style="1" bestFit="1" customWidth="1"/>
    <col min="9488" max="9724" width="9.140625" style="1"/>
    <col min="9725" max="9725" width="55.7109375" style="1" customWidth="1"/>
    <col min="9726" max="9726" width="7.7109375" style="1" bestFit="1" customWidth="1"/>
    <col min="9727" max="9727" width="13.42578125" style="1" bestFit="1" customWidth="1"/>
    <col min="9728" max="9731" width="14.28515625" style="1" bestFit="1" customWidth="1"/>
    <col min="9732" max="9732" width="12" style="1" bestFit="1" customWidth="1"/>
    <col min="9733" max="9733" width="12.28515625" style="1" bestFit="1" customWidth="1"/>
    <col min="9734" max="9734" width="10.28515625" style="1" customWidth="1"/>
    <col min="9735" max="9735" width="9.140625" style="1" customWidth="1"/>
    <col min="9736" max="9736" width="9.5703125" style="1" bestFit="1" customWidth="1"/>
    <col min="9737" max="9738" width="10.7109375" style="1" bestFit="1" customWidth="1"/>
    <col min="9739" max="9741" width="11.85546875" style="1" bestFit="1" customWidth="1"/>
    <col min="9742" max="9742" width="13.42578125" style="1" bestFit="1" customWidth="1"/>
    <col min="9743" max="9743" width="9.5703125" style="1" bestFit="1" customWidth="1"/>
    <col min="9744" max="9980" width="9.140625" style="1"/>
    <col min="9981" max="9981" width="55.7109375" style="1" customWidth="1"/>
    <col min="9982" max="9982" width="7.7109375" style="1" bestFit="1" customWidth="1"/>
    <col min="9983" max="9983" width="13.42578125" style="1" bestFit="1" customWidth="1"/>
    <col min="9984" max="9987" width="14.28515625" style="1" bestFit="1" customWidth="1"/>
    <col min="9988" max="9988" width="12" style="1" bestFit="1" customWidth="1"/>
    <col min="9989" max="9989" width="12.28515625" style="1" bestFit="1" customWidth="1"/>
    <col min="9990" max="9990" width="10.28515625" style="1" customWidth="1"/>
    <col min="9991" max="9991" width="9.140625" style="1" customWidth="1"/>
    <col min="9992" max="9992" width="9.5703125" style="1" bestFit="1" customWidth="1"/>
    <col min="9993" max="9994" width="10.7109375" style="1" bestFit="1" customWidth="1"/>
    <col min="9995" max="9997" width="11.85546875" style="1" bestFit="1" customWidth="1"/>
    <col min="9998" max="9998" width="13.42578125" style="1" bestFit="1" customWidth="1"/>
    <col min="9999" max="9999" width="9.5703125" style="1" bestFit="1" customWidth="1"/>
    <col min="10000" max="10236" width="9.140625" style="1"/>
    <col min="10237" max="10237" width="55.7109375" style="1" customWidth="1"/>
    <col min="10238" max="10238" width="7.7109375" style="1" bestFit="1" customWidth="1"/>
    <col min="10239" max="10239" width="13.42578125" style="1" bestFit="1" customWidth="1"/>
    <col min="10240" max="10243" width="14.28515625" style="1" bestFit="1" customWidth="1"/>
    <col min="10244" max="10244" width="12" style="1" bestFit="1" customWidth="1"/>
    <col min="10245" max="10245" width="12.28515625" style="1" bestFit="1" customWidth="1"/>
    <col min="10246" max="10246" width="10.28515625" style="1" customWidth="1"/>
    <col min="10247" max="10247" width="9.140625" style="1" customWidth="1"/>
    <col min="10248" max="10248" width="9.5703125" style="1" bestFit="1" customWidth="1"/>
    <col min="10249" max="10250" width="10.7109375" style="1" bestFit="1" customWidth="1"/>
    <col min="10251" max="10253" width="11.85546875" style="1" bestFit="1" customWidth="1"/>
    <col min="10254" max="10254" width="13.42578125" style="1" bestFit="1" customWidth="1"/>
    <col min="10255" max="10255" width="9.5703125" style="1" bestFit="1" customWidth="1"/>
    <col min="10256" max="10492" width="9.140625" style="1"/>
    <col min="10493" max="10493" width="55.7109375" style="1" customWidth="1"/>
    <col min="10494" max="10494" width="7.7109375" style="1" bestFit="1" customWidth="1"/>
    <col min="10495" max="10495" width="13.42578125" style="1" bestFit="1" customWidth="1"/>
    <col min="10496" max="10499" width="14.28515625" style="1" bestFit="1" customWidth="1"/>
    <col min="10500" max="10500" width="12" style="1" bestFit="1" customWidth="1"/>
    <col min="10501" max="10501" width="12.28515625" style="1" bestFit="1" customWidth="1"/>
    <col min="10502" max="10502" width="10.28515625" style="1" customWidth="1"/>
    <col min="10503" max="10503" width="9.140625" style="1" customWidth="1"/>
    <col min="10504" max="10504" width="9.5703125" style="1" bestFit="1" customWidth="1"/>
    <col min="10505" max="10506" width="10.7109375" style="1" bestFit="1" customWidth="1"/>
    <col min="10507" max="10509" width="11.85546875" style="1" bestFit="1" customWidth="1"/>
    <col min="10510" max="10510" width="13.42578125" style="1" bestFit="1" customWidth="1"/>
    <col min="10511" max="10511" width="9.5703125" style="1" bestFit="1" customWidth="1"/>
    <col min="10512" max="10748" width="9.140625" style="1"/>
    <col min="10749" max="10749" width="55.7109375" style="1" customWidth="1"/>
    <col min="10750" max="10750" width="7.7109375" style="1" bestFit="1" customWidth="1"/>
    <col min="10751" max="10751" width="13.42578125" style="1" bestFit="1" customWidth="1"/>
    <col min="10752" max="10755" width="14.28515625" style="1" bestFit="1" customWidth="1"/>
    <col min="10756" max="10756" width="12" style="1" bestFit="1" customWidth="1"/>
    <col min="10757" max="10757" width="12.28515625" style="1" bestFit="1" customWidth="1"/>
    <col min="10758" max="10758" width="10.28515625" style="1" customWidth="1"/>
    <col min="10759" max="10759" width="9.140625" style="1" customWidth="1"/>
    <col min="10760" max="10760" width="9.5703125" style="1" bestFit="1" customWidth="1"/>
    <col min="10761" max="10762" width="10.7109375" style="1" bestFit="1" customWidth="1"/>
    <col min="10763" max="10765" width="11.85546875" style="1" bestFit="1" customWidth="1"/>
    <col min="10766" max="10766" width="13.42578125" style="1" bestFit="1" customWidth="1"/>
    <col min="10767" max="10767" width="9.5703125" style="1" bestFit="1" customWidth="1"/>
    <col min="10768" max="11004" width="9.140625" style="1"/>
    <col min="11005" max="11005" width="55.7109375" style="1" customWidth="1"/>
    <col min="11006" max="11006" width="7.7109375" style="1" bestFit="1" customWidth="1"/>
    <col min="11007" max="11007" width="13.42578125" style="1" bestFit="1" customWidth="1"/>
    <col min="11008" max="11011" width="14.28515625" style="1" bestFit="1" customWidth="1"/>
    <col min="11012" max="11012" width="12" style="1" bestFit="1" customWidth="1"/>
    <col min="11013" max="11013" width="12.28515625" style="1" bestFit="1" customWidth="1"/>
    <col min="11014" max="11014" width="10.28515625" style="1" customWidth="1"/>
    <col min="11015" max="11015" width="9.140625" style="1" customWidth="1"/>
    <col min="11016" max="11016" width="9.5703125" style="1" bestFit="1" customWidth="1"/>
    <col min="11017" max="11018" width="10.7109375" style="1" bestFit="1" customWidth="1"/>
    <col min="11019" max="11021" width="11.85546875" style="1" bestFit="1" customWidth="1"/>
    <col min="11022" max="11022" width="13.42578125" style="1" bestFit="1" customWidth="1"/>
    <col min="11023" max="11023" width="9.5703125" style="1" bestFit="1" customWidth="1"/>
    <col min="11024" max="11260" width="9.140625" style="1"/>
    <col min="11261" max="11261" width="55.7109375" style="1" customWidth="1"/>
    <col min="11262" max="11262" width="7.7109375" style="1" bestFit="1" customWidth="1"/>
    <col min="11263" max="11263" width="13.42578125" style="1" bestFit="1" customWidth="1"/>
    <col min="11264" max="11267" width="14.28515625" style="1" bestFit="1" customWidth="1"/>
    <col min="11268" max="11268" width="12" style="1" bestFit="1" customWidth="1"/>
    <col min="11269" max="11269" width="12.28515625" style="1" bestFit="1" customWidth="1"/>
    <col min="11270" max="11270" width="10.28515625" style="1" customWidth="1"/>
    <col min="11271" max="11271" width="9.140625" style="1" customWidth="1"/>
    <col min="11272" max="11272" width="9.5703125" style="1" bestFit="1" customWidth="1"/>
    <col min="11273" max="11274" width="10.7109375" style="1" bestFit="1" customWidth="1"/>
    <col min="11275" max="11277" width="11.85546875" style="1" bestFit="1" customWidth="1"/>
    <col min="11278" max="11278" width="13.42578125" style="1" bestFit="1" customWidth="1"/>
    <col min="11279" max="11279" width="9.5703125" style="1" bestFit="1" customWidth="1"/>
    <col min="11280" max="11516" width="9.140625" style="1"/>
    <col min="11517" max="11517" width="55.7109375" style="1" customWidth="1"/>
    <col min="11518" max="11518" width="7.7109375" style="1" bestFit="1" customWidth="1"/>
    <col min="11519" max="11519" width="13.42578125" style="1" bestFit="1" customWidth="1"/>
    <col min="11520" max="11523" width="14.28515625" style="1" bestFit="1" customWidth="1"/>
    <col min="11524" max="11524" width="12" style="1" bestFit="1" customWidth="1"/>
    <col min="11525" max="11525" width="12.28515625" style="1" bestFit="1" customWidth="1"/>
    <col min="11526" max="11526" width="10.28515625" style="1" customWidth="1"/>
    <col min="11527" max="11527" width="9.140625" style="1" customWidth="1"/>
    <col min="11528" max="11528" width="9.5703125" style="1" bestFit="1" customWidth="1"/>
    <col min="11529" max="11530" width="10.7109375" style="1" bestFit="1" customWidth="1"/>
    <col min="11531" max="11533" width="11.85546875" style="1" bestFit="1" customWidth="1"/>
    <col min="11534" max="11534" width="13.42578125" style="1" bestFit="1" customWidth="1"/>
    <col min="11535" max="11535" width="9.5703125" style="1" bestFit="1" customWidth="1"/>
    <col min="11536" max="11772" width="9.140625" style="1"/>
    <col min="11773" max="11773" width="55.7109375" style="1" customWidth="1"/>
    <col min="11774" max="11774" width="7.7109375" style="1" bestFit="1" customWidth="1"/>
    <col min="11775" max="11775" width="13.42578125" style="1" bestFit="1" customWidth="1"/>
    <col min="11776" max="11779" width="14.28515625" style="1" bestFit="1" customWidth="1"/>
    <col min="11780" max="11780" width="12" style="1" bestFit="1" customWidth="1"/>
    <col min="11781" max="11781" width="12.28515625" style="1" bestFit="1" customWidth="1"/>
    <col min="11782" max="11782" width="10.28515625" style="1" customWidth="1"/>
    <col min="11783" max="11783" width="9.140625" style="1" customWidth="1"/>
    <col min="11784" max="11784" width="9.5703125" style="1" bestFit="1" customWidth="1"/>
    <col min="11785" max="11786" width="10.7109375" style="1" bestFit="1" customWidth="1"/>
    <col min="11787" max="11789" width="11.85546875" style="1" bestFit="1" customWidth="1"/>
    <col min="11790" max="11790" width="13.42578125" style="1" bestFit="1" customWidth="1"/>
    <col min="11791" max="11791" width="9.5703125" style="1" bestFit="1" customWidth="1"/>
    <col min="11792" max="12028" width="9.140625" style="1"/>
    <col min="12029" max="12029" width="55.7109375" style="1" customWidth="1"/>
    <col min="12030" max="12030" width="7.7109375" style="1" bestFit="1" customWidth="1"/>
    <col min="12031" max="12031" width="13.42578125" style="1" bestFit="1" customWidth="1"/>
    <col min="12032" max="12035" width="14.28515625" style="1" bestFit="1" customWidth="1"/>
    <col min="12036" max="12036" width="12" style="1" bestFit="1" customWidth="1"/>
    <col min="12037" max="12037" width="12.28515625" style="1" bestFit="1" customWidth="1"/>
    <col min="12038" max="12038" width="10.28515625" style="1" customWidth="1"/>
    <col min="12039" max="12039" width="9.140625" style="1" customWidth="1"/>
    <col min="12040" max="12040" width="9.5703125" style="1" bestFit="1" customWidth="1"/>
    <col min="12041" max="12042" width="10.7109375" style="1" bestFit="1" customWidth="1"/>
    <col min="12043" max="12045" width="11.85546875" style="1" bestFit="1" customWidth="1"/>
    <col min="12046" max="12046" width="13.42578125" style="1" bestFit="1" customWidth="1"/>
    <col min="12047" max="12047" width="9.5703125" style="1" bestFit="1" customWidth="1"/>
    <col min="12048" max="12284" width="9.140625" style="1"/>
    <col min="12285" max="12285" width="55.7109375" style="1" customWidth="1"/>
    <col min="12286" max="12286" width="7.7109375" style="1" bestFit="1" customWidth="1"/>
    <col min="12287" max="12287" width="13.42578125" style="1" bestFit="1" customWidth="1"/>
    <col min="12288" max="12291" width="14.28515625" style="1" bestFit="1" customWidth="1"/>
    <col min="12292" max="12292" width="12" style="1" bestFit="1" customWidth="1"/>
    <col min="12293" max="12293" width="12.28515625" style="1" bestFit="1" customWidth="1"/>
    <col min="12294" max="12294" width="10.28515625" style="1" customWidth="1"/>
    <col min="12295" max="12295" width="9.140625" style="1" customWidth="1"/>
    <col min="12296" max="12296" width="9.5703125" style="1" bestFit="1" customWidth="1"/>
    <col min="12297" max="12298" width="10.7109375" style="1" bestFit="1" customWidth="1"/>
    <col min="12299" max="12301" width="11.85546875" style="1" bestFit="1" customWidth="1"/>
    <col min="12302" max="12302" width="13.42578125" style="1" bestFit="1" customWidth="1"/>
    <col min="12303" max="12303" width="9.5703125" style="1" bestFit="1" customWidth="1"/>
    <col min="12304" max="12540" width="9.140625" style="1"/>
    <col min="12541" max="12541" width="55.7109375" style="1" customWidth="1"/>
    <col min="12542" max="12542" width="7.7109375" style="1" bestFit="1" customWidth="1"/>
    <col min="12543" max="12543" width="13.42578125" style="1" bestFit="1" customWidth="1"/>
    <col min="12544" max="12547" width="14.28515625" style="1" bestFit="1" customWidth="1"/>
    <col min="12548" max="12548" width="12" style="1" bestFit="1" customWidth="1"/>
    <col min="12549" max="12549" width="12.28515625" style="1" bestFit="1" customWidth="1"/>
    <col min="12550" max="12550" width="10.28515625" style="1" customWidth="1"/>
    <col min="12551" max="12551" width="9.140625" style="1" customWidth="1"/>
    <col min="12552" max="12552" width="9.5703125" style="1" bestFit="1" customWidth="1"/>
    <col min="12553" max="12554" width="10.7109375" style="1" bestFit="1" customWidth="1"/>
    <col min="12555" max="12557" width="11.85546875" style="1" bestFit="1" customWidth="1"/>
    <col min="12558" max="12558" width="13.42578125" style="1" bestFit="1" customWidth="1"/>
    <col min="12559" max="12559" width="9.5703125" style="1" bestFit="1" customWidth="1"/>
    <col min="12560" max="12796" width="9.140625" style="1"/>
    <col min="12797" max="12797" width="55.7109375" style="1" customWidth="1"/>
    <col min="12798" max="12798" width="7.7109375" style="1" bestFit="1" customWidth="1"/>
    <col min="12799" max="12799" width="13.42578125" style="1" bestFit="1" customWidth="1"/>
    <col min="12800" max="12803" width="14.28515625" style="1" bestFit="1" customWidth="1"/>
    <col min="12804" max="12804" width="12" style="1" bestFit="1" customWidth="1"/>
    <col min="12805" max="12805" width="12.28515625" style="1" bestFit="1" customWidth="1"/>
    <col min="12806" max="12806" width="10.28515625" style="1" customWidth="1"/>
    <col min="12807" max="12807" width="9.140625" style="1" customWidth="1"/>
    <col min="12808" max="12808" width="9.5703125" style="1" bestFit="1" customWidth="1"/>
    <col min="12809" max="12810" width="10.7109375" style="1" bestFit="1" customWidth="1"/>
    <col min="12811" max="12813" width="11.85546875" style="1" bestFit="1" customWidth="1"/>
    <col min="12814" max="12814" width="13.42578125" style="1" bestFit="1" customWidth="1"/>
    <col min="12815" max="12815" width="9.5703125" style="1" bestFit="1" customWidth="1"/>
    <col min="12816" max="13052" width="9.140625" style="1"/>
    <col min="13053" max="13053" width="55.7109375" style="1" customWidth="1"/>
    <col min="13054" max="13054" width="7.7109375" style="1" bestFit="1" customWidth="1"/>
    <col min="13055" max="13055" width="13.42578125" style="1" bestFit="1" customWidth="1"/>
    <col min="13056" max="13059" width="14.28515625" style="1" bestFit="1" customWidth="1"/>
    <col min="13060" max="13060" width="12" style="1" bestFit="1" customWidth="1"/>
    <col min="13061" max="13061" width="12.28515625" style="1" bestFit="1" customWidth="1"/>
    <col min="13062" max="13062" width="10.28515625" style="1" customWidth="1"/>
    <col min="13063" max="13063" width="9.140625" style="1" customWidth="1"/>
    <col min="13064" max="13064" width="9.5703125" style="1" bestFit="1" customWidth="1"/>
    <col min="13065" max="13066" width="10.7109375" style="1" bestFit="1" customWidth="1"/>
    <col min="13067" max="13069" width="11.85546875" style="1" bestFit="1" customWidth="1"/>
    <col min="13070" max="13070" width="13.42578125" style="1" bestFit="1" customWidth="1"/>
    <col min="13071" max="13071" width="9.5703125" style="1" bestFit="1" customWidth="1"/>
    <col min="13072" max="13308" width="9.140625" style="1"/>
    <col min="13309" max="13309" width="55.7109375" style="1" customWidth="1"/>
    <col min="13310" max="13310" width="7.7109375" style="1" bestFit="1" customWidth="1"/>
    <col min="13311" max="13311" width="13.42578125" style="1" bestFit="1" customWidth="1"/>
    <col min="13312" max="13315" width="14.28515625" style="1" bestFit="1" customWidth="1"/>
    <col min="13316" max="13316" width="12" style="1" bestFit="1" customWidth="1"/>
    <col min="13317" max="13317" width="12.28515625" style="1" bestFit="1" customWidth="1"/>
    <col min="13318" max="13318" width="10.28515625" style="1" customWidth="1"/>
    <col min="13319" max="13319" width="9.140625" style="1" customWidth="1"/>
    <col min="13320" max="13320" width="9.5703125" style="1" bestFit="1" customWidth="1"/>
    <col min="13321" max="13322" width="10.7109375" style="1" bestFit="1" customWidth="1"/>
    <col min="13323" max="13325" width="11.85546875" style="1" bestFit="1" customWidth="1"/>
    <col min="13326" max="13326" width="13.42578125" style="1" bestFit="1" customWidth="1"/>
    <col min="13327" max="13327" width="9.5703125" style="1" bestFit="1" customWidth="1"/>
    <col min="13328" max="13564" width="9.140625" style="1"/>
    <col min="13565" max="13565" width="55.7109375" style="1" customWidth="1"/>
    <col min="13566" max="13566" width="7.7109375" style="1" bestFit="1" customWidth="1"/>
    <col min="13567" max="13567" width="13.42578125" style="1" bestFit="1" customWidth="1"/>
    <col min="13568" max="13571" width="14.28515625" style="1" bestFit="1" customWidth="1"/>
    <col min="13572" max="13572" width="12" style="1" bestFit="1" customWidth="1"/>
    <col min="13573" max="13573" width="12.28515625" style="1" bestFit="1" customWidth="1"/>
    <col min="13574" max="13574" width="10.28515625" style="1" customWidth="1"/>
    <col min="13575" max="13575" width="9.140625" style="1" customWidth="1"/>
    <col min="13576" max="13576" width="9.5703125" style="1" bestFit="1" customWidth="1"/>
    <col min="13577" max="13578" width="10.7109375" style="1" bestFit="1" customWidth="1"/>
    <col min="13579" max="13581" width="11.85546875" style="1" bestFit="1" customWidth="1"/>
    <col min="13582" max="13582" width="13.42578125" style="1" bestFit="1" customWidth="1"/>
    <col min="13583" max="13583" width="9.5703125" style="1" bestFit="1" customWidth="1"/>
    <col min="13584" max="13820" width="9.140625" style="1"/>
    <col min="13821" max="13821" width="55.7109375" style="1" customWidth="1"/>
    <col min="13822" max="13822" width="7.7109375" style="1" bestFit="1" customWidth="1"/>
    <col min="13823" max="13823" width="13.42578125" style="1" bestFit="1" customWidth="1"/>
    <col min="13824" max="13827" width="14.28515625" style="1" bestFit="1" customWidth="1"/>
    <col min="13828" max="13828" width="12" style="1" bestFit="1" customWidth="1"/>
    <col min="13829" max="13829" width="12.28515625" style="1" bestFit="1" customWidth="1"/>
    <col min="13830" max="13830" width="10.28515625" style="1" customWidth="1"/>
    <col min="13831" max="13831" width="9.140625" style="1" customWidth="1"/>
    <col min="13832" max="13832" width="9.5703125" style="1" bestFit="1" customWidth="1"/>
    <col min="13833" max="13834" width="10.7109375" style="1" bestFit="1" customWidth="1"/>
    <col min="13835" max="13837" width="11.85546875" style="1" bestFit="1" customWidth="1"/>
    <col min="13838" max="13838" width="13.42578125" style="1" bestFit="1" customWidth="1"/>
    <col min="13839" max="13839" width="9.5703125" style="1" bestFit="1" customWidth="1"/>
    <col min="13840" max="14076" width="9.140625" style="1"/>
    <col min="14077" max="14077" width="55.7109375" style="1" customWidth="1"/>
    <col min="14078" max="14078" width="7.7109375" style="1" bestFit="1" customWidth="1"/>
    <col min="14079" max="14079" width="13.42578125" style="1" bestFit="1" customWidth="1"/>
    <col min="14080" max="14083" width="14.28515625" style="1" bestFit="1" customWidth="1"/>
    <col min="14084" max="14084" width="12" style="1" bestFit="1" customWidth="1"/>
    <col min="14085" max="14085" width="12.28515625" style="1" bestFit="1" customWidth="1"/>
    <col min="14086" max="14086" width="10.28515625" style="1" customWidth="1"/>
    <col min="14087" max="14087" width="9.140625" style="1" customWidth="1"/>
    <col min="14088" max="14088" width="9.5703125" style="1" bestFit="1" customWidth="1"/>
    <col min="14089" max="14090" width="10.7109375" style="1" bestFit="1" customWidth="1"/>
    <col min="14091" max="14093" width="11.85546875" style="1" bestFit="1" customWidth="1"/>
    <col min="14094" max="14094" width="13.42578125" style="1" bestFit="1" customWidth="1"/>
    <col min="14095" max="14095" width="9.5703125" style="1" bestFit="1" customWidth="1"/>
    <col min="14096" max="14332" width="9.140625" style="1"/>
    <col min="14333" max="14333" width="55.7109375" style="1" customWidth="1"/>
    <col min="14334" max="14334" width="7.7109375" style="1" bestFit="1" customWidth="1"/>
    <col min="14335" max="14335" width="13.42578125" style="1" bestFit="1" customWidth="1"/>
    <col min="14336" max="14339" width="14.28515625" style="1" bestFit="1" customWidth="1"/>
    <col min="14340" max="14340" width="12" style="1" bestFit="1" customWidth="1"/>
    <col min="14341" max="14341" width="12.28515625" style="1" bestFit="1" customWidth="1"/>
    <col min="14342" max="14342" width="10.28515625" style="1" customWidth="1"/>
    <col min="14343" max="14343" width="9.140625" style="1" customWidth="1"/>
    <col min="14344" max="14344" width="9.5703125" style="1" bestFit="1" customWidth="1"/>
    <col min="14345" max="14346" width="10.7109375" style="1" bestFit="1" customWidth="1"/>
    <col min="14347" max="14349" width="11.85546875" style="1" bestFit="1" customWidth="1"/>
    <col min="14350" max="14350" width="13.42578125" style="1" bestFit="1" customWidth="1"/>
    <col min="14351" max="14351" width="9.5703125" style="1" bestFit="1" customWidth="1"/>
    <col min="14352" max="14588" width="9.140625" style="1"/>
    <col min="14589" max="14589" width="55.7109375" style="1" customWidth="1"/>
    <col min="14590" max="14590" width="7.7109375" style="1" bestFit="1" customWidth="1"/>
    <col min="14591" max="14591" width="13.42578125" style="1" bestFit="1" customWidth="1"/>
    <col min="14592" max="14595" width="14.28515625" style="1" bestFit="1" customWidth="1"/>
    <col min="14596" max="14596" width="12" style="1" bestFit="1" customWidth="1"/>
    <col min="14597" max="14597" width="12.28515625" style="1" bestFit="1" customWidth="1"/>
    <col min="14598" max="14598" width="10.28515625" style="1" customWidth="1"/>
    <col min="14599" max="14599" width="9.140625" style="1" customWidth="1"/>
    <col min="14600" max="14600" width="9.5703125" style="1" bestFit="1" customWidth="1"/>
    <col min="14601" max="14602" width="10.7109375" style="1" bestFit="1" customWidth="1"/>
    <col min="14603" max="14605" width="11.85546875" style="1" bestFit="1" customWidth="1"/>
    <col min="14606" max="14606" width="13.42578125" style="1" bestFit="1" customWidth="1"/>
    <col min="14607" max="14607" width="9.5703125" style="1" bestFit="1" customWidth="1"/>
    <col min="14608" max="14844" width="9.140625" style="1"/>
    <col min="14845" max="14845" width="55.7109375" style="1" customWidth="1"/>
    <col min="14846" max="14846" width="7.7109375" style="1" bestFit="1" customWidth="1"/>
    <col min="14847" max="14847" width="13.42578125" style="1" bestFit="1" customWidth="1"/>
    <col min="14848" max="14851" width="14.28515625" style="1" bestFit="1" customWidth="1"/>
    <col min="14852" max="14852" width="12" style="1" bestFit="1" customWidth="1"/>
    <col min="14853" max="14853" width="12.28515625" style="1" bestFit="1" customWidth="1"/>
    <col min="14854" max="14854" width="10.28515625" style="1" customWidth="1"/>
    <col min="14855" max="14855" width="9.140625" style="1" customWidth="1"/>
    <col min="14856" max="14856" width="9.5703125" style="1" bestFit="1" customWidth="1"/>
    <col min="14857" max="14858" width="10.7109375" style="1" bestFit="1" customWidth="1"/>
    <col min="14859" max="14861" width="11.85546875" style="1" bestFit="1" customWidth="1"/>
    <col min="14862" max="14862" width="13.42578125" style="1" bestFit="1" customWidth="1"/>
    <col min="14863" max="14863" width="9.5703125" style="1" bestFit="1" customWidth="1"/>
    <col min="14864" max="15100" width="9.140625" style="1"/>
    <col min="15101" max="15101" width="55.7109375" style="1" customWidth="1"/>
    <col min="15102" max="15102" width="7.7109375" style="1" bestFit="1" customWidth="1"/>
    <col min="15103" max="15103" width="13.42578125" style="1" bestFit="1" customWidth="1"/>
    <col min="15104" max="15107" width="14.28515625" style="1" bestFit="1" customWidth="1"/>
    <col min="15108" max="15108" width="12" style="1" bestFit="1" customWidth="1"/>
    <col min="15109" max="15109" width="12.28515625" style="1" bestFit="1" customWidth="1"/>
    <col min="15110" max="15110" width="10.28515625" style="1" customWidth="1"/>
    <col min="15111" max="15111" width="9.140625" style="1" customWidth="1"/>
    <col min="15112" max="15112" width="9.5703125" style="1" bestFit="1" customWidth="1"/>
    <col min="15113" max="15114" width="10.7109375" style="1" bestFit="1" customWidth="1"/>
    <col min="15115" max="15117" width="11.85546875" style="1" bestFit="1" customWidth="1"/>
    <col min="15118" max="15118" width="13.42578125" style="1" bestFit="1" customWidth="1"/>
    <col min="15119" max="15119" width="9.5703125" style="1" bestFit="1" customWidth="1"/>
    <col min="15120" max="15356" width="9.140625" style="1"/>
    <col min="15357" max="15357" width="55.7109375" style="1" customWidth="1"/>
    <col min="15358" max="15358" width="7.7109375" style="1" bestFit="1" customWidth="1"/>
    <col min="15359" max="15359" width="13.42578125" style="1" bestFit="1" customWidth="1"/>
    <col min="15360" max="15363" width="14.28515625" style="1" bestFit="1" customWidth="1"/>
    <col min="15364" max="15364" width="12" style="1" bestFit="1" customWidth="1"/>
    <col min="15365" max="15365" width="12.28515625" style="1" bestFit="1" customWidth="1"/>
    <col min="15366" max="15366" width="10.28515625" style="1" customWidth="1"/>
    <col min="15367" max="15367" width="9.140625" style="1" customWidth="1"/>
    <col min="15368" max="15368" width="9.5703125" style="1" bestFit="1" customWidth="1"/>
    <col min="15369" max="15370" width="10.7109375" style="1" bestFit="1" customWidth="1"/>
    <col min="15371" max="15373" width="11.85546875" style="1" bestFit="1" customWidth="1"/>
    <col min="15374" max="15374" width="13.42578125" style="1" bestFit="1" customWidth="1"/>
    <col min="15375" max="15375" width="9.5703125" style="1" bestFit="1" customWidth="1"/>
    <col min="15376" max="15612" width="9.140625" style="1"/>
    <col min="15613" max="15613" width="55.7109375" style="1" customWidth="1"/>
    <col min="15614" max="15614" width="7.7109375" style="1" bestFit="1" customWidth="1"/>
    <col min="15615" max="15615" width="13.42578125" style="1" bestFit="1" customWidth="1"/>
    <col min="15616" max="15619" width="14.28515625" style="1" bestFit="1" customWidth="1"/>
    <col min="15620" max="15620" width="12" style="1" bestFit="1" customWidth="1"/>
    <col min="15621" max="15621" width="12.28515625" style="1" bestFit="1" customWidth="1"/>
    <col min="15622" max="15622" width="10.28515625" style="1" customWidth="1"/>
    <col min="15623" max="15623" width="9.140625" style="1" customWidth="1"/>
    <col min="15624" max="15624" width="9.5703125" style="1" bestFit="1" customWidth="1"/>
    <col min="15625" max="15626" width="10.7109375" style="1" bestFit="1" customWidth="1"/>
    <col min="15627" max="15629" width="11.85546875" style="1" bestFit="1" customWidth="1"/>
    <col min="15630" max="15630" width="13.42578125" style="1" bestFit="1" customWidth="1"/>
    <col min="15631" max="15631" width="9.5703125" style="1" bestFit="1" customWidth="1"/>
    <col min="15632" max="15868" width="9.140625" style="1"/>
    <col min="15869" max="15869" width="55.7109375" style="1" customWidth="1"/>
    <col min="15870" max="15870" width="7.7109375" style="1" bestFit="1" customWidth="1"/>
    <col min="15871" max="15871" width="13.42578125" style="1" bestFit="1" customWidth="1"/>
    <col min="15872" max="15875" width="14.28515625" style="1" bestFit="1" customWidth="1"/>
    <col min="15876" max="15876" width="12" style="1" bestFit="1" customWidth="1"/>
    <col min="15877" max="15877" width="12.28515625" style="1" bestFit="1" customWidth="1"/>
    <col min="15878" max="15878" width="10.28515625" style="1" customWidth="1"/>
    <col min="15879" max="15879" width="9.140625" style="1" customWidth="1"/>
    <col min="15880" max="15880" width="9.5703125" style="1" bestFit="1" customWidth="1"/>
    <col min="15881" max="15882" width="10.7109375" style="1" bestFit="1" customWidth="1"/>
    <col min="15883" max="15885" width="11.85546875" style="1" bestFit="1" customWidth="1"/>
    <col min="15886" max="15886" width="13.42578125" style="1" bestFit="1" customWidth="1"/>
    <col min="15887" max="15887" width="9.5703125" style="1" bestFit="1" customWidth="1"/>
    <col min="15888" max="16124" width="9.140625" style="1"/>
    <col min="16125" max="16125" width="55.7109375" style="1" customWidth="1"/>
    <col min="16126" max="16126" width="7.7109375" style="1" bestFit="1" customWidth="1"/>
    <col min="16127" max="16127" width="13.42578125" style="1" bestFit="1" customWidth="1"/>
    <col min="16128" max="16131" width="14.28515625" style="1" bestFit="1" customWidth="1"/>
    <col min="16132" max="16132" width="12" style="1" bestFit="1" customWidth="1"/>
    <col min="16133" max="16133" width="12.28515625" style="1" bestFit="1" customWidth="1"/>
    <col min="16134" max="16134" width="10.28515625" style="1" customWidth="1"/>
    <col min="16135" max="16135" width="9.140625" style="1" customWidth="1"/>
    <col min="16136" max="16136" width="9.5703125" style="1" bestFit="1" customWidth="1"/>
    <col min="16137" max="16138" width="10.7109375" style="1" bestFit="1" customWidth="1"/>
    <col min="16139" max="16141" width="11.85546875" style="1" bestFit="1" customWidth="1"/>
    <col min="16142" max="16142" width="13.42578125" style="1" bestFit="1" customWidth="1"/>
    <col min="16143" max="16143" width="9.5703125" style="1" bestFit="1" customWidth="1"/>
    <col min="16144" max="16384" width="9.140625" style="1"/>
  </cols>
  <sheetData>
    <row r="1" spans="1:22" ht="15.75" x14ac:dyDescent="0.25">
      <c r="A1" s="2433" t="str">
        <f>+COVER!A17</f>
        <v>Salt Creek SD 48</v>
      </c>
      <c r="B1" s="2433"/>
      <c r="C1" s="2433"/>
      <c r="D1" s="2433"/>
      <c r="E1" s="2433"/>
      <c r="F1" s="2433"/>
      <c r="G1" s="2433"/>
      <c r="H1" s="2433"/>
      <c r="I1" s="2433"/>
      <c r="J1" s="2433"/>
      <c r="K1" s="2433"/>
      <c r="L1" s="2433"/>
    </row>
    <row r="2" spans="1:22" ht="15.75" x14ac:dyDescent="0.25">
      <c r="A2" s="2433">
        <f>+COVER!A13</f>
        <v>19022048002</v>
      </c>
      <c r="B2" s="2433"/>
      <c r="C2" s="2433"/>
      <c r="D2" s="2433"/>
      <c r="E2" s="2433"/>
      <c r="F2" s="2433"/>
      <c r="G2" s="2433"/>
      <c r="H2" s="2433"/>
      <c r="I2" s="2433"/>
      <c r="J2" s="2433"/>
      <c r="K2" s="2433"/>
      <c r="L2" s="2433"/>
      <c r="N2"/>
      <c r="O2"/>
      <c r="P2"/>
    </row>
    <row r="3" spans="1:22" ht="15" x14ac:dyDescent="0.25">
      <c r="A3" s="2434" t="s">
        <v>2052</v>
      </c>
      <c r="B3" s="2434"/>
      <c r="C3" s="2434"/>
      <c r="D3" s="2434"/>
      <c r="E3" s="2434"/>
      <c r="F3" s="2434"/>
      <c r="G3" s="2434"/>
      <c r="H3" s="2434"/>
      <c r="I3" s="2434"/>
      <c r="J3" s="2434"/>
      <c r="K3" s="2434"/>
      <c r="L3" s="2434"/>
      <c r="N3"/>
      <c r="O3"/>
      <c r="P3"/>
    </row>
    <row r="4" spans="1:22" ht="15" x14ac:dyDescent="0.25">
      <c r="A4" s="2434" t="s">
        <v>2058</v>
      </c>
      <c r="B4" s="2434"/>
      <c r="C4" s="2434"/>
      <c r="D4" s="2434"/>
      <c r="E4" s="2434"/>
      <c r="F4" s="2434"/>
      <c r="G4" s="2434"/>
      <c r="H4" s="2434"/>
      <c r="I4" s="2434"/>
      <c r="J4" s="2434"/>
      <c r="K4" s="2434"/>
      <c r="L4" s="2434"/>
      <c r="N4"/>
      <c r="O4"/>
      <c r="P4"/>
    </row>
    <row r="5" spans="1:22" x14ac:dyDescent="0.2">
      <c r="N5"/>
      <c r="O5"/>
      <c r="P5"/>
    </row>
    <row r="6" spans="1:22" x14ac:dyDescent="0.2">
      <c r="A6" s="1870"/>
      <c r="B6" s="1871"/>
      <c r="C6" s="1871"/>
      <c r="D6" s="2435" t="s">
        <v>527</v>
      </c>
      <c r="E6" s="2436"/>
      <c r="F6" s="2435" t="s">
        <v>2053</v>
      </c>
      <c r="G6" s="2437"/>
      <c r="H6" s="2437"/>
      <c r="I6" s="2436"/>
      <c r="J6" s="1872"/>
      <c r="K6" s="1872"/>
      <c r="L6" s="1873"/>
      <c r="N6"/>
      <c r="O6"/>
      <c r="P6"/>
    </row>
    <row r="7" spans="1:22" x14ac:dyDescent="0.2">
      <c r="A7" s="1874" t="s">
        <v>2054</v>
      </c>
      <c r="B7" s="1875" t="s">
        <v>1262</v>
      </c>
      <c r="C7" s="1875" t="s">
        <v>1263</v>
      </c>
      <c r="D7" s="1876"/>
      <c r="E7" s="1877"/>
      <c r="F7" s="1876"/>
      <c r="G7" s="1877" t="s">
        <v>1260</v>
      </c>
      <c r="H7" s="1877"/>
      <c r="I7" s="1877" t="s">
        <v>1260</v>
      </c>
      <c r="J7" s="1878" t="s">
        <v>1259</v>
      </c>
      <c r="K7" s="1878" t="s">
        <v>2055</v>
      </c>
      <c r="L7" s="1879" t="s">
        <v>30</v>
      </c>
      <c r="N7"/>
      <c r="O7"/>
      <c r="P7"/>
    </row>
    <row r="8" spans="1:22" x14ac:dyDescent="0.2">
      <c r="A8" s="1874" t="s">
        <v>1258</v>
      </c>
      <c r="B8" s="1875" t="s">
        <v>2056</v>
      </c>
      <c r="C8" s="1875" t="s">
        <v>1261</v>
      </c>
      <c r="D8" s="1878" t="s">
        <v>1260</v>
      </c>
      <c r="E8" s="1877" t="s">
        <v>1260</v>
      </c>
      <c r="F8" s="1878" t="s">
        <v>1260</v>
      </c>
      <c r="G8" s="1877" t="s">
        <v>1814</v>
      </c>
      <c r="H8" s="1878" t="s">
        <v>1260</v>
      </c>
      <c r="I8" s="1877" t="s">
        <v>1964</v>
      </c>
      <c r="J8" s="1878" t="s">
        <v>1257</v>
      </c>
      <c r="K8" s="1878" t="s">
        <v>1256</v>
      </c>
      <c r="L8" s="1879"/>
      <c r="N8" s="1880"/>
      <c r="O8" s="1880"/>
      <c r="P8" s="1880"/>
      <c r="Q8" s="1880"/>
      <c r="R8" s="1880"/>
      <c r="U8" s="1880"/>
    </row>
    <row r="9" spans="1:22" x14ac:dyDescent="0.2">
      <c r="A9" s="1874" t="s">
        <v>1255</v>
      </c>
      <c r="B9" s="1875"/>
      <c r="C9" s="1875" t="s">
        <v>2057</v>
      </c>
      <c r="D9" s="1878" t="s">
        <v>1814</v>
      </c>
      <c r="E9" s="1877" t="s">
        <v>1964</v>
      </c>
      <c r="F9" s="1878" t="s">
        <v>1814</v>
      </c>
      <c r="G9" s="1878" t="s">
        <v>1579</v>
      </c>
      <c r="H9" s="1878" t="s">
        <v>1964</v>
      </c>
      <c r="I9" s="1878" t="s">
        <v>1579</v>
      </c>
      <c r="J9" s="1878"/>
      <c r="K9" s="1878" t="s">
        <v>1580</v>
      </c>
      <c r="L9" s="1879"/>
      <c r="N9" s="1880"/>
      <c r="O9" s="1880"/>
      <c r="P9" s="1880"/>
      <c r="Q9" s="1880"/>
      <c r="R9" s="1880"/>
      <c r="U9" s="1880"/>
    </row>
    <row r="10" spans="1:22" x14ac:dyDescent="0.2">
      <c r="A10" s="1881"/>
      <c r="B10" s="1882" t="s">
        <v>1254</v>
      </c>
      <c r="C10" s="1882" t="s">
        <v>1253</v>
      </c>
      <c r="D10" s="1883" t="s">
        <v>1252</v>
      </c>
      <c r="E10" s="1884" t="s">
        <v>1251</v>
      </c>
      <c r="F10" s="1883" t="s">
        <v>1250</v>
      </c>
      <c r="G10" s="1884" t="s">
        <v>1264</v>
      </c>
      <c r="H10" s="1883" t="s">
        <v>1249</v>
      </c>
      <c r="I10" s="1884" t="s">
        <v>1264</v>
      </c>
      <c r="J10" s="1883" t="s">
        <v>1248</v>
      </c>
      <c r="K10" s="1883" t="s">
        <v>1247</v>
      </c>
      <c r="L10" s="1885" t="s">
        <v>1246</v>
      </c>
      <c r="M10"/>
      <c r="N10" s="1880"/>
      <c r="O10" s="1880"/>
      <c r="P10" s="1880"/>
      <c r="Q10" s="1880"/>
      <c r="R10" s="1880"/>
      <c r="U10" s="1880"/>
      <c r="V10"/>
    </row>
    <row r="11" spans="1:22" x14ac:dyDescent="0.2">
      <c r="A11" s="1903" t="s">
        <v>2133</v>
      </c>
      <c r="B11" s="1904"/>
      <c r="C11" s="1904"/>
      <c r="D11" s="1905"/>
      <c r="E11" s="1905"/>
      <c r="F11" s="1905"/>
      <c r="G11" s="1905"/>
      <c r="H11" s="1905"/>
      <c r="I11" s="1905"/>
      <c r="J11" s="1905"/>
      <c r="K11" s="1905"/>
      <c r="L11" s="1905"/>
      <c r="M11"/>
      <c r="N11"/>
      <c r="O11"/>
      <c r="P11"/>
      <c r="Q11"/>
      <c r="R11"/>
      <c r="S11"/>
      <c r="T11"/>
      <c r="U11"/>
      <c r="V11"/>
    </row>
    <row r="12" spans="1:22" x14ac:dyDescent="0.2">
      <c r="A12" s="1906"/>
      <c r="B12" s="1904"/>
      <c r="C12" s="1904"/>
      <c r="D12" s="1905"/>
      <c r="E12" s="1905"/>
      <c r="F12" s="1905"/>
      <c r="G12" s="1905"/>
      <c r="H12" s="1905"/>
      <c r="I12" s="1905"/>
      <c r="J12" s="1905"/>
      <c r="K12" s="1905"/>
      <c r="L12" s="1905"/>
      <c r="M12"/>
      <c r="N12"/>
      <c r="O12"/>
      <c r="P12"/>
      <c r="Q12"/>
      <c r="R12"/>
      <c r="S12"/>
      <c r="T12"/>
      <c r="U12"/>
      <c r="V12"/>
    </row>
    <row r="13" spans="1:22" ht="13.15" customHeight="1" x14ac:dyDescent="0.2">
      <c r="A13" s="1907"/>
      <c r="B13" s="1904"/>
      <c r="C13" s="1904"/>
      <c r="D13" s="1905"/>
      <c r="E13" s="1905"/>
      <c r="F13" s="1905"/>
      <c r="G13" s="1905"/>
      <c r="H13" s="1905"/>
      <c r="I13" s="1905"/>
      <c r="J13" s="1905"/>
      <c r="K13" s="1905"/>
      <c r="L13" s="1905"/>
      <c r="M13"/>
      <c r="N13"/>
      <c r="O13"/>
      <c r="P13"/>
      <c r="Q13"/>
      <c r="R13"/>
      <c r="S13"/>
      <c r="T13"/>
      <c r="U13"/>
      <c r="V13"/>
    </row>
    <row r="14" spans="1:22" x14ac:dyDescent="0.2">
      <c r="A14" s="1908"/>
      <c r="B14" s="1904"/>
      <c r="C14" s="1909"/>
      <c r="D14" s="1910"/>
      <c r="E14" s="1910"/>
      <c r="F14" s="1910"/>
      <c r="G14" s="1910"/>
      <c r="H14" s="1910"/>
      <c r="I14" s="1910"/>
      <c r="J14" s="1910"/>
      <c r="K14" s="1910"/>
      <c r="L14" s="1911"/>
      <c r="M14"/>
      <c r="N14"/>
      <c r="O14" s="1886"/>
      <c r="P14"/>
      <c r="Q14"/>
      <c r="R14"/>
      <c r="S14"/>
      <c r="T14"/>
      <c r="U14"/>
      <c r="V14"/>
    </row>
    <row r="15" spans="1:22" x14ac:dyDescent="0.2">
      <c r="A15" s="1908"/>
      <c r="B15" s="1904"/>
      <c r="C15" s="1904"/>
      <c r="D15" s="1912"/>
      <c r="E15" s="1912"/>
      <c r="F15" s="1912"/>
      <c r="G15" s="1912"/>
      <c r="H15" s="1912"/>
      <c r="I15" s="1912"/>
      <c r="J15" s="1912"/>
      <c r="K15" s="1912"/>
      <c r="L15" s="1911"/>
      <c r="M15"/>
      <c r="N15"/>
      <c r="O15" s="1880"/>
      <c r="P15"/>
      <c r="Q15"/>
      <c r="R15"/>
      <c r="S15"/>
      <c r="T15"/>
      <c r="U15"/>
      <c r="V15"/>
    </row>
    <row r="16" spans="1:22" x14ac:dyDescent="0.2">
      <c r="A16" s="1913"/>
      <c r="B16" s="1914"/>
      <c r="C16" s="1915"/>
      <c r="D16" s="1912"/>
      <c r="E16" s="1912"/>
      <c r="F16" s="1912"/>
      <c r="G16" s="1912"/>
      <c r="H16" s="1912"/>
      <c r="I16" s="1912"/>
      <c r="J16" s="1912"/>
      <c r="K16" s="1912"/>
      <c r="L16" s="1911"/>
      <c r="M16"/>
      <c r="N16"/>
      <c r="O16" s="1880"/>
      <c r="P16" s="1887"/>
      <c r="Q16"/>
      <c r="R16"/>
      <c r="S16"/>
      <c r="T16"/>
      <c r="U16"/>
      <c r="V16"/>
    </row>
    <row r="17" spans="1:23" x14ac:dyDescent="0.2">
      <c r="A17" s="1916"/>
      <c r="B17" s="1914"/>
      <c r="C17" s="1911"/>
      <c r="D17" s="1912"/>
      <c r="E17" s="1912"/>
      <c r="F17" s="1912"/>
      <c r="G17" s="1912"/>
      <c r="H17" s="1912"/>
      <c r="I17" s="1912"/>
      <c r="J17" s="1912"/>
      <c r="K17" s="1912"/>
      <c r="L17" s="1911"/>
      <c r="M17"/>
      <c r="N17"/>
      <c r="O17"/>
      <c r="P17"/>
      <c r="Q17"/>
      <c r="R17"/>
      <c r="S17"/>
      <c r="T17"/>
      <c r="U17"/>
      <c r="V17"/>
    </row>
    <row r="18" spans="1:23" x14ac:dyDescent="0.2">
      <c r="A18" s="1917"/>
      <c r="B18" s="1914"/>
      <c r="C18" s="1918"/>
      <c r="D18" s="1912"/>
      <c r="E18" s="1912"/>
      <c r="F18" s="1912"/>
      <c r="G18" s="1912"/>
      <c r="H18" s="1912"/>
      <c r="I18" s="1912"/>
      <c r="J18" s="1912"/>
      <c r="K18" s="1912"/>
      <c r="L18" s="1911"/>
      <c r="M18"/>
      <c r="N18"/>
      <c r="O18"/>
      <c r="P18"/>
      <c r="Q18"/>
      <c r="R18"/>
      <c r="S18"/>
      <c r="T18"/>
      <c r="U18"/>
      <c r="V18"/>
    </row>
    <row r="19" spans="1:23" x14ac:dyDescent="0.2">
      <c r="A19" s="1916"/>
      <c r="B19" s="1914"/>
      <c r="C19" s="1911"/>
      <c r="D19" s="1912"/>
      <c r="E19" s="1912"/>
      <c r="F19" s="1912"/>
      <c r="G19" s="1912"/>
      <c r="H19" s="1912"/>
      <c r="I19" s="1912"/>
      <c r="J19" s="1912"/>
      <c r="K19" s="1912"/>
      <c r="L19" s="1911"/>
      <c r="M19"/>
      <c r="N19"/>
      <c r="O19"/>
      <c r="P19"/>
      <c r="Q19"/>
      <c r="R19"/>
      <c r="S19"/>
      <c r="T19"/>
      <c r="U19"/>
      <c r="V19"/>
    </row>
    <row r="20" spans="1:23" x14ac:dyDescent="0.2">
      <c r="A20" s="1917"/>
      <c r="B20" s="1914"/>
      <c r="C20" s="1911"/>
      <c r="D20" s="1912"/>
      <c r="E20" s="1912"/>
      <c r="F20" s="1912"/>
      <c r="G20" s="1912"/>
      <c r="H20" s="1912"/>
      <c r="I20" s="1912"/>
      <c r="J20" s="1912"/>
      <c r="K20" s="1912"/>
      <c r="L20" s="1911"/>
      <c r="M20"/>
      <c r="N20"/>
      <c r="O20"/>
      <c r="P20"/>
      <c r="Q20"/>
      <c r="R20"/>
      <c r="S20"/>
      <c r="T20"/>
      <c r="U20"/>
      <c r="V20"/>
    </row>
    <row r="21" spans="1:23" x14ac:dyDescent="0.2">
      <c r="A21" s="1919"/>
      <c r="B21" s="1914"/>
      <c r="C21" s="1918"/>
      <c r="D21" s="1912"/>
      <c r="E21" s="1912"/>
      <c r="F21" s="1912"/>
      <c r="G21" s="1912"/>
      <c r="H21" s="1912"/>
      <c r="I21" s="1912"/>
      <c r="J21" s="1912"/>
      <c r="K21" s="1912"/>
      <c r="L21" s="1911"/>
      <c r="M21"/>
      <c r="N21"/>
      <c r="O21"/>
      <c r="P21"/>
      <c r="Q21"/>
      <c r="R21"/>
      <c r="S21"/>
      <c r="T21"/>
      <c r="U21"/>
      <c r="V21"/>
    </row>
    <row r="22" spans="1:23" x14ac:dyDescent="0.2">
      <c r="A22" s="1920"/>
      <c r="B22" s="1914"/>
      <c r="C22" s="1904"/>
      <c r="D22" s="1912"/>
      <c r="E22" s="1912"/>
      <c r="F22" s="1912"/>
      <c r="G22" s="1912"/>
      <c r="H22" s="1912"/>
      <c r="I22" s="1912"/>
      <c r="J22" s="1912"/>
      <c r="K22" s="1912"/>
      <c r="L22" s="1911"/>
      <c r="M22"/>
      <c r="N22"/>
      <c r="O22"/>
      <c r="P22"/>
      <c r="Q22"/>
      <c r="R22"/>
      <c r="S22"/>
      <c r="T22"/>
      <c r="U22"/>
      <c r="V22"/>
    </row>
    <row r="23" spans="1:23" x14ac:dyDescent="0.2">
      <c r="A23" s="1920"/>
      <c r="B23" s="1914"/>
      <c r="C23" s="1909"/>
      <c r="D23" s="1912"/>
      <c r="E23" s="1912"/>
      <c r="F23" s="1912"/>
      <c r="G23" s="1912"/>
      <c r="H23" s="1912"/>
      <c r="I23" s="1912"/>
      <c r="J23" s="1912"/>
      <c r="K23" s="1912"/>
      <c r="L23" s="1911"/>
      <c r="M23"/>
      <c r="N23"/>
      <c r="O23"/>
      <c r="P23"/>
      <c r="Q23"/>
      <c r="R23"/>
      <c r="S23"/>
      <c r="T23"/>
      <c r="U23"/>
      <c r="V23"/>
    </row>
    <row r="24" spans="1:23" x14ac:dyDescent="0.2">
      <c r="A24" s="1919"/>
      <c r="B24" s="1914"/>
      <c r="C24" s="1918"/>
      <c r="D24" s="1912"/>
      <c r="E24" s="1912"/>
      <c r="F24" s="1912"/>
      <c r="G24" s="1912"/>
      <c r="H24" s="1912"/>
      <c r="I24" s="1912"/>
      <c r="J24" s="1912"/>
      <c r="K24" s="1912"/>
      <c r="L24" s="1911"/>
      <c r="M24"/>
      <c r="N24"/>
      <c r="O24"/>
      <c r="P24"/>
      <c r="Q24"/>
      <c r="R24"/>
      <c r="S24"/>
      <c r="T24"/>
      <c r="U24"/>
      <c r="V24"/>
    </row>
    <row r="25" spans="1:23" x14ac:dyDescent="0.2">
      <c r="A25" s="1920"/>
      <c r="B25" s="1914"/>
      <c r="C25" s="1904"/>
      <c r="D25" s="1912"/>
      <c r="E25" s="1912"/>
      <c r="F25" s="1912"/>
      <c r="G25" s="1912"/>
      <c r="H25" s="1912"/>
      <c r="I25" s="1912"/>
      <c r="J25" s="1912"/>
      <c r="K25" s="1912"/>
      <c r="L25" s="1911"/>
      <c r="M25"/>
      <c r="N25"/>
      <c r="O25"/>
      <c r="P25"/>
      <c r="Q25"/>
      <c r="R25"/>
      <c r="S25"/>
      <c r="T25"/>
      <c r="U25"/>
      <c r="V25"/>
    </row>
    <row r="26" spans="1:23" x14ac:dyDescent="0.2">
      <c r="A26" s="1920"/>
      <c r="B26" s="1914"/>
      <c r="C26" s="1909"/>
      <c r="D26" s="1912"/>
      <c r="E26" s="1912"/>
      <c r="F26" s="1912"/>
      <c r="G26" s="1912"/>
      <c r="H26" s="1912"/>
      <c r="I26" s="1912"/>
      <c r="J26" s="1912"/>
      <c r="K26" s="1912"/>
      <c r="L26" s="1911"/>
      <c r="M26"/>
      <c r="N26"/>
      <c r="O26"/>
      <c r="P26"/>
      <c r="Q26"/>
      <c r="R26"/>
      <c r="S26"/>
      <c r="T26"/>
      <c r="U26"/>
      <c r="V26"/>
    </row>
    <row r="27" spans="1:23" x14ac:dyDescent="0.2">
      <c r="A27" s="1921"/>
      <c r="B27" s="1914"/>
      <c r="C27" s="1918"/>
      <c r="D27" s="1912"/>
      <c r="E27" s="1912"/>
      <c r="F27" s="1912"/>
      <c r="G27" s="1912"/>
      <c r="H27" s="1912"/>
      <c r="I27" s="1912"/>
      <c r="J27" s="1912"/>
      <c r="K27" s="1912"/>
      <c r="L27" s="1911"/>
      <c r="M27"/>
      <c r="N27"/>
      <c r="O27"/>
      <c r="P27"/>
      <c r="Q27"/>
      <c r="R27"/>
      <c r="S27"/>
      <c r="T27"/>
      <c r="U27"/>
      <c r="V27"/>
    </row>
    <row r="28" spans="1:23" x14ac:dyDescent="0.2">
      <c r="A28" s="1903"/>
      <c r="B28" s="1904"/>
      <c r="C28" s="1904"/>
      <c r="D28" s="1912"/>
      <c r="E28" s="1912"/>
      <c r="F28" s="1912"/>
      <c r="G28" s="1912"/>
      <c r="H28" s="1912"/>
      <c r="I28" s="1912"/>
      <c r="J28" s="1912"/>
      <c r="K28" s="1912"/>
      <c r="L28" s="1911"/>
      <c r="M28"/>
      <c r="N28"/>
      <c r="O28"/>
      <c r="P28"/>
      <c r="Q28"/>
      <c r="R28"/>
      <c r="S28"/>
      <c r="T28"/>
      <c r="U28"/>
      <c r="V28"/>
    </row>
    <row r="29" spans="1:23" ht="8.1" customHeight="1" x14ac:dyDescent="0.2">
      <c r="A29" s="1903"/>
      <c r="B29" s="1904"/>
      <c r="C29" s="1904"/>
      <c r="D29" s="1912"/>
      <c r="E29" s="1912"/>
      <c r="F29" s="1912"/>
      <c r="G29" s="1912"/>
      <c r="H29" s="1912"/>
      <c r="I29" s="1912"/>
      <c r="J29" s="1912"/>
      <c r="K29" s="1912"/>
      <c r="L29" s="1911"/>
      <c r="M29"/>
      <c r="N29"/>
      <c r="O29"/>
      <c r="P29"/>
      <c r="Q29"/>
      <c r="R29"/>
      <c r="S29"/>
      <c r="T29"/>
      <c r="U29"/>
      <c r="V29"/>
    </row>
    <row r="30" spans="1:23" x14ac:dyDescent="0.2">
      <c r="A30" s="1903"/>
      <c r="B30" s="1904"/>
      <c r="C30" s="1904"/>
      <c r="D30" s="1912"/>
      <c r="E30" s="1912"/>
      <c r="F30" s="1912"/>
      <c r="G30" s="1912"/>
      <c r="H30" s="1912"/>
      <c r="I30" s="1912"/>
      <c r="J30" s="1912"/>
      <c r="K30" s="1912"/>
      <c r="L30" s="1905"/>
      <c r="M30"/>
      <c r="N30"/>
      <c r="O30"/>
      <c r="P30"/>
      <c r="Q30"/>
      <c r="R30"/>
      <c r="S30"/>
      <c r="T30"/>
      <c r="U30"/>
      <c r="V30"/>
      <c r="W30"/>
    </row>
    <row r="31" spans="1:23" x14ac:dyDescent="0.2">
      <c r="A31" s="1906"/>
      <c r="B31" s="1904"/>
      <c r="C31" s="1904"/>
      <c r="D31" s="1912"/>
      <c r="E31" s="1912"/>
      <c r="F31" s="1912"/>
      <c r="G31" s="1912"/>
      <c r="H31" s="1912"/>
      <c r="I31" s="1912"/>
      <c r="J31" s="1912"/>
      <c r="K31" s="1912"/>
      <c r="L31" s="1905"/>
      <c r="P31"/>
      <c r="Q31"/>
      <c r="R31"/>
      <c r="S31"/>
      <c r="T31"/>
      <c r="U31"/>
      <c r="V31"/>
      <c r="W31"/>
    </row>
    <row r="32" spans="1:23" x14ac:dyDescent="0.2">
      <c r="A32" s="1922"/>
      <c r="B32" s="1904"/>
      <c r="C32" s="1909"/>
      <c r="D32" s="1912"/>
      <c r="E32" s="1912"/>
      <c r="F32" s="1912"/>
      <c r="G32" s="1912"/>
      <c r="H32" s="1912"/>
      <c r="I32" s="1912"/>
      <c r="J32" s="1912"/>
      <c r="K32" s="1912"/>
      <c r="L32" s="1912"/>
      <c r="P32" s="1888"/>
      <c r="Q32" s="1888"/>
      <c r="R32" s="1888"/>
      <c r="S32" s="1888"/>
      <c r="T32" s="1888"/>
      <c r="U32"/>
      <c r="V32"/>
      <c r="W32"/>
    </row>
    <row r="33" spans="1:24" x14ac:dyDescent="0.2">
      <c r="A33" s="1922"/>
      <c r="B33" s="1904"/>
      <c r="C33" s="1909"/>
      <c r="D33" s="1912"/>
      <c r="E33" s="1912"/>
      <c r="F33" s="1912"/>
      <c r="G33" s="1912"/>
      <c r="H33" s="1912"/>
      <c r="I33" s="1912"/>
      <c r="J33" s="1912"/>
      <c r="K33" s="1912"/>
      <c r="L33" s="1912"/>
      <c r="M33" s="1888"/>
      <c r="N33" s="1888"/>
      <c r="O33" s="1888"/>
      <c r="P33" s="1888"/>
      <c r="Q33" s="1888"/>
      <c r="R33" s="1888"/>
      <c r="S33" s="1888"/>
      <c r="T33" s="1888"/>
      <c r="U33"/>
      <c r="V33"/>
      <c r="W33"/>
    </row>
    <row r="34" spans="1:24" x14ac:dyDescent="0.2">
      <c r="A34" s="1919"/>
      <c r="B34" s="1914"/>
      <c r="C34" s="1918"/>
      <c r="D34" s="1912"/>
      <c r="E34" s="1912"/>
      <c r="F34" s="1912"/>
      <c r="G34" s="1912"/>
      <c r="H34" s="1912"/>
      <c r="I34" s="1912"/>
      <c r="J34" s="1912"/>
      <c r="K34" s="1912"/>
      <c r="L34" s="1912"/>
      <c r="M34"/>
      <c r="N34" s="1888"/>
      <c r="P34" s="1888"/>
      <c r="Q34" s="1888"/>
      <c r="R34" s="1888"/>
      <c r="S34" s="1888"/>
      <c r="T34" s="1888"/>
      <c r="U34"/>
      <c r="V34"/>
      <c r="W34"/>
    </row>
    <row r="35" spans="1:24" x14ac:dyDescent="0.2">
      <c r="A35" s="1922"/>
      <c r="B35" s="1914"/>
      <c r="C35" s="1923"/>
      <c r="D35" s="1912"/>
      <c r="E35" s="1912"/>
      <c r="F35" s="1912"/>
      <c r="G35" s="1912"/>
      <c r="H35" s="1912"/>
      <c r="I35" s="1912"/>
      <c r="J35" s="1912"/>
      <c r="K35" s="1912"/>
      <c r="L35" s="1912"/>
      <c r="M35"/>
      <c r="P35" s="1888"/>
      <c r="Q35" s="1888"/>
      <c r="R35" s="1888"/>
      <c r="S35" s="1888"/>
      <c r="T35" s="1888"/>
      <c r="U35"/>
      <c r="V35"/>
      <c r="W35"/>
    </row>
    <row r="36" spans="1:24" x14ac:dyDescent="0.2">
      <c r="A36" s="1922"/>
      <c r="B36" s="1914"/>
      <c r="C36" s="1923"/>
      <c r="D36" s="1912"/>
      <c r="E36" s="1912"/>
      <c r="F36" s="1912"/>
      <c r="G36" s="1912"/>
      <c r="H36" s="1912"/>
      <c r="I36" s="1912"/>
      <c r="J36" s="1912"/>
      <c r="K36" s="1912"/>
      <c r="L36" s="1912"/>
      <c r="M36" s="1888"/>
      <c r="N36" s="1888"/>
      <c r="O36" s="1888"/>
      <c r="P36" s="1888"/>
      <c r="Q36" s="1888"/>
      <c r="R36" s="1888"/>
      <c r="S36" s="1888"/>
      <c r="T36" s="1888"/>
      <c r="U36"/>
      <c r="V36"/>
      <c r="W36"/>
      <c r="X36"/>
    </row>
    <row r="37" spans="1:24" x14ac:dyDescent="0.2">
      <c r="A37" s="1919"/>
      <c r="B37" s="1914"/>
      <c r="C37" s="1918"/>
      <c r="D37" s="1912"/>
      <c r="E37" s="1912"/>
      <c r="F37" s="1912"/>
      <c r="G37" s="1912"/>
      <c r="H37" s="1912"/>
      <c r="I37" s="1912"/>
      <c r="J37" s="1912"/>
      <c r="K37" s="1912"/>
      <c r="L37" s="1912"/>
      <c r="M37"/>
      <c r="P37" s="1888"/>
      <c r="Q37" s="1888"/>
      <c r="R37" s="1888"/>
      <c r="S37" s="1888"/>
      <c r="T37" s="1888"/>
      <c r="U37"/>
      <c r="V37"/>
      <c r="W37"/>
      <c r="X37"/>
    </row>
    <row r="38" spans="1:24" x14ac:dyDescent="0.2">
      <c r="A38" s="1922"/>
      <c r="B38" s="1914"/>
      <c r="C38" s="1923"/>
      <c r="D38" s="1912"/>
      <c r="E38" s="1912"/>
      <c r="F38" s="1912"/>
      <c r="G38" s="1912"/>
      <c r="H38" s="1912"/>
      <c r="I38" s="1912"/>
      <c r="J38" s="1912"/>
      <c r="K38" s="1912"/>
      <c r="L38" s="1912"/>
      <c r="M38"/>
      <c r="Q38" s="1888"/>
      <c r="S38" s="1888"/>
      <c r="T38" s="1888"/>
      <c r="U38"/>
      <c r="V38"/>
      <c r="W38"/>
      <c r="X38"/>
    </row>
    <row r="39" spans="1:24" x14ac:dyDescent="0.2">
      <c r="A39" s="1922"/>
      <c r="B39" s="1914"/>
      <c r="C39" s="1923"/>
      <c r="D39" s="1912"/>
      <c r="E39" s="1912"/>
      <c r="F39" s="1912"/>
      <c r="G39" s="1912"/>
      <c r="H39" s="1912"/>
      <c r="I39" s="1912"/>
      <c r="J39" s="1912"/>
      <c r="K39" s="1912"/>
      <c r="L39" s="1912"/>
      <c r="M39" s="1888"/>
      <c r="N39" s="1888"/>
      <c r="O39" s="1888"/>
      <c r="Q39" s="1888"/>
      <c r="T39" s="1888"/>
      <c r="U39"/>
      <c r="V39"/>
      <c r="W39"/>
      <c r="X39"/>
    </row>
    <row r="40" spans="1:24" x14ac:dyDescent="0.2">
      <c r="A40" s="1919"/>
      <c r="B40" s="1914"/>
      <c r="C40" s="1918"/>
      <c r="D40" s="1912"/>
      <c r="E40" s="1912"/>
      <c r="F40" s="1912"/>
      <c r="G40" s="1912"/>
      <c r="H40" s="1912"/>
      <c r="I40" s="1912"/>
      <c r="J40" s="1912"/>
      <c r="K40" s="1912"/>
      <c r="L40" s="1912"/>
      <c r="M40"/>
      <c r="Q40" s="1888"/>
      <c r="T40" s="1888"/>
      <c r="U40"/>
      <c r="V40"/>
      <c r="W40"/>
      <c r="X40"/>
    </row>
    <row r="41" spans="1:24" x14ac:dyDescent="0.2">
      <c r="A41" s="1907"/>
      <c r="B41" s="1914"/>
      <c r="C41" s="1914"/>
      <c r="D41" s="1912"/>
      <c r="E41" s="1912"/>
      <c r="F41" s="1912"/>
      <c r="G41" s="1912"/>
      <c r="H41" s="1912"/>
      <c r="I41" s="1912"/>
      <c r="J41" s="1912"/>
      <c r="K41" s="1912"/>
      <c r="L41" s="1912"/>
      <c r="M41"/>
      <c r="N41"/>
      <c r="O41"/>
      <c r="P41"/>
      <c r="Q41"/>
      <c r="R41"/>
      <c r="S41"/>
      <c r="T41"/>
      <c r="U41"/>
      <c r="V41"/>
      <c r="W41"/>
      <c r="X41"/>
    </row>
    <row r="42" spans="1:24" x14ac:dyDescent="0.2">
      <c r="A42" s="1908"/>
      <c r="B42" s="1924"/>
      <c r="C42" s="1915"/>
      <c r="D42" s="1912"/>
      <c r="E42" s="1912"/>
      <c r="F42" s="1912"/>
      <c r="G42" s="1912"/>
      <c r="H42" s="1912"/>
      <c r="I42" s="1912"/>
      <c r="J42" s="1912"/>
      <c r="K42" s="1912"/>
      <c r="L42" s="1912"/>
      <c r="M42"/>
      <c r="N42"/>
      <c r="O42"/>
      <c r="P42"/>
      <c r="Q42"/>
      <c r="R42"/>
      <c r="S42"/>
      <c r="T42"/>
      <c r="U42"/>
      <c r="V42"/>
      <c r="W42"/>
    </row>
    <row r="43" spans="1:24" x14ac:dyDescent="0.2">
      <c r="A43" s="1908"/>
      <c r="B43" s="1924"/>
      <c r="C43" s="1915"/>
      <c r="D43" s="1912"/>
      <c r="E43" s="1912"/>
      <c r="F43" s="1912"/>
      <c r="G43" s="1912"/>
      <c r="H43" s="1912"/>
      <c r="I43" s="1912"/>
      <c r="J43" s="1912"/>
      <c r="K43" s="1912"/>
      <c r="L43" s="1912"/>
      <c r="M43" s="1888"/>
      <c r="N43" s="1888"/>
      <c r="O43" s="1888"/>
      <c r="P43"/>
      <c r="Q43"/>
      <c r="R43"/>
      <c r="S43"/>
      <c r="T43"/>
      <c r="U43"/>
      <c r="V43"/>
      <c r="W43"/>
    </row>
    <row r="44" spans="1:24" x14ac:dyDescent="0.2">
      <c r="A44" s="1921"/>
      <c r="B44" s="1924"/>
      <c r="C44" s="1923"/>
      <c r="D44" s="1912"/>
      <c r="E44" s="1912"/>
      <c r="F44" s="1912"/>
      <c r="G44" s="1912"/>
      <c r="H44" s="1912"/>
      <c r="I44" s="1912"/>
      <c r="J44" s="1912"/>
      <c r="K44" s="1912"/>
      <c r="L44" s="1912"/>
      <c r="M44"/>
      <c r="N44"/>
      <c r="O44"/>
      <c r="P44"/>
      <c r="Q44"/>
      <c r="R44"/>
      <c r="S44"/>
      <c r="T44"/>
      <c r="U44"/>
      <c r="V44"/>
      <c r="W44"/>
    </row>
    <row r="45" spans="1:24" x14ac:dyDescent="0.2">
      <c r="A45" s="1908"/>
      <c r="B45" s="1924"/>
      <c r="C45" s="1923"/>
      <c r="D45" s="1912"/>
      <c r="E45" s="1912"/>
      <c r="F45" s="1912"/>
      <c r="G45" s="1912"/>
      <c r="H45" s="1912"/>
      <c r="I45" s="1912"/>
      <c r="J45" s="1912"/>
      <c r="K45" s="1912"/>
      <c r="L45" s="1912"/>
      <c r="M45"/>
      <c r="N45"/>
      <c r="O45"/>
      <c r="P45"/>
      <c r="Q45"/>
      <c r="R45"/>
      <c r="S45"/>
      <c r="T45"/>
      <c r="U45"/>
      <c r="V45"/>
      <c r="W45"/>
    </row>
    <row r="46" spans="1:24" x14ac:dyDescent="0.2">
      <c r="A46" s="1908"/>
      <c r="B46" s="1924"/>
      <c r="C46" s="1923"/>
      <c r="D46" s="1912"/>
      <c r="E46" s="1912"/>
      <c r="F46" s="1912"/>
      <c r="G46" s="1912"/>
      <c r="H46" s="1912"/>
      <c r="I46" s="1912"/>
      <c r="J46" s="1912"/>
      <c r="K46" s="1912"/>
      <c r="L46" s="1912"/>
      <c r="M46" s="1888"/>
      <c r="N46" s="1888"/>
      <c r="O46" s="1888"/>
      <c r="P46"/>
      <c r="Q46"/>
      <c r="R46"/>
      <c r="S46"/>
      <c r="T46"/>
      <c r="U46"/>
      <c r="V46"/>
      <c r="W46"/>
    </row>
    <row r="47" spans="1:24" x14ac:dyDescent="0.2">
      <c r="A47" s="1920"/>
      <c r="B47" s="1924"/>
      <c r="C47" s="1923"/>
      <c r="D47" s="1912"/>
      <c r="E47" s="1912"/>
      <c r="F47" s="1912"/>
      <c r="G47" s="1912"/>
      <c r="H47" s="1912"/>
      <c r="I47" s="1912"/>
      <c r="J47" s="1912"/>
      <c r="K47" s="1912"/>
      <c r="L47" s="1925"/>
      <c r="M47"/>
      <c r="N47" s="1888"/>
      <c r="O47"/>
      <c r="P47"/>
      <c r="Q47"/>
      <c r="R47"/>
      <c r="S47"/>
      <c r="T47"/>
      <c r="U47"/>
      <c r="V47"/>
      <c r="W47"/>
    </row>
    <row r="48" spans="1:24" x14ac:dyDescent="0.2">
      <c r="A48" s="1921"/>
      <c r="B48" s="1924"/>
      <c r="C48" s="1923"/>
      <c r="D48" s="1912"/>
      <c r="E48" s="1912"/>
      <c r="F48" s="1912"/>
      <c r="G48" s="1912"/>
      <c r="H48" s="1912"/>
      <c r="I48" s="1912"/>
      <c r="J48" s="1912"/>
      <c r="K48" s="1912"/>
      <c r="L48" s="1925"/>
      <c r="M48"/>
      <c r="N48"/>
      <c r="O48"/>
      <c r="P48"/>
      <c r="Q48"/>
      <c r="R48"/>
      <c r="S48"/>
      <c r="T48"/>
      <c r="U48"/>
      <c r="V48"/>
      <c r="W48"/>
    </row>
    <row r="49" spans="1:23" x14ac:dyDescent="0.2">
      <c r="A49" s="1926"/>
      <c r="B49" s="1924"/>
      <c r="C49" s="1923"/>
      <c r="D49" s="1912"/>
      <c r="E49" s="1912"/>
      <c r="F49" s="1912"/>
      <c r="G49" s="1912"/>
      <c r="H49" s="1912"/>
      <c r="I49" s="1912"/>
      <c r="J49" s="1912"/>
      <c r="K49" s="1912"/>
      <c r="L49" s="1925"/>
      <c r="M49"/>
      <c r="N49"/>
      <c r="O49"/>
      <c r="P49"/>
      <c r="Q49"/>
      <c r="R49"/>
      <c r="S49"/>
      <c r="T49"/>
      <c r="U49"/>
      <c r="V49"/>
      <c r="W49"/>
    </row>
    <row r="50" spans="1:23" x14ac:dyDescent="0.2">
      <c r="A50" s="1903"/>
      <c r="B50" s="1904"/>
      <c r="C50" s="1904"/>
      <c r="D50" s="1912"/>
      <c r="E50" s="1912"/>
      <c r="F50" s="1912"/>
      <c r="G50" s="1912"/>
      <c r="H50" s="1912"/>
      <c r="I50" s="1912"/>
      <c r="J50" s="1912"/>
      <c r="K50" s="1912"/>
      <c r="L50" s="1925"/>
      <c r="M50"/>
      <c r="N50"/>
      <c r="O50"/>
      <c r="P50"/>
      <c r="Q50"/>
      <c r="R50"/>
      <c r="S50"/>
      <c r="T50"/>
      <c r="U50"/>
      <c r="V50"/>
      <c r="W50"/>
    </row>
    <row r="51" spans="1:23" ht="8.1" customHeight="1" x14ac:dyDescent="0.2">
      <c r="A51" s="1927"/>
      <c r="B51" s="1928"/>
      <c r="C51" s="1928"/>
      <c r="D51" s="1912"/>
      <c r="E51" s="1912"/>
      <c r="F51" s="1912"/>
      <c r="G51" s="1912"/>
      <c r="H51" s="1912"/>
      <c r="I51" s="1912"/>
      <c r="J51" s="1912"/>
      <c r="K51" s="1912"/>
      <c r="L51" s="1929"/>
    </row>
    <row r="52" spans="1:23" x14ac:dyDescent="0.2">
      <c r="A52" s="1927"/>
      <c r="B52" s="1928"/>
      <c r="C52" s="1930"/>
      <c r="D52" s="1912"/>
      <c r="E52" s="1912"/>
      <c r="F52" s="1912"/>
      <c r="G52" s="1912"/>
      <c r="H52" s="1912"/>
      <c r="I52" s="1912"/>
      <c r="J52" s="1912"/>
      <c r="K52" s="1912"/>
      <c r="L52" s="1925"/>
      <c r="M52"/>
      <c r="N52"/>
      <c r="O52"/>
      <c r="P52"/>
      <c r="Q52"/>
      <c r="R52"/>
      <c r="S52"/>
      <c r="T52"/>
      <c r="U52"/>
      <c r="V52"/>
    </row>
    <row r="53" spans="1:23" x14ac:dyDescent="0.2">
      <c r="A53" s="1913"/>
      <c r="B53" s="1928"/>
      <c r="C53" s="1930"/>
      <c r="D53" s="1912"/>
      <c r="E53" s="1912"/>
      <c r="F53" s="1912"/>
      <c r="G53" s="1912"/>
      <c r="H53" s="1912"/>
      <c r="I53" s="1912"/>
      <c r="J53" s="1912"/>
      <c r="K53" s="1912"/>
      <c r="L53" s="1925"/>
      <c r="M53"/>
      <c r="N53"/>
      <c r="O53"/>
      <c r="P53"/>
      <c r="Q53"/>
      <c r="R53"/>
      <c r="S53"/>
      <c r="T53"/>
      <c r="U53"/>
      <c r="V53"/>
    </row>
    <row r="54" spans="1:23" x14ac:dyDescent="0.2">
      <c r="A54" s="1931"/>
      <c r="B54" s="1928"/>
      <c r="C54" s="1923"/>
      <c r="D54" s="1912"/>
      <c r="E54" s="1912"/>
      <c r="F54" s="1912"/>
      <c r="G54" s="1912"/>
      <c r="H54" s="1912"/>
      <c r="I54" s="1912"/>
      <c r="J54" s="1912"/>
      <c r="K54" s="1912"/>
      <c r="L54" s="1911"/>
      <c r="M54"/>
      <c r="N54"/>
      <c r="O54"/>
      <c r="P54"/>
      <c r="Q54"/>
      <c r="R54"/>
      <c r="S54"/>
      <c r="T54"/>
      <c r="U54"/>
      <c r="V54"/>
    </row>
    <row r="55" spans="1:23" x14ac:dyDescent="0.2">
      <c r="A55" s="1931"/>
      <c r="B55" s="1928"/>
      <c r="C55" s="1923"/>
      <c r="D55" s="1912"/>
      <c r="E55" s="1912"/>
      <c r="F55" s="1912"/>
      <c r="G55" s="1912"/>
      <c r="H55" s="1912"/>
      <c r="I55" s="1912"/>
      <c r="J55" s="1912"/>
      <c r="K55" s="1912"/>
      <c r="L55" s="1911"/>
      <c r="M55"/>
      <c r="N55"/>
      <c r="O55"/>
      <c r="P55"/>
      <c r="Q55"/>
      <c r="R55"/>
      <c r="S55"/>
      <c r="T55"/>
      <c r="U55"/>
      <c r="V55"/>
    </row>
    <row r="56" spans="1:23" x14ac:dyDescent="0.2">
      <c r="A56" s="1927"/>
      <c r="B56" s="1928"/>
      <c r="C56" s="1930"/>
      <c r="D56" s="1912"/>
      <c r="E56" s="1912"/>
      <c r="F56" s="1912"/>
      <c r="G56" s="1912"/>
      <c r="H56" s="1912"/>
      <c r="I56" s="1912"/>
      <c r="J56" s="1912"/>
      <c r="K56" s="1912"/>
      <c r="L56" s="1911"/>
      <c r="M56"/>
      <c r="N56"/>
      <c r="O56"/>
      <c r="P56"/>
      <c r="Q56"/>
      <c r="R56"/>
      <c r="S56"/>
      <c r="T56"/>
      <c r="U56"/>
      <c r="V56"/>
    </row>
    <row r="57" spans="1:23" ht="8.1" customHeight="1" x14ac:dyDescent="0.2">
      <c r="A57" s="1927"/>
      <c r="B57" s="1928"/>
      <c r="C57" s="1930"/>
      <c r="D57" s="1912"/>
      <c r="E57" s="1912"/>
      <c r="F57" s="1912"/>
      <c r="G57" s="1912"/>
      <c r="H57" s="1912"/>
      <c r="I57" s="1912"/>
      <c r="J57" s="1912"/>
      <c r="K57" s="1912"/>
      <c r="L57" s="1932"/>
    </row>
    <row r="58" spans="1:23" x14ac:dyDescent="0.2">
      <c r="A58" s="1927"/>
      <c r="B58" s="1928"/>
      <c r="C58" s="1930"/>
      <c r="D58" s="1910"/>
      <c r="E58" s="1910"/>
      <c r="F58" s="1910"/>
      <c r="G58" s="1910"/>
      <c r="H58" s="1910"/>
      <c r="I58" s="1910"/>
      <c r="J58" s="1910"/>
      <c r="K58" s="1910"/>
      <c r="L58" s="1911"/>
    </row>
    <row r="59" spans="1:23" x14ac:dyDescent="0.2">
      <c r="A59" s="1933"/>
      <c r="B59" s="1934"/>
      <c r="C59" s="1935"/>
      <c r="D59" s="1936"/>
      <c r="E59" s="1936"/>
      <c r="F59" s="1936"/>
      <c r="G59" s="1936"/>
      <c r="H59" s="1936"/>
      <c r="I59" s="1936"/>
      <c r="J59" s="1936"/>
      <c r="K59" s="1936"/>
      <c r="L59" s="1937"/>
    </row>
    <row r="60" spans="1:23" x14ac:dyDescent="0.2">
      <c r="A60" s="1938"/>
      <c r="B60" s="1938"/>
      <c r="C60" s="1938"/>
      <c r="D60" s="1939"/>
      <c r="E60" s="1939"/>
      <c r="F60" s="1939"/>
      <c r="G60" s="1939"/>
      <c r="H60" s="1939"/>
      <c r="I60" s="1939"/>
      <c r="J60" s="1939"/>
      <c r="K60" s="1939"/>
      <c r="L60" s="1940"/>
    </row>
  </sheetData>
  <mergeCells count="6">
    <mergeCell ref="A1:L1"/>
    <mergeCell ref="A2:L2"/>
    <mergeCell ref="A3:L3"/>
    <mergeCell ref="A4:L4"/>
    <mergeCell ref="D6:E6"/>
    <mergeCell ref="F6:I6"/>
  </mergeCells>
  <printOptions horizontalCentered="1"/>
  <pageMargins left="0.25" right="0.25" top="0.5" bottom="0.25" header="0.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zoomScale="120" zoomScaleNormal="120" workbookViewId="0">
      <selection activeCell="A4" sqref="A4:L4"/>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Salt Creek SD 48</v>
      </c>
      <c r="B1" s="2447"/>
      <c r="C1" s="2447"/>
      <c r="D1" s="2447"/>
      <c r="E1" s="2447"/>
      <c r="F1" s="2447"/>
    </row>
    <row r="2" spans="1:7" ht="13.5" customHeight="1" x14ac:dyDescent="0.2">
      <c r="A2" s="2448">
        <f>'Single Audit Cover'!E7</f>
        <v>19022048002</v>
      </c>
      <c r="B2" s="2448"/>
      <c r="C2" s="2448"/>
      <c r="D2" s="2448"/>
      <c r="E2" s="2448"/>
      <c r="F2" s="2448"/>
      <c r="G2" s="1249"/>
    </row>
    <row r="3" spans="1:7" ht="15.75" customHeight="1" x14ac:dyDescent="0.2">
      <c r="A3" s="2449" t="s">
        <v>1269</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50" t="s">
        <v>1722</v>
      </c>
      <c r="C6" s="317"/>
      <c r="D6" s="317"/>
    </row>
    <row r="7" spans="1:7" ht="60.95" customHeight="1" x14ac:dyDescent="0.2">
      <c r="A7" s="2446" t="s">
        <v>2131</v>
      </c>
      <c r="B7" s="2446"/>
      <c r="C7" s="2446"/>
      <c r="D7" s="2446"/>
      <c r="E7" s="2446"/>
      <c r="F7" s="2446"/>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c r="F10" s="1254" t="s">
        <v>99</v>
      </c>
      <c r="G10" s="1252"/>
    </row>
    <row r="11" spans="1:7" ht="12" customHeight="1" x14ac:dyDescent="0.2">
      <c r="A11" s="1253"/>
      <c r="B11" s="1254"/>
      <c r="C11" s="1804"/>
      <c r="D11" s="1254"/>
      <c r="E11" s="1804"/>
      <c r="F11" s="1254"/>
      <c r="G11" s="1252"/>
    </row>
    <row r="12" spans="1:7" x14ac:dyDescent="0.2">
      <c r="A12" s="1250" t="s">
        <v>1581</v>
      </c>
      <c r="C12" s="1234"/>
      <c r="D12" s="1234"/>
    </row>
    <row r="13" spans="1:7" ht="15" customHeight="1" x14ac:dyDescent="0.2">
      <c r="A13" s="2446" t="s">
        <v>2059</v>
      </c>
      <c r="B13" s="2446"/>
      <c r="C13" s="2446"/>
      <c r="D13" s="2446"/>
      <c r="E13" s="2446"/>
      <c r="F13" s="2446"/>
    </row>
    <row r="14" spans="1:7" ht="9.75" customHeight="1" x14ac:dyDescent="0.2">
      <c r="C14" s="1234"/>
      <c r="D14" s="1234"/>
    </row>
    <row r="15" spans="1:7" ht="13.5" customHeight="1" x14ac:dyDescent="0.2">
      <c r="C15" s="1749" t="s">
        <v>1268</v>
      </c>
      <c r="D15" s="2444" t="s">
        <v>1267</v>
      </c>
      <c r="E15" s="2444"/>
      <c r="F15" s="2444"/>
    </row>
    <row r="16" spans="1:7" ht="13.5" customHeight="1" x14ac:dyDescent="0.2">
      <c r="A16" s="1256"/>
      <c r="B16" s="1250" t="s">
        <v>1266</v>
      </c>
      <c r="C16" s="1749" t="s">
        <v>1265</v>
      </c>
      <c r="D16" s="2445" t="s">
        <v>1582</v>
      </c>
      <c r="E16" s="2445"/>
      <c r="F16" s="2445"/>
    </row>
    <row r="17" spans="1:6" ht="20.45" customHeight="1" x14ac:dyDescent="0.2">
      <c r="A17" s="1257"/>
      <c r="B17" s="1258"/>
      <c r="C17" s="1259"/>
      <c r="D17" s="2439"/>
      <c r="E17" s="2439"/>
      <c r="F17" s="2439"/>
    </row>
    <row r="18" spans="1:6" ht="20.65" customHeight="1" x14ac:dyDescent="0.2">
      <c r="A18" s="1257"/>
      <c r="B18" s="1258"/>
      <c r="C18" s="1259"/>
      <c r="D18" s="2439"/>
      <c r="E18" s="2439"/>
      <c r="F18" s="2439"/>
    </row>
    <row r="19" spans="1:6" ht="20.65" customHeight="1" x14ac:dyDescent="0.2">
      <c r="A19" s="1257"/>
      <c r="B19" s="1258"/>
      <c r="C19" s="1259"/>
      <c r="D19" s="2439"/>
      <c r="E19" s="2439"/>
      <c r="F19" s="2439"/>
    </row>
    <row r="20" spans="1:6" ht="20.65" customHeight="1" x14ac:dyDescent="0.2">
      <c r="A20" s="1257"/>
      <c r="B20" s="1258"/>
      <c r="C20" s="1259"/>
      <c r="D20" s="2439"/>
      <c r="E20" s="2439"/>
      <c r="F20" s="2439"/>
    </row>
    <row r="21" spans="1:6" ht="20.65" customHeight="1" x14ac:dyDescent="0.2">
      <c r="A21" s="1257"/>
      <c r="B21" s="1258"/>
      <c r="C21" s="1259"/>
      <c r="D21" s="2439"/>
      <c r="E21" s="2439"/>
      <c r="F21" s="2439"/>
    </row>
    <row r="22" spans="1:6" ht="20.65" customHeight="1" x14ac:dyDescent="0.2">
      <c r="A22" s="1257"/>
      <c r="B22" s="1258"/>
      <c r="C22" s="1259"/>
      <c r="D22" s="2439"/>
      <c r="E22" s="2439"/>
      <c r="F22" s="2439"/>
    </row>
    <row r="23" spans="1:6" ht="20.65" customHeight="1" x14ac:dyDescent="0.2">
      <c r="A23" s="1257"/>
      <c r="B23" s="1258"/>
      <c r="C23" s="1259"/>
      <c r="D23" s="2439"/>
      <c r="E23" s="2439"/>
      <c r="F23" s="2439"/>
    </row>
    <row r="24" spans="1:6" ht="20.65" customHeight="1" x14ac:dyDescent="0.2">
      <c r="A24" s="1257"/>
      <c r="B24" s="1258"/>
      <c r="C24" s="1259"/>
      <c r="D24" s="2439"/>
      <c r="E24" s="2439"/>
      <c r="F24" s="2439"/>
    </row>
    <row r="25" spans="1:6" ht="20.65" customHeight="1" x14ac:dyDescent="0.2">
      <c r="A25" s="1257"/>
      <c r="B25" s="1258"/>
      <c r="C25" s="1259"/>
      <c r="D25" s="2439"/>
      <c r="E25" s="2439"/>
      <c r="F25" s="2439"/>
    </row>
    <row r="26" spans="1:6" ht="20.65" customHeight="1" x14ac:dyDescent="0.2">
      <c r="A26" s="1257"/>
      <c r="B26" s="1258"/>
      <c r="C26" s="1259"/>
      <c r="D26" s="2439"/>
      <c r="E26" s="2439"/>
      <c r="F26" s="2439"/>
    </row>
    <row r="27" spans="1:6" ht="20.65" customHeight="1" x14ac:dyDescent="0.2">
      <c r="A27" s="1257"/>
      <c r="B27" s="1258"/>
      <c r="C27" s="1259"/>
      <c r="D27" s="2439"/>
      <c r="E27" s="2439"/>
      <c r="F27" s="2439"/>
    </row>
    <row r="28" spans="1:6" ht="20.65" customHeight="1" x14ac:dyDescent="0.2">
      <c r="A28" s="1257"/>
      <c r="B28" s="1258"/>
      <c r="C28" s="1259"/>
      <c r="D28" s="2439"/>
      <c r="E28" s="2439"/>
      <c r="F28" s="2439"/>
    </row>
    <row r="29" spans="1:6" ht="20.65" customHeight="1" x14ac:dyDescent="0.2">
      <c r="A29" s="1257"/>
      <c r="B29" s="1258"/>
      <c r="C29" s="1259"/>
      <c r="D29" s="2439"/>
      <c r="E29" s="2439"/>
      <c r="F29" s="2439"/>
    </row>
    <row r="30" spans="1:6" ht="12" customHeight="1" x14ac:dyDescent="0.2">
      <c r="A30" s="328"/>
      <c r="B30" s="328"/>
      <c r="C30" s="1372"/>
      <c r="D30" s="1805"/>
      <c r="E30" s="1260"/>
    </row>
    <row r="31" spans="1:6" ht="12" customHeight="1" x14ac:dyDescent="0.2">
      <c r="A31" s="1261" t="s">
        <v>1547</v>
      </c>
      <c r="B31" s="328"/>
      <c r="C31" s="1372"/>
      <c r="D31" s="1805"/>
      <c r="E31" s="1260"/>
    </row>
    <row r="32" spans="1:6" ht="30" customHeight="1" x14ac:dyDescent="0.2">
      <c r="A32" s="2440" t="s">
        <v>1724</v>
      </c>
      <c r="B32" s="2440"/>
      <c r="C32" s="2440"/>
      <c r="D32" s="2440"/>
      <c r="E32" s="2440"/>
      <c r="F32" s="2440"/>
    </row>
    <row r="33" spans="1:6" ht="13.5" customHeight="1" x14ac:dyDescent="0.2">
      <c r="A33" s="328" t="s">
        <v>1432</v>
      </c>
      <c r="B33" s="328"/>
      <c r="C33" s="1262">
        <v>0</v>
      </c>
      <c r="D33" s="1805"/>
      <c r="E33" s="1260"/>
    </row>
    <row r="34" spans="1:6" ht="13.5" customHeight="1" x14ac:dyDescent="0.2">
      <c r="A34" s="328" t="s">
        <v>1813</v>
      </c>
      <c r="B34" s="328"/>
      <c r="C34" s="1263">
        <v>0</v>
      </c>
      <c r="D34" s="1805" t="s">
        <v>1583</v>
      </c>
      <c r="E34" s="2441">
        <f>+C33+C34</f>
        <v>0</v>
      </c>
      <c r="F34" s="2442"/>
    </row>
    <row r="35" spans="1:6" ht="12" customHeight="1" x14ac:dyDescent="0.2">
      <c r="A35" s="328"/>
      <c r="B35" s="328"/>
      <c r="C35" s="1806"/>
      <c r="D35" s="1805"/>
      <c r="E35" s="1264"/>
      <c r="F35" s="1265"/>
    </row>
    <row r="36" spans="1:6" ht="13.5" customHeight="1" x14ac:dyDescent="0.2">
      <c r="A36" s="1261" t="s">
        <v>1548</v>
      </c>
      <c r="B36" s="328"/>
      <c r="C36" s="1372"/>
      <c r="D36" s="1805"/>
      <c r="E36" s="1260"/>
    </row>
    <row r="37" spans="1:6" ht="14.25" customHeight="1" x14ac:dyDescent="0.2">
      <c r="A37" s="328" t="s">
        <v>1482</v>
      </c>
      <c r="B37" s="328"/>
      <c r="C37" s="1807"/>
      <c r="D37" s="1805"/>
      <c r="E37" s="1260"/>
    </row>
    <row r="38" spans="1:6" ht="14.25" customHeight="1" x14ac:dyDescent="0.2">
      <c r="A38" s="328"/>
      <c r="B38" s="328" t="s">
        <v>1433</v>
      </c>
      <c r="C38" s="1266">
        <v>0</v>
      </c>
      <c r="D38" s="1805"/>
      <c r="E38" s="1260"/>
    </row>
    <row r="39" spans="1:6" ht="14.25" customHeight="1" x14ac:dyDescent="0.2">
      <c r="A39" s="328"/>
      <c r="B39" s="328" t="s">
        <v>1434</v>
      </c>
      <c r="C39" s="1266">
        <v>0</v>
      </c>
      <c r="D39" s="1805"/>
      <c r="E39" s="1260"/>
    </row>
    <row r="40" spans="1:6" ht="14.25" customHeight="1" x14ac:dyDescent="0.2">
      <c r="A40" s="328"/>
      <c r="B40" s="328" t="s">
        <v>1435</v>
      </c>
      <c r="C40" s="1266">
        <v>0</v>
      </c>
      <c r="D40" s="1805"/>
      <c r="E40" s="1260"/>
    </row>
    <row r="41" spans="1:6" ht="14.25" customHeight="1" x14ac:dyDescent="0.2">
      <c r="A41" s="328"/>
      <c r="B41" s="328" t="s">
        <v>1436</v>
      </c>
      <c r="C41" s="1266">
        <v>0</v>
      </c>
      <c r="D41" s="1805"/>
      <c r="E41" s="1260"/>
    </row>
    <row r="42" spans="1:6" ht="14.25" customHeight="1" x14ac:dyDescent="0.2">
      <c r="A42" s="328" t="s">
        <v>1437</v>
      </c>
      <c r="B42" s="328"/>
      <c r="C42" s="1803">
        <v>0</v>
      </c>
      <c r="D42" s="1805"/>
      <c r="E42" s="1260"/>
    </row>
    <row r="43" spans="1:6" ht="14.25" customHeight="1" x14ac:dyDescent="0.2">
      <c r="A43" s="328" t="s">
        <v>1438</v>
      </c>
      <c r="B43" s="328"/>
      <c r="C43" s="1267" t="s">
        <v>383</v>
      </c>
      <c r="D43" s="1805"/>
      <c r="E43" s="1260"/>
    </row>
    <row r="44" spans="1:6" ht="14.25" customHeight="1" x14ac:dyDescent="0.2">
      <c r="A44" s="328"/>
      <c r="B44" s="328"/>
      <c r="C44" s="1807" t="s">
        <v>1439</v>
      </c>
      <c r="D44" s="1805"/>
      <c r="E44" s="1260"/>
    </row>
    <row r="45" spans="1:6" ht="13.5" customHeight="1" x14ac:dyDescent="0.2">
      <c r="B45" s="322"/>
      <c r="C45" s="1268"/>
      <c r="D45" s="1268"/>
    </row>
    <row r="46" spans="1:6" x14ac:dyDescent="0.2">
      <c r="A46" s="1269" t="s">
        <v>1725</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43" t="s">
        <v>1584</v>
      </c>
      <c r="C49" s="2443"/>
      <c r="D49" s="2443"/>
      <c r="E49" s="1306"/>
    </row>
    <row r="50" spans="1:5" s="1274" customFormat="1" ht="3.75" customHeight="1" x14ac:dyDescent="0.2">
      <c r="A50" s="1273"/>
      <c r="B50" s="1748"/>
      <c r="C50" s="1748"/>
      <c r="D50" s="1748"/>
      <c r="E50" s="1306"/>
    </row>
    <row r="51" spans="1:5" s="1274" customFormat="1" ht="20.25" customHeight="1" x14ac:dyDescent="0.2">
      <c r="A51" s="1275">
        <v>6</v>
      </c>
      <c r="B51" s="2438" t="s">
        <v>1549</v>
      </c>
      <c r="C51" s="2438"/>
      <c r="D51" s="2438"/>
    </row>
    <row r="52" spans="1:5" ht="14.25" customHeight="1" x14ac:dyDescent="0.2">
      <c r="A52" s="1275"/>
      <c r="B52" s="2438"/>
      <c r="C52" s="2438"/>
      <c r="D52" s="243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J63"/>
  <sheetViews>
    <sheetView showGridLines="0" zoomScale="110" zoomScaleNormal="110" workbookViewId="0">
      <selection activeCell="A4" sqref="A4:L4"/>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Salt Creek SD 48</v>
      </c>
      <c r="C1" s="2463"/>
      <c r="D1" s="2463"/>
      <c r="E1" s="2463"/>
      <c r="F1" s="2463"/>
      <c r="G1" s="2463"/>
      <c r="H1" s="2463"/>
      <c r="I1" s="2463"/>
      <c r="J1" s="1316"/>
    </row>
    <row r="2" spans="2:10" s="317" customFormat="1" ht="12.75" customHeight="1" x14ac:dyDescent="0.2">
      <c r="B2" s="2464">
        <f>'Single Audit Cover'!E7</f>
        <v>19022048002</v>
      </c>
      <c r="C2" s="2465"/>
      <c r="D2" s="2465"/>
      <c r="E2" s="2465"/>
      <c r="F2" s="2465"/>
      <c r="G2" s="2465"/>
      <c r="H2" s="2465"/>
      <c r="I2" s="2465"/>
      <c r="J2" s="1316"/>
    </row>
    <row r="3" spans="2:10" s="317" customFormat="1" ht="12.75" customHeight="1" x14ac:dyDescent="0.2">
      <c r="B3" s="2466" t="s">
        <v>1283</v>
      </c>
      <c r="C3" s="2467"/>
      <c r="D3" s="2467"/>
      <c r="E3" s="2467"/>
      <c r="F3" s="2467"/>
      <c r="G3" s="2467"/>
      <c r="H3" s="2467"/>
      <c r="I3" s="2467"/>
      <c r="J3" s="131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66" t="s">
        <v>1282</v>
      </c>
      <c r="C7" s="2467"/>
      <c r="D7" s="2467"/>
      <c r="E7" s="2467"/>
      <c r="F7" s="2467"/>
      <c r="G7" s="2467"/>
      <c r="H7" s="2467"/>
      <c r="I7" s="2467"/>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68"/>
      <c r="D11" s="2468"/>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69"/>
      <c r="E29" s="2469"/>
      <c r="F29" s="2469"/>
      <c r="G29" s="2469"/>
      <c r="H29" s="2469"/>
      <c r="I29" s="2469"/>
    </row>
    <row r="30" spans="2:9" s="317" customFormat="1" x14ac:dyDescent="0.2">
      <c r="B30" s="1279"/>
      <c r="C30" s="322"/>
      <c r="D30" s="1327" t="s">
        <v>1729</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c r="F33" s="1274" t="s">
        <v>885</v>
      </c>
      <c r="G33" s="1332"/>
      <c r="H33" s="1274" t="s">
        <v>99</v>
      </c>
    </row>
    <row r="35" spans="2:9" x14ac:dyDescent="0.2">
      <c r="B35" s="1335" t="s">
        <v>1730</v>
      </c>
      <c r="C35" s="1336"/>
      <c r="D35" s="1241"/>
    </row>
    <row r="36" spans="2:9" ht="6" customHeight="1" x14ac:dyDescent="0.2">
      <c r="B36" s="1335"/>
      <c r="C36" s="1336"/>
      <c r="D36" s="1241"/>
    </row>
    <row r="37" spans="2:9" ht="17.25" customHeight="1" x14ac:dyDescent="0.2">
      <c r="B37" s="1337" t="s">
        <v>1731</v>
      </c>
      <c r="C37" s="2470" t="s">
        <v>1732</v>
      </c>
      <c r="D37" s="2471"/>
      <c r="E37" s="2471"/>
      <c r="F37" s="2472"/>
      <c r="G37" s="2470" t="s">
        <v>1586</v>
      </c>
      <c r="H37" s="2471"/>
      <c r="I37" s="2472"/>
    </row>
    <row r="38" spans="2:9" ht="16.5" customHeight="1" x14ac:dyDescent="0.2">
      <c r="B38" s="1338"/>
      <c r="C38" s="2458"/>
      <c r="D38" s="2459"/>
      <c r="E38" s="2459"/>
      <c r="F38" s="2460"/>
      <c r="G38" s="2473"/>
      <c r="H38" s="2474"/>
      <c r="I38" s="2475"/>
    </row>
    <row r="39" spans="2:9" ht="16.5" customHeight="1" x14ac:dyDescent="0.2">
      <c r="B39" s="1338"/>
      <c r="C39" s="2458"/>
      <c r="D39" s="2459"/>
      <c r="E39" s="2459"/>
      <c r="F39" s="2460"/>
      <c r="G39" s="2461"/>
      <c r="H39" s="2461"/>
      <c r="I39" s="2461"/>
    </row>
    <row r="40" spans="2:9" ht="16.5" customHeight="1" x14ac:dyDescent="0.2">
      <c r="B40" s="1338"/>
      <c r="C40" s="2458"/>
      <c r="D40" s="2459"/>
      <c r="E40" s="2459"/>
      <c r="F40" s="2460"/>
      <c r="G40" s="2461"/>
      <c r="H40" s="2461"/>
      <c r="I40" s="2461"/>
    </row>
    <row r="41" spans="2:9" ht="16.5" customHeight="1" x14ac:dyDescent="0.2">
      <c r="B41" s="1338"/>
      <c r="C41" s="2458"/>
      <c r="D41" s="2459"/>
      <c r="E41" s="2459"/>
      <c r="F41" s="2460"/>
      <c r="G41" s="2461"/>
      <c r="H41" s="2461"/>
      <c r="I41" s="2461"/>
    </row>
    <row r="42" spans="2:9" ht="16.5" customHeight="1" x14ac:dyDescent="0.2">
      <c r="B42" s="1338"/>
      <c r="C42" s="2458"/>
      <c r="D42" s="2459"/>
      <c r="E42" s="2459"/>
      <c r="F42" s="2460"/>
      <c r="G42" s="2461"/>
      <c r="H42" s="2461"/>
      <c r="I42" s="2461"/>
    </row>
    <row r="43" spans="2:9" ht="16.5" customHeight="1" x14ac:dyDescent="0.2">
      <c r="B43" s="1338"/>
      <c r="C43" s="2451" t="s">
        <v>1587</v>
      </c>
      <c r="D43" s="2452"/>
      <c r="E43" s="2452"/>
      <c r="F43" s="2453"/>
      <c r="G43" s="2454">
        <f>SUM(G38:I42)</f>
        <v>0</v>
      </c>
      <c r="H43" s="2454"/>
      <c r="I43" s="2454"/>
    </row>
    <row r="44" spans="2:9" ht="12.75" customHeight="1" x14ac:dyDescent="0.2"/>
    <row r="45" spans="2:9" ht="12.75" customHeight="1" x14ac:dyDescent="0.2">
      <c r="B45" s="1329" t="s">
        <v>1815</v>
      </c>
      <c r="D45" s="2455">
        <v>0</v>
      </c>
      <c r="E45" s="2456"/>
    </row>
    <row r="46" spans="2:9" ht="5.25" customHeight="1" x14ac:dyDescent="0.2">
      <c r="B46" s="1339"/>
      <c r="D46" s="1340"/>
      <c r="E46" s="1341"/>
    </row>
    <row r="47" spans="2:9" ht="12.75" customHeight="1" x14ac:dyDescent="0.2">
      <c r="B47" s="1274" t="s">
        <v>1588</v>
      </c>
      <c r="C47" s="1274"/>
      <c r="D47" s="1342" t="e">
        <f>+G43/D45</f>
        <v>#DIV/0!</v>
      </c>
      <c r="E47" s="1343"/>
      <c r="F47" s="1344"/>
      <c r="I47" s="1345"/>
    </row>
    <row r="48" spans="2:9" ht="9.9499999999999993" customHeight="1" x14ac:dyDescent="0.2"/>
    <row r="49" spans="1:9" x14ac:dyDescent="0.2">
      <c r="B49" s="1279" t="s">
        <v>1271</v>
      </c>
      <c r="C49" s="1256"/>
      <c r="D49" s="1256"/>
      <c r="E49" s="2457">
        <v>750000</v>
      </c>
      <c r="F49" s="2457"/>
      <c r="G49" s="2457"/>
      <c r="H49" s="322"/>
    </row>
    <row r="51" spans="1:9" ht="13.5" customHeight="1" x14ac:dyDescent="0.2">
      <c r="B51" s="1279" t="s">
        <v>1270</v>
      </c>
      <c r="C51" s="1256"/>
      <c r="E51" s="1332"/>
      <c r="F51" s="1274" t="s">
        <v>885</v>
      </c>
      <c r="G51" s="1332"/>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1733</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1734</v>
      </c>
      <c r="C58" s="1358"/>
      <c r="D58" s="1358"/>
    </row>
    <row r="59" spans="1:9" s="1355" customFormat="1" ht="3.95" customHeight="1" x14ac:dyDescent="0.2">
      <c r="A59" s="1352"/>
      <c r="B59" s="1357"/>
      <c r="C59" s="1358"/>
      <c r="D59" s="1358"/>
    </row>
    <row r="60" spans="1:9" s="1355" customFormat="1" ht="13.5" customHeight="1" x14ac:dyDescent="0.2">
      <c r="A60" s="1352"/>
      <c r="B60" s="1357" t="s">
        <v>1735</v>
      </c>
      <c r="C60" s="1358"/>
      <c r="D60" s="1358"/>
    </row>
    <row r="61" spans="1:9" s="1355" customFormat="1" ht="3.95" customHeight="1" x14ac:dyDescent="0.2">
      <c r="A61" s="1352"/>
      <c r="B61" s="1357"/>
      <c r="C61" s="1358"/>
      <c r="D61" s="1358"/>
    </row>
    <row r="62" spans="1:9" s="1355" customFormat="1" ht="12.75" customHeight="1" x14ac:dyDescent="0.2">
      <c r="A62" s="1352"/>
      <c r="B62" s="1357" t="s">
        <v>1736</v>
      </c>
      <c r="C62" s="1358"/>
      <c r="D62" s="1358"/>
    </row>
    <row r="63" spans="1:9" s="1355" customFormat="1" ht="13.5" customHeight="1" x14ac:dyDescent="0.2">
      <c r="A63" s="1352"/>
      <c r="B63" s="1356" t="s">
        <v>1591</v>
      </c>
      <c r="C63" s="1352"/>
      <c r="D63" s="135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pageSetUpPr fitToPage="1"/>
  </sheetPr>
  <dimension ref="A1:M41"/>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Salt Creek SD 48</v>
      </c>
      <c r="C1" s="2462"/>
      <c r="D1" s="2462"/>
      <c r="E1" s="2462"/>
      <c r="F1" s="2462"/>
      <c r="G1" s="2462"/>
      <c r="H1" s="2462"/>
      <c r="I1" s="2462"/>
      <c r="J1" s="2462"/>
      <c r="K1" s="2462"/>
      <c r="L1" s="1281"/>
      <c r="M1" s="1281"/>
    </row>
    <row r="2" spans="1:13" ht="12" customHeight="1" x14ac:dyDescent="0.2">
      <c r="B2" s="2464">
        <f>'Single Audit Cover'!E7</f>
        <v>19022048002</v>
      </c>
      <c r="C2" s="2464"/>
      <c r="D2" s="2464"/>
      <c r="E2" s="2464"/>
      <c r="F2" s="2464"/>
      <c r="G2" s="2464"/>
      <c r="H2" s="2464"/>
      <c r="I2" s="2464"/>
      <c r="J2" s="2464"/>
      <c r="K2" s="2464"/>
      <c r="L2" s="1282"/>
      <c r="M2" s="1283"/>
    </row>
    <row r="3" spans="1:13" ht="10.35" customHeight="1" x14ac:dyDescent="0.2">
      <c r="B3" s="2478" t="s">
        <v>1283</v>
      </c>
      <c r="C3" s="2478"/>
      <c r="D3" s="2478"/>
      <c r="E3" s="2478"/>
      <c r="F3" s="2478"/>
      <c r="G3" s="2478"/>
      <c r="H3" s="2478"/>
      <c r="I3" s="2478"/>
      <c r="J3" s="2478"/>
      <c r="K3" s="2478"/>
      <c r="L3" s="1284"/>
      <c r="M3" s="128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9" t="s">
        <v>1294</v>
      </c>
      <c r="C7" s="2479"/>
      <c r="D7" s="2480"/>
      <c r="E7" s="2480"/>
      <c r="F7" s="2480"/>
      <c r="G7" s="2480"/>
      <c r="H7" s="2480"/>
      <c r="I7" s="2480"/>
      <c r="J7" s="2480"/>
      <c r="K7" s="2480"/>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2060</v>
      </c>
      <c r="C10" s="1292" t="s">
        <v>1965</v>
      </c>
      <c r="D10" s="1293" t="s">
        <v>2134</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77"/>
      <c r="C14" s="2477"/>
      <c r="D14" s="2477"/>
      <c r="E14" s="2477"/>
      <c r="F14" s="2477"/>
      <c r="G14" s="2477"/>
      <c r="H14" s="2477"/>
      <c r="I14" s="2477"/>
      <c r="J14" s="2477"/>
      <c r="K14" s="2477"/>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77"/>
      <c r="C17" s="2477"/>
      <c r="D17" s="2477"/>
      <c r="E17" s="2477"/>
      <c r="F17" s="2477"/>
      <c r="G17" s="2477"/>
      <c r="H17" s="2477"/>
      <c r="I17" s="2477"/>
      <c r="J17" s="2477"/>
      <c r="K17" s="2477"/>
      <c r="L17" s="1288"/>
    </row>
    <row r="18" spans="2:12" ht="4.5" customHeight="1" x14ac:dyDescent="0.2">
      <c r="B18" s="1305"/>
      <c r="C18" s="1305"/>
      <c r="L18" s="1288"/>
    </row>
    <row r="19" spans="2:12" s="1256" customFormat="1" ht="13.5" customHeight="1" x14ac:dyDescent="0.2">
      <c r="B19" s="1300" t="s">
        <v>2061</v>
      </c>
      <c r="C19" s="1300"/>
      <c r="D19" s="1301"/>
      <c r="E19" s="1301"/>
      <c r="F19" s="1301"/>
      <c r="G19" s="1302"/>
      <c r="H19" s="1301"/>
      <c r="I19" s="1302"/>
      <c r="J19" s="1301"/>
      <c r="K19" s="1301"/>
      <c r="L19" s="1303"/>
    </row>
    <row r="20" spans="2:12" ht="45.75" customHeight="1" x14ac:dyDescent="0.2">
      <c r="B20" s="2481"/>
      <c r="C20" s="2481"/>
      <c r="D20" s="2477"/>
      <c r="E20" s="2477"/>
      <c r="F20" s="2477"/>
      <c r="G20" s="2477"/>
      <c r="H20" s="2477"/>
      <c r="I20" s="2477"/>
      <c r="J20" s="2477"/>
      <c r="K20" s="2477"/>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77"/>
      <c r="C23" s="2477"/>
      <c r="D23" s="2477"/>
      <c r="E23" s="2477"/>
      <c r="F23" s="2477"/>
      <c r="G23" s="2477"/>
      <c r="H23" s="2477"/>
      <c r="I23" s="2477"/>
      <c r="J23" s="2477"/>
      <c r="K23" s="2477"/>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77"/>
      <c r="C26" s="2477"/>
      <c r="D26" s="2477"/>
      <c r="E26" s="2477"/>
      <c r="F26" s="2477"/>
      <c r="G26" s="2477"/>
      <c r="H26" s="2477"/>
      <c r="I26" s="2477"/>
      <c r="J26" s="2477"/>
      <c r="K26" s="2477"/>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76"/>
      <c r="C29" s="2476"/>
      <c r="D29" s="2477"/>
      <c r="E29" s="2477"/>
      <c r="F29" s="2477"/>
      <c r="G29" s="2477"/>
      <c r="H29" s="2477"/>
      <c r="I29" s="2477"/>
      <c r="J29" s="2477"/>
      <c r="K29" s="2477"/>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2062</v>
      </c>
      <c r="C31" s="1310"/>
      <c r="D31" s="1285"/>
      <c r="E31" s="1286"/>
      <c r="F31" s="1286"/>
      <c r="G31" s="1287"/>
      <c r="H31" s="1286"/>
      <c r="I31" s="1287"/>
      <c r="J31" s="1286"/>
      <c r="K31" s="1286"/>
      <c r="L31" s="1288"/>
    </row>
    <row r="32" spans="2:12" s="322" customFormat="1" ht="44.25" customHeight="1" x14ac:dyDescent="0.2">
      <c r="B32" s="2476"/>
      <c r="C32" s="2476"/>
      <c r="D32" s="2477"/>
      <c r="E32" s="2477"/>
      <c r="F32" s="2477"/>
      <c r="G32" s="2477"/>
      <c r="H32" s="2477"/>
      <c r="I32" s="2477"/>
      <c r="J32" s="2477"/>
      <c r="K32" s="2477"/>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1726</v>
      </c>
      <c r="C35" s="1313"/>
      <c r="D35" s="322"/>
      <c r="E35" s="322"/>
      <c r="F35" s="322"/>
      <c r="L35" s="1288"/>
    </row>
    <row r="36" spans="1:13" ht="9.6" customHeight="1" x14ac:dyDescent="0.2">
      <c r="B36" s="1274" t="s">
        <v>1816</v>
      </c>
      <c r="C36" s="1274"/>
      <c r="L36" s="1288"/>
    </row>
    <row r="37" spans="1:13" ht="9.6" customHeight="1" x14ac:dyDescent="0.2">
      <c r="B37" s="1274" t="s">
        <v>1817</v>
      </c>
      <c r="C37" s="1274"/>
    </row>
    <row r="38" spans="1:13" ht="11.85" customHeight="1" x14ac:dyDescent="0.2">
      <c r="B38" s="1314" t="s">
        <v>1727</v>
      </c>
      <c r="C38" s="1314"/>
    </row>
    <row r="39" spans="1:13" ht="9.6" customHeight="1" x14ac:dyDescent="0.2">
      <c r="B39" s="1274" t="s">
        <v>1284</v>
      </c>
      <c r="C39" s="1274"/>
      <c r="M39" s="1315"/>
    </row>
    <row r="40" spans="1:13" ht="12.6" customHeight="1" x14ac:dyDescent="0.2">
      <c r="B40" s="1314" t="s">
        <v>1728</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L48"/>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Salt Creek SD 48</v>
      </c>
      <c r="C1" s="2485"/>
      <c r="D1" s="2485"/>
      <c r="E1" s="2485"/>
      <c r="F1" s="2485"/>
      <c r="G1" s="2485"/>
      <c r="H1" s="2485"/>
      <c r="I1" s="2485"/>
      <c r="J1" s="2485"/>
      <c r="K1" s="2485"/>
      <c r="L1" s="1359"/>
    </row>
    <row r="2" spans="1:12" ht="12.75" customHeight="1" x14ac:dyDescent="0.2">
      <c r="B2" s="2486">
        <f>'Single Audit Cover'!E7</f>
        <v>19022048002</v>
      </c>
      <c r="C2" s="2486"/>
      <c r="D2" s="2486"/>
      <c r="E2" s="2486"/>
      <c r="F2" s="2486"/>
      <c r="G2" s="2486"/>
      <c r="H2" s="2486"/>
      <c r="I2" s="2486"/>
      <c r="J2" s="2486"/>
      <c r="K2" s="2486"/>
      <c r="L2" s="1360"/>
    </row>
    <row r="3" spans="1:12" ht="12.75" customHeight="1" x14ac:dyDescent="0.2">
      <c r="B3" s="2478" t="s">
        <v>1283</v>
      </c>
      <c r="C3" s="2478"/>
      <c r="D3" s="2478"/>
      <c r="E3" s="2478"/>
      <c r="F3" s="2478"/>
      <c r="G3" s="2478"/>
      <c r="H3" s="2478"/>
      <c r="I3" s="2478"/>
      <c r="J3" s="2478"/>
      <c r="K3" s="2478"/>
      <c r="L3" s="1284"/>
    </row>
    <row r="4" spans="1:12" ht="12.75" customHeight="1" x14ac:dyDescent="0.2">
      <c r="B4" s="2478" t="str">
        <f>'Single Audit Cover'!A4</f>
        <v>Year Ending June 30, 2019</v>
      </c>
      <c r="C4" s="2478"/>
      <c r="D4" s="2478"/>
      <c r="E4" s="2478"/>
      <c r="F4" s="2478"/>
      <c r="G4" s="2478"/>
      <c r="H4" s="2478"/>
      <c r="I4" s="2478"/>
      <c r="J4" s="2478"/>
      <c r="K4" s="2478"/>
      <c r="L4" s="1284"/>
    </row>
    <row r="5" spans="1:12" ht="5.25" customHeight="1" x14ac:dyDescent="0.2">
      <c r="B5" s="1234" t="s">
        <v>1169</v>
      </c>
      <c r="C5" s="1234"/>
      <c r="L5" s="322"/>
    </row>
    <row r="6" spans="1:12" ht="30.75" customHeight="1" x14ac:dyDescent="0.2">
      <c r="A6" s="322"/>
      <c r="B6" s="2487" t="s">
        <v>1306</v>
      </c>
      <c r="C6" s="2487"/>
      <c r="D6" s="2487"/>
      <c r="E6" s="2487"/>
      <c r="F6" s="2487"/>
      <c r="G6" s="2487"/>
      <c r="H6" s="2487"/>
      <c r="I6" s="2487"/>
      <c r="J6" s="2487"/>
      <c r="K6" s="2487"/>
      <c r="L6" s="322"/>
    </row>
    <row r="7" spans="1:12" ht="4.5" customHeight="1" x14ac:dyDescent="0.2">
      <c r="B7" s="1286"/>
      <c r="C7" s="1286"/>
      <c r="D7" s="1286"/>
      <c r="E7" s="1286"/>
      <c r="F7" s="1286"/>
      <c r="G7" s="1287"/>
      <c r="H7" s="1286"/>
      <c r="I7" s="1287"/>
      <c r="J7" s="1286"/>
      <c r="K7" s="1286"/>
      <c r="L7" s="322"/>
    </row>
    <row r="8" spans="1:12" ht="13.5" customHeight="1" x14ac:dyDescent="0.2">
      <c r="B8" s="1294" t="s">
        <v>2063</v>
      </c>
      <c r="C8" s="1361" t="s">
        <v>1965</v>
      </c>
      <c r="D8" s="1362" t="s">
        <v>2134</v>
      </c>
      <c r="E8" s="322"/>
      <c r="F8" s="1291" t="s">
        <v>1293</v>
      </c>
      <c r="G8" s="1363"/>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69"/>
      <c r="G12" s="2469"/>
      <c r="H12" s="2469"/>
      <c r="I12" s="2469"/>
      <c r="J12" s="2469"/>
      <c r="K12" s="2469"/>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82"/>
      <c r="E14" s="2482"/>
      <c r="F14" s="2482"/>
      <c r="H14" s="1369" t="s">
        <v>1301</v>
      </c>
      <c r="I14" s="2483"/>
      <c r="J14" s="2483"/>
      <c r="K14" s="2483"/>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83"/>
      <c r="E16" s="2483"/>
      <c r="F16" s="2483"/>
      <c r="G16" s="2483"/>
      <c r="H16" s="2483"/>
      <c r="I16" s="2483"/>
      <c r="J16" s="2483"/>
      <c r="K16" s="2483"/>
      <c r="L16" s="322"/>
    </row>
    <row r="17" spans="2:12" ht="13.5" customHeight="1" x14ac:dyDescent="0.2">
      <c r="B17" s="1294" t="s">
        <v>1299</v>
      </c>
      <c r="C17" s="1294"/>
      <c r="D17" s="2484"/>
      <c r="E17" s="2484"/>
      <c r="F17" s="2484"/>
      <c r="G17" s="2484"/>
      <c r="H17" s="2484"/>
      <c r="I17" s="2484"/>
      <c r="J17" s="2484"/>
      <c r="K17" s="2484"/>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5.25" customHeight="1" x14ac:dyDescent="0.2">
      <c r="B20" s="2477"/>
      <c r="C20" s="2477"/>
      <c r="D20" s="2477"/>
      <c r="E20" s="2477"/>
      <c r="F20" s="2477"/>
      <c r="G20" s="2477"/>
      <c r="H20" s="2477"/>
      <c r="I20" s="2477"/>
      <c r="J20" s="2477"/>
      <c r="K20" s="2477"/>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2064</v>
      </c>
      <c r="C22" s="1371"/>
      <c r="D22" s="322"/>
      <c r="E22" s="322"/>
      <c r="F22" s="322"/>
      <c r="G22" s="1290"/>
      <c r="H22" s="322"/>
      <c r="I22" s="129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2065</v>
      </c>
      <c r="C25" s="1371"/>
      <c r="D25" s="322"/>
      <c r="E25" s="322"/>
      <c r="F25" s="322"/>
      <c r="G25" s="1290"/>
      <c r="H25" s="322"/>
      <c r="I25" s="129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2066</v>
      </c>
      <c r="C28" s="1371"/>
      <c r="D28" s="322"/>
      <c r="E28" s="322"/>
      <c r="F28" s="322"/>
      <c r="G28" s="1290"/>
      <c r="H28" s="322"/>
      <c r="I28" s="129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1737</v>
      </c>
      <c r="C40" s="1310"/>
      <c r="D40" s="1285"/>
      <c r="E40" s="1286"/>
      <c r="F40" s="1286"/>
      <c r="G40" s="1287"/>
      <c r="H40" s="1286"/>
      <c r="I40" s="1287"/>
      <c r="J40" s="1286"/>
      <c r="K40" s="128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1738</v>
      </c>
      <c r="C44" s="1313"/>
      <c r="D44" s="322"/>
      <c r="E44" s="322"/>
      <c r="F44" s="322"/>
    </row>
    <row r="45" spans="2:12" ht="10.5" customHeight="1" x14ac:dyDescent="0.2">
      <c r="B45" s="1314" t="s">
        <v>1739</v>
      </c>
      <c r="C45" s="1314"/>
      <c r="G45" s="317"/>
      <c r="I45" s="317"/>
    </row>
    <row r="46" spans="2:12" ht="11.1" customHeight="1" x14ac:dyDescent="0.2">
      <c r="B46" s="1314" t="s">
        <v>1740</v>
      </c>
      <c r="C46" s="1314"/>
      <c r="G46" s="317"/>
      <c r="I46" s="317"/>
    </row>
    <row r="47" spans="2:12" ht="11.1" customHeight="1" x14ac:dyDescent="0.2">
      <c r="B47" s="1314" t="s">
        <v>1741</v>
      </c>
      <c r="C47" s="1314"/>
      <c r="G47" s="317"/>
      <c r="I47" s="317"/>
    </row>
    <row r="48" spans="2:12" ht="11.1" customHeight="1" x14ac:dyDescent="0.2">
      <c r="B48" s="1314" t="s">
        <v>1742</v>
      </c>
      <c r="C48" s="131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5" top="0.68" bottom="0.47" header="0.26" footer="0.31"/>
  <pageSetup scale="98"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zoomScale="110" zoomScaleNormal="110" workbookViewId="0">
      <selection activeCell="A4" sqref="A4:L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62" t="str">
        <f>'Single Audit Cover'!A7</f>
        <v>Salt Creek SD 48</v>
      </c>
      <c r="C1" s="2462"/>
      <c r="D1" s="2462"/>
      <c r="E1" s="1379"/>
    </row>
    <row r="2" spans="2:5" s="1256" customFormat="1" ht="12.75" customHeight="1" x14ac:dyDescent="0.2">
      <c r="B2" s="2464">
        <f>'Single Audit Cover'!E7</f>
        <v>19022048002</v>
      </c>
      <c r="C2" s="2464"/>
      <c r="D2" s="2464"/>
      <c r="E2" s="1380"/>
    </row>
    <row r="3" spans="2:5" ht="12.75" customHeight="1" x14ac:dyDescent="0.2">
      <c r="B3" s="2478" t="s">
        <v>2067</v>
      </c>
      <c r="C3" s="2478"/>
      <c r="D3" s="2478"/>
      <c r="E3" s="1248"/>
    </row>
    <row r="4" spans="2:5" s="1256" customFormat="1" ht="12.75" customHeight="1" x14ac:dyDescent="0.2">
      <c r="B4" s="2488" t="str">
        <f>'Single Audit Cover'!A4</f>
        <v>Year Ending June 30, 2019</v>
      </c>
      <c r="C4" s="2488"/>
      <c r="D4" s="2488"/>
      <c r="E4" s="1381"/>
    </row>
    <row r="5" spans="2:5" s="1256" customFormat="1" ht="40.15" customHeight="1" x14ac:dyDescent="0.2">
      <c r="B5" s="1382" t="s">
        <v>1743</v>
      </c>
      <c r="C5" s="328"/>
      <c r="D5" s="328"/>
      <c r="E5" s="328"/>
    </row>
    <row r="6" spans="2:5" s="1256" customFormat="1" ht="13.5" customHeight="1" x14ac:dyDescent="0.2">
      <c r="B6" s="1383" t="s">
        <v>1313</v>
      </c>
      <c r="C6" s="1383" t="s">
        <v>1312</v>
      </c>
      <c r="D6" s="1383" t="s">
        <v>2068</v>
      </c>
    </row>
    <row r="7" spans="2:5" ht="13.5" customHeight="1" x14ac:dyDescent="0.2">
      <c r="B7" s="1384"/>
      <c r="C7" s="324"/>
      <c r="D7" s="324"/>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1744</v>
      </c>
    </row>
    <row r="46" spans="2:5" ht="12.2" customHeight="1" x14ac:dyDescent="0.2">
      <c r="B46" s="1393" t="s">
        <v>1745</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http://schemas.microsoft.com/sharepoint/v3"/>
    <ds:schemaRef ds:uri="http://schemas.microsoft.com/office/infopath/2007/PartnerControls"/>
    <ds:schemaRef ds:uri="http://purl.org/dc/dcmitype/"/>
    <ds:schemaRef ds:uri="http://schemas.microsoft.com/office/2006/documentManagement/types"/>
    <ds:schemaRef ds:uri="6ce3111e-7420-4802-b50a-75d4e9a0b980"/>
    <ds:schemaRef ds:uri="http://schemas.openxmlformats.org/package/2006/metadata/core-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2019-10-16T12:25:46Z</cp:lastPrinted>
  <dcterms:created xsi:type="dcterms:W3CDTF">2003-10-29T19:06:34Z</dcterms:created>
  <dcterms:modified xsi:type="dcterms:W3CDTF">2019-11-22T19:11:56Z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fc4882fe-8f9c-458c-813a-90b17fb4fba5</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101.00</vt:lpwstr>
  </property>
</Properties>
</file>