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6AFF08F-B0FA-4B42-B98A-F6C8F7C28BC2}" xr6:coauthVersionLast="36" xr6:coauthVersionMax="36" xr10:uidLastSave="{00000000-0000-0000-0000-000000000000}"/>
  <bookViews>
    <workbookView xWindow="-120" yWindow="-120" windowWidth="24240" windowHeight="13140" tabRatio="92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D27" i="108"/>
  <c r="E27" i="108"/>
  <c r="F27" i="108"/>
  <c r="G27" i="108"/>
  <c r="F28" i="108"/>
  <c r="F31" i="108"/>
  <c r="F36"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L13" i="11" l="1"/>
  <c r="B2060" i="106" s="1"/>
  <c r="D2060" i="106" s="1"/>
  <c r="H365" i="29"/>
  <c r="B7242" i="106" s="1"/>
  <c r="D7242" i="106" s="1"/>
  <c r="I129" i="29"/>
  <c r="B7037" i="106" s="1"/>
  <c r="D7037" i="106" s="1"/>
  <c r="G210" i="29"/>
  <c r="H342" i="29"/>
  <c r="H76" i="4"/>
  <c r="B3298" i="106" s="1"/>
  <c r="D3298" i="106" s="1"/>
  <c r="J22" i="37"/>
  <c r="D24" i="37"/>
  <c r="B4270" i="106" s="1"/>
  <c r="D4270" i="106" s="1"/>
  <c r="D6103" i="106"/>
  <c r="H28" i="118"/>
  <c r="L367" i="29"/>
  <c r="J210" i="29"/>
  <c r="B7072" i="106" s="1"/>
  <c r="D7072" i="106" s="1"/>
  <c r="C352" i="29"/>
  <c r="I210" i="29"/>
  <c r="B7071" i="106" s="1"/>
  <c r="D7071" i="106" s="1"/>
  <c r="K76" i="4"/>
  <c r="B3586" i="106" s="1"/>
  <c r="D3586" i="106" s="1"/>
  <c r="F77" i="4"/>
  <c r="B3255" i="106" s="1"/>
  <c r="D3255" i="106" s="1"/>
  <c r="G15" i="145"/>
  <c r="J352" i="29"/>
  <c r="J367" i="29" s="1"/>
  <c r="B7245" i="106" s="1"/>
  <c r="D7245" i="106" s="1"/>
  <c r="C342" i="29"/>
  <c r="B7216" i="106" s="1"/>
  <c r="D7216" i="106" s="1"/>
  <c r="J129" i="29"/>
  <c r="B7038" i="106" s="1"/>
  <c r="D7038" i="106" s="1"/>
  <c r="J41" i="3"/>
  <c r="B6216" i="106" s="1"/>
  <c r="D6216" i="106" s="1"/>
  <c r="B1868" i="106"/>
  <c r="D1868" i="106" s="1"/>
  <c r="J77" i="4"/>
  <c r="B6262" i="106" s="1"/>
  <c r="D6262" i="106" s="1"/>
  <c r="L5" i="11"/>
  <c r="B2056" i="106" s="1"/>
  <c r="D2056" i="106" s="1"/>
  <c r="D69" i="36"/>
  <c r="K184" i="29"/>
  <c r="F13" i="4" s="1"/>
  <c r="B2596" i="106" s="1"/>
  <c r="D2596" i="106" s="1"/>
  <c r="H44" i="4"/>
  <c r="F19" i="7"/>
  <c r="B1807" i="106" s="1"/>
  <c r="D1807" i="106" s="1"/>
  <c r="F71" i="34"/>
  <c r="E29" i="108"/>
  <c r="C129" i="29"/>
  <c r="C151" i="29" s="1"/>
  <c r="B1226" i="106" s="1"/>
  <c r="D1226" i="106" s="1"/>
  <c r="B6995" i="106"/>
  <c r="D6995" i="106" s="1"/>
  <c r="G30"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65" i="106" l="1"/>
  <c r="D1365" i="106" s="1"/>
  <c r="F65" i="34"/>
  <c r="K77" i="4"/>
  <c r="B3587" i="106" s="1"/>
  <c r="D3587" i="106" s="1"/>
  <c r="D51" i="36"/>
  <c r="K28" i="118"/>
  <c r="O27" i="118" s="1"/>
  <c r="O29" i="118" s="1"/>
  <c r="D7254" i="106"/>
  <c r="D7256" i="106"/>
  <c r="D7251" i="106"/>
  <c r="N23" i="3"/>
  <c r="B284" i="106" s="1"/>
  <c r="D284" i="106" s="1"/>
  <c r="B1225" i="106"/>
  <c r="D1225" i="106" s="1"/>
  <c r="L114" i="29"/>
  <c r="F41" i="108"/>
  <c r="G43" i="108" s="1"/>
  <c r="L16" i="11"/>
  <c r="B2061" i="106" s="1"/>
  <c r="D2061" i="106" s="1"/>
  <c r="K342" i="29"/>
  <c r="F13" i="34"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J20" i="4"/>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<sst xmlns="http://schemas.openxmlformats.org/spreadsheetml/2006/main" count="5089" uniqueCount="2110">
  <si>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</si>
  <si>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</si>
  <si>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</si>
  <si>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</si>
  <si>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</si>
  <si>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</si>
  <si>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</si>
  <si>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</si>
  <si>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</si>
  <si>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</si>
  <si>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</si>
  <si>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</si>
  <si>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</si>
  <si>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</si>
  <si>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</si>
  <si>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</si>
  <si>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</si>
  <si>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</si>
  <si>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</si>
  <si>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</si>
  <si>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</si>
  <si>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</si>
  <si>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</si>
  <si>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</si>
  <si>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</si>
  <si>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</si>
  <si>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</si>
  <si>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</si>
  <si>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</si>
  <si>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</si>
  <si>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</si>
  <si>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</si>
  <si>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</si>
  <si>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</si>
  <si>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</si>
  <si>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</si>
  <si>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</si>
  <si>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</si>
  <si>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</si>
  <si>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</si>
  <si>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</si>
  <si>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</si>
  <si>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</si>
  <si>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</si>
  <si>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</si>
  <si>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</si>
  <si>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</si>
  <si>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</si>
  <si>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</si>
  <si>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</si>
  <si>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</si>
  <si>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</si>
  <si>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</si>
  <si>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</si>
  <si>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</si>
  <si>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</si>
  <si>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</si>
  <si>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</si>
  <si>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</si>
  <si>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</si>
  <si>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</si>
  <si>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</si>
  <si>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</si>
  <si>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</si>
  <si>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</si>
  <si>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</si>
  <si>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</si>
  <si>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</si>
  <si>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</si>
  <si>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</si>
  <si>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</si>
  <si>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</si>
  <si>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</si>
  <si>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</si>
  <si>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</si>
  <si>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</si>
  <si>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</si>
  <si>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</si>
  <si>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</si>
  <si>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</si>
  <si>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</si>
  <si>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</si>
  <si>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</si>
  <si>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</si>
  <si>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</si>
  <si>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</si>
  <si>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</si>
  <si>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</si>
  <si>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</si>
  <si>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</si>
  <si>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</si>
  <si>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</si>
  <si>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</si>
  <si>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</si>
  <si>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</si>
  <si>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</si>
  <si>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</si>
  <si>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</si>
  <si>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</si>
  <si>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</si>
  <si>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</si>
  <si>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</si>
  <si>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</si>
  <si>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</si>
  <si>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</si>
  <si>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</si>
  <si>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</si>
  <si>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</si>
  <si>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</si>
  <si>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</si>
  <si>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</si>
  <si>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</si>
  <si>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</si>
  <si>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</si>
  <si>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</si>
  <si>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</si>
  <si>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</si>
  <si>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</si>
  <si>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</si>
  <si>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</si>
  <si>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</si>
  <si>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</si>
  <si>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</si>
  <si>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</si>
  <si>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</si>
  <si>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</si>
  <si>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</si>
  <si>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</si>
  <si>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</si>
  <si>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</si>
  <si>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</si>
  <si>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</si>
  <si>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</si>
  <si>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</si>
  <si>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</si>
  <si>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</si>
  <si>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</si>
  <si>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</si>
  <si>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</si>
  <si>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</si>
  <si>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</si>
  <si>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</si>
  <si>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</si>
  <si>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</si>
  <si>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</si>
  <si>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</si>
  <si>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</si>
  <si>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</si>
  <si>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</si>
  <si>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</si>
  <si>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</si>
  <si>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</si>
  <si>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</si>
  <si>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</si>
  <si>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</si>
  <si>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</si>
  <si>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</si>
  <si>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</si>
  <si>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</si>
  <si>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</si>
  <si>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</si>
  <si>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</si>
  <si>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</si>
  <si>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</si>
  <si>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</si>
  <si>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</si>
  <si>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</si>
  <si>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</si>
  <si>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</si>
  <si>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</si>
  <si>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</si>
  <si>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</si>
  <si>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</si>
  <si>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</si>
  <si>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</si>
  <si>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</si>
  <si>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</si>
  <si>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</si>
  <si>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</si>
  <si>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</si>
  <si>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</si>
  <si>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</si>
  <si>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</si>
  <si>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</si>
  <si>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</si>
  <si>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</si>
  <si>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</si>
  <si>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</si>
  <si>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</si>
  <si>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</si>
  <si>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</si>
  <si>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</si>
  <si>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</si>
  <si>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</si>
  <si>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</si>
  <si>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</si>
  <si>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</si>
  <si>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</si>
  <si>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</si>
  <si>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</si>
  <si>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</si>
  <si>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</si>
  <si>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</si>
  <si>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</si>
  <si>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</si>
  <si>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</si>
  <si>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</si>
  <si>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</si>
  <si>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</si>
  <si>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</si>
  <si>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</si>
  <si>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</si>
  <si>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</si>
  <si>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</si>
  <si>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</si>
  <si>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</si>
  <si>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</si>
  <si>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</si>
  <si>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</si>
  <si>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</si>
  <si>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</si>
  <si>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</si>
  <si>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</si>
  <si>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</si>
  <si>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</si>
  <si>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</si>
  <si>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</si>
  <si>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</si>
  <si>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</si>
  <si>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</si>
  <si>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</si>
  <si>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</si>
  <si>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</si>
  <si>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</si>
  <si>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</si>
  <si>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</si>
  <si>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</si>
  <si>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</si>
  <si>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</si>
  <si>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</si>
  <si>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</si>
  <si>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</si>
  <si>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</si>
  <si>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</si>
  <si>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</si>
  <si>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</si>
  <si>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</si>
  <si>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</si>
  <si>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</si>
  <si>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</si>
  <si>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</si>
  <si>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</si>
  <si>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</si>
  <si>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</si>
  <si>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</si>
  <si>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</si>
  <si>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</si>
  <si>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</si>
  <si>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</si>
  <si>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</si>
  <si>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</si>
  <si>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</si>
  <si>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</si>
  <si>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</si>
  <si>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</si>
  <si>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</si>
  <si>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</si>
  <si>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</si>
  <si>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</si>
  <si>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</si>
  <si>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</si>
  <si>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</si>
  <si>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</si>
  <si>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</si>
  <si>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</si>
  <si>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</si>
  <si>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</si>
  <si>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</si>
  <si>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</si>
  <si>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</si>
  <si>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</si>
  <si>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</si>
  <si>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</si>
  <si>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</si>
  <si>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</si>
  <si>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</si>
  <si>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</si>
  <si>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</si>
  <si>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</si>
  <si>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</si>
  <si>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</si>
  <si>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</si>
  <si>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</si>
  <si>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</si>
  <si>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</si>
  <si>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</si>
  <si>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</si>
  <si>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</si>
  <si>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</si>
  <si>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</si>
  <si>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</si>
  <si>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</si>
  <si>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</si>
  <si>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</si>
  <si>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</si>
  <si>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</si>
  <si>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</si>
  <si>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</si>
  <si>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</si>
  <si>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</si>
  <si>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</si>
  <si>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</si>
  <si>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</si>
  <si>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</si>
  <si>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</si>
  <si>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</si>
  <si>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</si>
  <si>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</si>
  <si>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</si>
  <si>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</si>
  <si>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</si>
  <si>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</si>
  <si>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</si>
  <si>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</si>
  <si>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</si>
  <si>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</si>
  <si>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</si>
  <si>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</si>
  <si>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</si>
  <si>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</si>
  <si>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</si>
  <si>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</si>
  <si>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</si>
  <si>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</si>
  <si>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</si>
  <si>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</si>
  <si>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</si>
  <si>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</si>
  <si>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</si>
  <si>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</si>
  <si>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</si>
  <si>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</si>
  <si>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</si>
  <si>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</si>
  <si>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</si>
  <si>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</si>
  <si>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</si>
  <si>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</si>
  <si>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</si>
  <si>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</si>
  <si>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</si>
  <si>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</si>
  <si>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</si>
  <si>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</si>
  <si>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</si>
  <si>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</si>
  <si>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</si>
  <si>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</si>
  <si>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</si>
  <si>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</si>
  <si>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</si>
  <si>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</si>
  <si>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</si>
  <si>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</si>
  <si>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</si>
  <si>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</si>
  <si>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</si>
  <si>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</si>
  <si>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</si>
  <si>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</si>
  <si>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</si>
  <si>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</si>
  <si>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</si>
  <si>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</si>
  <si>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</si>
  <si>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</si>
  <si>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</si>
  <si>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</si>
  <si>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</si>
  <si>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</si>
  <si>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</si>
  <si>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</si>
  <si>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</si>
  <si>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</si>
  <si>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</si>
  <si>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</si>
  <si>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</si>
  <si>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</si>
  <si>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</si>
  <si>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</si>
  <si>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</si>
  <si>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</si>
  <si>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</si>
  <si>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</si>
  <si>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</si>
  <si>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</si>
  <si>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</si>
  <si>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</si>
  <si>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</si>
  <si>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</si>
  <si>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</si>
  <si>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</si>
  <si>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</si>
  <si>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</si>
  <si>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</si>
  <si>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</si>
  <si>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</si>
  <si>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</si>
  <si>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</si>
  <si>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</si>
  <si>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</si>
  <si>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</si>
  <si>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</si>
  <si>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</si>
  <si>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</si>
  <si>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</si>
  <si>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</si>
  <si>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</si>
  <si>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</si>
  <si>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</si>
  <si>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</si>
  <si>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</si>
  <si>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</si>
  <si>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</si>
  <si>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</si>
  <si>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</si>
  <si>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</si>
  <si>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</si>
  <si>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</si>
  <si>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</si>
  <si>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</si>
  <si>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</si>
  <si>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</si>
  <si>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</si>
  <si>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</si>
  <si>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</si>
  <si>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</si>
  <si>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</si>
  <si>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</si>
  <si>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</si>
  <si>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</si>
  <si>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</si>
  <si>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</si>
  <si>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</si>
  <si>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</si>
  <si>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</si>
  <si>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</si>
  <si>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</si>
  <si>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</si>
  <si>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</si>
  <si>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</si>
  <si>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</si>
  <si>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</si>
  <si>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</si>
  <si>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</si>
  <si>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</si>
  <si>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</si>
  <si>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</si>
  <si>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</si>
  <si>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</si>
  <si>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</si>
  <si>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</si>
  <si>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</si>
  <si>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</si>
  <si>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</si>
  <si>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</si>
  <si>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</si>
  <si>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</si>
  <si>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</si>
  <si>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</si>
  <si>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</si>
  <si>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</si>
  <si>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</si>
  <si>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</si>
  <si>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</si>
  <si>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</si>
  <si>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</si>
  <si>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</si>
  <si>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</si>
  <si>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</si>
  <si>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</si>
  <si>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</si>
  <si>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</si>
  <si>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</si>
  <si>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</si>
  <si>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</si>
  <si>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</si>
  <si>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</si>
  <si>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</si>
  <si>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</si>
  <si>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</si>
  <si>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</si>
  <si>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</si>
  <si>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</si>
  <si>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</si>
  <si>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</si>
  <si>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</si>
  <si>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</si>
  <si>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</si>
  <si>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</si>
  <si>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</si>
  <si>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</si>
  <si>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</si>
  <si>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</si>
  <si>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</si>
  <si>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</si>
  <si>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</si>
  <si>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</si>
  <si>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</si>
  <si>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</si>
  <si>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</si>
  <si>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</si>
  <si>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</si>
  <si>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</si>
  <si>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</si>
  <si>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</si>
  <si>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</si>
  <si>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</si>
  <si>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</si>
  <si>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</si>
  <si>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</si>
  <si>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</si>
  <si>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</si>
  <si>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</si>
  <si>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</si>
  <si>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</si>
  <si>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</si>
  <si>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</si>
  <si>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</si>
  <si>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</si>
  <si>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</si>
  <si>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</si>
  <si>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</si>
  <si>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</si>
  <si>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</si>
  <si>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</si>
  <si>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</si>
  <si>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</si>
  <si>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</si>
  <si>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</si>
  <si>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</si>
  <si>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</si>
  <si>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</si>
  <si>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</si>
  <si>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</si>
  <si>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</si>
  <si>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</si>
  <si>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</si>
  <si>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</si>
  <si>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</si>
  <si>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</si>
  <si>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</si>
  <si>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</si>
  <si>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</si>
  <si>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</si>
  <si>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</si>
  <si>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</si>
  <si>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</si>
  <si>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</si>
  <si>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</si>
  <si>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</si>
  <si>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</si>
  <si>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</si>
  <si>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</si>
  <si>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</si>
  <si>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</si>
  <si>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</si>
  <si>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</si>
  <si>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</si>
  <si>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</si>
  <si>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</si>
  <si>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</si>
  <si>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</si>
  <si>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</si>
  <si>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</si>
  <si>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</si>
  <si>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</si>
  <si>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</si>
  <si>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</si>
  <si>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</si>
  <si>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</si>
  <si>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</si>
  <si>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</si>
  <si>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</si>
  <si>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</si>
  <si>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</si>
  <si>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</si>
  <si>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</si>
  <si>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</si>
  <si>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</si>
  <si>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</si>
  <si>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</si>
  <si>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</si>
  <si>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</si>
  <si>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</si>
  <si>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</si>
  <si>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</si>
  <si>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</si>
  <si>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</si>
  <si>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</si>
  <si>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</si>
  <si>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</si>
  <si>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</si>
  <si>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</si>
  <si>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</si>
  <si>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</si>
  <si>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</si>
  <si>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</si>
  <si>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</si>
  <si>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</si>
  <si>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</si>
  <si>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</si>
  <si>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</si>
  <si>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</si>
  <si>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</si>
  <si>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</si>
  <si>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</si>
  <si>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</si>
  <si>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</si>
  <si>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</si>
  <si>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</si>
  <si>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</si>
  <si>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</si>
  <si>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</si>
  <si>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</si>
  <si>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</si>
  <si>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</si>
  <si>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</si>
  <si>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</si>
  <si>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</si>
  <si>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</si>
  <si>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</si>
  <si>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</si>
  <si>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</si>
  <si>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</si>
  <si>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</si>
  <si>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</si>
  <si>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</si>
  <si>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</si>
  <si>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</si>
  <si>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</si>
  <si>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</si>
  <si>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</si>
  <si>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</si>
  <si>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</si>
  <si>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</si>
  <si>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</si>
  <si>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</si>
  <si>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</si>
  <si>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</si>
  <si>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</si>
  <si>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</si>
  <si>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</si>
  <si>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</si>
  <si>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</si>
  <si>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</si>
  <si>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</si>
  <si>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</si>
  <si>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</si>
  <si>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</si>
  <si>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</si>
  <si>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</si>
  <si>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</si>
  <si>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</si>
  <si>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</si>
  <si>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</si>
  <si>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</si>
  <si>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</si>
  <si>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</si>
  <si>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</si>
  <si>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</si>
  <si>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</si>
  <si>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</si>
  <si>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</si>
  <si>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</si>
  <si>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</si>
  <si>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</si>
  <si>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</si>
  <si>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</si>
  <si>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</si>
  <si>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</si>
  <si>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</si>
  <si>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</si>
  <si>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</si>
  <si>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</si>
  <si>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</si>
  <si>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</si>
  <si>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</si>
  <si>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</si>
  <si>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</si>
  <si>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</si>
  <si>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</si>
  <si>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</si>
  <si>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</si>
  <si>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</si>
  <si>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</si>
  <si>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</si>
  <si>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</si>
  <si>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</si>
  <si>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</si>
  <si>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</si>
  <si>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</si>
  <si>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</si>
  <si>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</si>
  <si>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</si>
  <si>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</si>
  <si>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</si>
  <si>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</si>
  <si>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</si>
  <si>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</si>
  <si>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</si>
  <si>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</si>
  <si>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</si>
  <si>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</si>
  <si>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</si>
  <si>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</si>
  <si>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</si>
  <si>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</si>
  <si>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</si>
  <si>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</si>
  <si>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</si>
  <si>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</si>
  <si>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</si>
  <si>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</si>
  <si>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</si>
  <si>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</si>
  <si>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</si>
  <si>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</si>
  <si>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</si>
  <si>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</si>
  <si>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</si>
  <si>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</si>
  <si>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</si>
  <si>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</si>
  <si>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</si>
  <si>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</si>
  <si>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</si>
  <si>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</si>
  <si>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</si>
  <si>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</si>
  <si>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</si>
  <si>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</si>
  <si>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</si>
  <si>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</si>
  <si>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</si>
  <si>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</si>
  <si>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</si>
  <si>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</si>
  <si>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</si>
  <si>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</si>
  <si>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</si>
  <si>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</si>
  <si>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</si>
  <si>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</si>
  <si>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</si>
  <si>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</si>
  <si>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</si>
  <si>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</si>
  <si>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</si>
  <si>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</si>
  <si>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</si>
  <si>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</si>
  <si>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</si>
  <si>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</si>
  <si>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</si>
  <si>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</si>
  <si>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</si>
  <si>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</si>
  <si>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</si>
  <si>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</si>
  <si>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</si>
  <si>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</si>
  <si>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</si>
  <si>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</si>
  <si>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</si>
  <si>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</si>
  <si>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</si>
  <si>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</si>
  <si>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</si>
  <si>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</si>
  <si>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</si>
  <si>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</si>
  <si>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</si>
  <si>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</si>
  <si>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</si>
  <si>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</si>
  <si>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</si>
  <si>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</si>
  <si>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</si>
  <si>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</si>
  <si>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</si>
  <si>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</si>
  <si>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</si>
  <si>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</si>
  <si>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</si>
  <si>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</si>
  <si>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</si>
  <si>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</si>
  <si>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</si>
  <si>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</si>
  <si>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</si>
  <si>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</si>
  <si>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</si>
  <si>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</si>
  <si>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</si>
  <si>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</si>
  <si>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</si>
  <si>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</si>
  <si>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</si>
  <si>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</si>
  <si>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</si>
  <si>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</si>
  <si>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</si>
  <si>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</si>
  <si>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</si>
  <si>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</si>
  <si>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</si>
  <si>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</si>
  <si>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</si>
  <si>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</si>
  <si>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</si>
  <si>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</si>
  <si>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</si>
  <si>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</si>
  <si>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</si>
  <si>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</si>
  <si>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</si>
  <si>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</si>
  <si>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</si>
  <si>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</si>
  <si>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</si>
  <si>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</si>
  <si>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</si>
  <si>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</si>
  <si>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</si>
  <si>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</si>
  <si>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</si>
  <si>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</si>
  <si>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</si>
  <si>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</si>
  <si>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</si>
  <si>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</si>
  <si>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</si>
  <si>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</si>
  <si>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</si>
  <si>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</si>
  <si>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</si>
  <si>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</si>
  <si>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</si>
  <si>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</si>
  <si>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</si>
  <si>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</si>
  <si>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</si>
  <si>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</si>
  <si>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</si>
  <si>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</si>
  <si>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</si>
  <si>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</si>
  <si>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</si>
  <si>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</si>
  <si>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</si>
  <si>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</si>
  <si>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</si>
  <si>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</si>
  <si>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</si>
  <si>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</si>
  <si>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</si>
  <si>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</si>
  <si>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</si>
  <si>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</si>
  <si>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</si>
  <si>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</si>
  <si>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</si>
  <si>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</si>
  <si>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</si>
  <si>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</si>
  <si>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</si>
  <si>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</si>
  <si>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</si>
  <si>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</si>
  <si>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</si>
  <si>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</si>
  <si>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</si>
  <si>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</si>
  <si>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</si>
  <si>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</si>
  <si>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</si>
  <si>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</si>
  <si>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</si>
  <si>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</si>
  <si>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</si>
  <si>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</si>
  <si>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</si>
  <si>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</si>
  <si>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</si>
  <si>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</si>
  <si>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</si>
  <si>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</si>
  <si>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</si>
  <si>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</si>
  <si>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</si>
  <si>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</si>
  <si>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</si>
  <si>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</si>
  <si>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</si>
  <si>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</si>
  <si>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</si>
  <si>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</si>
  <si>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</si>
  <si>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</si>
  <si>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</si>
  <si>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</si>
  <si>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</si>
  <si>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</si>
  <si>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</si>
  <si>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</si>
  <si>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</si>
  <si>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</si>
  <si>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</si>
  <si>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</si>
  <si>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</si>
  <si>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</si>
  <si>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</si>
  <si>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</si>
  <si>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</si>
  <si>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</si>
  <si>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</si>
  <si>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</si>
  <si>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</si>
  <si>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</si>
  <si>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</si>
  <si>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</si>
  <si>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</si>
  <si>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</si>
  <si>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</si>
  <si>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</si>
  <si>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</si>
  <si>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</si>
  <si>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</si>
  <si>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</si>
  <si>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</si>
  <si>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</si>
  <si>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</si>
  <si>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</si>
  <si>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</si>
  <si>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</si>
  <si>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</si>
  <si>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</si>
  <si>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</si>
  <si>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</si>
  <si>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</si>
  <si>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</si>
  <si>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</si>
  <si>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</si>
  <si>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</si>
  <si>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</si>
  <si>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</si>
  <si>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</si>
  <si>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</si>
  <si>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</si>
  <si>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</si>
  <si>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</si>
  <si>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</si>
  <si>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</si>
  <si>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</si>
  <si>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</si>
  <si>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</si>
  <si>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</si>
  <si>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</si>
  <si>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</si>
  <si>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</si>
  <si>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</si>
  <si>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</si>
  <si>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</si>
  <si>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</si>
  <si>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</si>
  <si>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</si>
  <si>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</si>
  <si>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</si>
  <si>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</si>
  <si>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</si>
  <si>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</si>
  <si>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</si>
  <si>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</si>
  <si>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</si>
  <si>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</si>
  <si>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</si>
  <si>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</si>
  <si>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</si>
  <si>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</si>
  <si>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</si>
  <si>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</si>
  <si>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</si>
  <si>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</si>
  <si>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</si>
  <si>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</si>
  <si>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</si>
  <si>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</si>
  <si>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</si>
  <si>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</si>
  <si>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</si>
  <si>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</si>
  <si>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</si>
  <si>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</si>
  <si>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</si>
  <si>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</si>
  <si>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</si>
  <si>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</si>
  <si>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</si>
  <si>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</si>
  <si>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</si>
  <si>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</si>
  <si>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</si>
  <si>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</si>
  <si>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</si>
  <si>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</si>
  <si>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</si>
  <si>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</si>
  <si>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</si>
  <si>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</si>
  <si>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</si>
  <si>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</si>
  <si>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</si>
  <si>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</si>
  <si>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</si>
  <si>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</si>
  <si>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</si>
  <si>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</si>
  <si>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</si>
  <si>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</si>
  <si>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</si>
  <si>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</si>
  <si>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</si>
  <si>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</si>
  <si>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</si>
  <si>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</si>
  <si>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</si>
  <si>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</si>
  <si>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</si>
  <si>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</si>
  <si>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</si>
  <si>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</si>
  <si>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</si>
  <si>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</si>
  <si>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</si>
  <si>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</si>
  <si>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</si>
  <si>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</si>
  <si>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</si>
  <si>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</si>
  <si>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</si>
  <si>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</si>
  <si>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</si>
  <si>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</si>
  <si>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</si>
  <si>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</si>
  <si>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</si>
  <si>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</si>
  <si>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</si>
  <si>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</si>
  <si>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</si>
  <si>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</si>
  <si>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</si>
  <si>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</si>
  <si>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</si>
  <si>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</si>
  <si>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</si>
  <si>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</si>
  <si>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</si>
  <si>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</si>
  <si>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</si>
  <si>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</si>
  <si>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</si>
  <si>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</si>
  <si>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</si>
  <si>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</si>
  <si>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</si>
  <si>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</si>
  <si>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</si>
  <si>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</si>
  <si>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</si>
  <si>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</si>
  <si>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</si>
  <si>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</si>
  <si>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</si>
  <si>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</si>
  <si>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</si>
  <si>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</si>
  <si>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</si>
  <si>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</si>
  <si>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</si>
  <si>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</si>
  <si>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</si>
  <si>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</si>
  <si>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</si>
  <si>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</si>
  <si>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</si>
  <si>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</si>
  <si>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</si>
  <si>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</si>
  <si>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</si>
  <si>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</si>
  <si>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</si>
  <si>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</si>
  <si>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</si>
  <si>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</si>
  <si>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</si>
  <si>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</si>
  <si>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</si>
  <si>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</si>
  <si>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</si>
  <si>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</si>
  <si>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</si>
  <si>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</si>
  <si>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</si>
  <si>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</si>
  <si>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</si>
  <si>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</si>
  <si>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</si>
  <si>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</si>
  <si>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</si>
  <si>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</si>
  <si>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</si>
  <si>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</si>
  <si>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</si>
  <si>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</si>
  <si>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</si>
  <si>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</si>
  <si>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</si>
  <si>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</si>
  <si>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</si>
  <si>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</si>
  <si>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</si>
  <si>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</si>
  <si>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</si>
  <si>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</si>
  <si>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</si>
  <si>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</si>
  <si>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</si>
  <si>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</si>
  <si>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</si>
  <si>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</si>
  <si>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</si>
  <si>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</si>
  <si>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</si>
  <si>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</si>
  <si>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</si>
  <si>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</si>
  <si>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</si>
  <si>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</si>
  <si>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</si>
  <si>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</si>
  <si>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</si>
  <si>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</si>
  <si>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</si>
  <si>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</si>
  <si>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</si>
  <si>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</si>
  <si>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</si>
  <si>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</si>
  <si>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</si>
  <si>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</si>
  <si>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</si>
  <si>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</si>
  <si>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</si>
  <si>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</si>
  <si>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</si>
  <si>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</si>
  <si>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</si>
  <si>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</si>
  <si>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</si>
  <si>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</si>
  <si>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</si>
  <si>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</si>
  <si>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</si>
  <si>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</si>
  <si>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</si>
  <si>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</si>
  <si>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</si>
  <si>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</si>
  <si>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</si>
  <si>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</si>
  <si>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</si>
  <si>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</si>
  <si>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</si>
  <si>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</si>
  <si>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</si>
  <si>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</si>
  <si>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</si>
  <si>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</si>
  <si>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</si>
  <si>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</si>
  <si>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</si>
  <si>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</si>
  <si>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</si>
  <si>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</si>
  <si>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</si>
  <si>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</si>
  <si>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</si>
  <si>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</si>
  <si>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</si>
  <si>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</si>
  <si>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</si>
  <si>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</si>
  <si>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</si>
  <si>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</si>
  <si>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</si>
  <si>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</si>
  <si>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</si>
  <si>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</si>
  <si>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</si>
  <si>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</si>
  <si>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</si>
  <si>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</si>
  <si>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</si>
  <si>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</si>
  <si>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</si>
  <si>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</si>
  <si>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</si>
  <si>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</si>
  <si>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</si>
  <si>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</si>
  <si>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</si>
  <si>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</si>
  <si>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</si>
  <si>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</si>
  <si>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</si>
  <si>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</si>
  <si>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</si>
  <si>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</si>
  <si>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</si>
  <si>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</si>
  <si>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</si>
  <si>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</si>
  <si>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</si>
  <si>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</si>
  <si>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</si>
  <si>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</si>
  <si>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</si>
  <si>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</si>
  <si>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</si>
  <si>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</si>
  <si>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</si>
  <si>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</si>
  <si>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</si>
  <si>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</si>
  <si>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</si>
  <si>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</si>
  <si>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</si>
  <si>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</si>
  <si>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</si>
  <si>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</si>
  <si>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</si>
  <si>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</si>
  <si>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</si>
  <si>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</si>
  <si>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</si>
  <si>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</si>
  <si>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</si>
  <si>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</si>
  <si>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</si>
  <si>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</si>
  <si>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</si>
  <si>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</si>
  <si>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</si>
  <si>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</si>
  <si>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</si>
  <si>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</si>
  <si>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</si>
  <si>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</si>
  <si>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</si>
  <si>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</si>
  <si>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</si>
  <si>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</si>
  <si>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</si>
  <si>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</si>
  <si>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</si>
  <si>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</si>
  <si>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</si>
  <si>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</si>
  <si>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</si>
  <si>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</si>
  <si>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</si>
  <si>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</si>
  <si>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</si>
  <si>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</si>
  <si>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</si>
  <si>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</si>
  <si>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</si>
  <si>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</si>
  <si>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</si>
  <si>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</si>
  <si>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</si>
  <si>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</si>
  <si>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</si>
  <si>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</si>
  <si>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</si>
  <si>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</si>
  <si>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</si>
  <si>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</si>
  <si>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</si>
  <si>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</si>
  <si>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</si>
  <si>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</si>
  <si>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</si>
  <si>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</si>
  <si>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</si>
  <si>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</si>
  <si>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</si>
  <si>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</si>
  <si>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</si>
  <si>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</si>
  <si>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</si>
  <si>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</si>
  <si>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</si>
  <si>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</si>
  <si>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</si>
  <si>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</si>
  <si>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</si>
  <si>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</si>
  <si>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</si>
  <si>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</si>
  <si>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</si>
  <si>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</si>
  <si>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</si>
  <si>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</si>
  <si>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</si>
  <si>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</si>
  <si>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</si>
  <si>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</si>
  <si>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</si>
  <si>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</si>
  <si>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</si>
  <si>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</si>
  <si>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</si>
  <si>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</si>
  <si>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</si>
  <si>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</si>
  <si>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</si>
  <si>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</si>
  <si>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</si>
  <si>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</si>
  <si>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</si>
  <si>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</si>
  <si>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</si>
  <si>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</si>
  <si>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</si>
  <si>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</si>
  <si>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</si>
  <si>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</si>
  <si>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</si>
  <si>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</si>
  <si>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</si>
  <si>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</si>
  <si>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</si>
  <si>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</si>
  <si>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</si>
  <si>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</si>
  <si>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</si>
  <si>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</si>
  <si>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</si>
  <si>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</si>
  <si>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</si>
  <si>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</si>
  <si>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</si>
  <si>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</si>
  <si>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</si>
  <si>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</si>
  <si>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</si>
  <si>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</si>
  <si>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</si>
  <si>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</si>
  <si>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</si>
  <si>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</si>
  <si>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</si>
  <si>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</si>
  <si>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</si>
  <si>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</si>
  <si>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</si>
  <si>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</si>
  <si>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</si>
  <si>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</si>
  <si>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</si>
  <si>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</si>
  <si>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</si>
  <si>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</si>
  <si>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</si>
  <si>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</si>
  <si>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</si>
  <si>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</si>
  <si>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</si>
  <si>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</si>
  <si>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</si>
  <si>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</si>
  <si>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</si>
  <si>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</si>
  <si>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</si>
  <si>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</si>
  <si>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</si>
  <si>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</si>
  <si>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</si>
  <si>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</si>
  <si>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</si>
  <si>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</si>
  <si>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</si>
  <si>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</si>
  <si>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</si>
  <si>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</si>
  <si>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</si>
  <si>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</si>
  <si>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</si>
  <si>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</si>
  <si>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</si>
  <si>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</si>
  <si>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</si>
  <si>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</si>
  <si>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</si>
  <si>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</si>
  <si>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</si>
  <si>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</si>
  <si>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</si>
  <si>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</si>
  <si>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</si>
  <si>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</si>
  <si>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</si>
  <si>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</si>
  <si>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</si>
  <si>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</si>
  <si>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</si>
  <si>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</si>
  <si>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</si>
  <si>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</si>
  <si>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</si>
  <si>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</si>
  <si>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</si>
  <si>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</si>
  <si>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</si>
  <si>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</si>
  <si>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</si>
  <si>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</si>
  <si>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</si>
  <si>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</si>
  <si>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</si>
  <si>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</si>
  <si>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</si>
  <si>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</si>
  <si>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</si>
  <si>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</si>
  <si>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</si>
  <si>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</si>
  <si>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</si>
  <si>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</si>
  <si>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</si>
  <si>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</si>
  <si>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</si>
  <si>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</si>
  <si>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</si>
  <si>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</si>
  <si>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</si>
  <si>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</si>
  <si>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</si>
  <si>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</si>
  <si>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</si>
  <si>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</si>
  <si>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</si>
  <si>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</si>
  <si>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</si>
  <si>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</si>
  <si>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</si>
  <si>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</si>
  <si>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</si>
  <si>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</si>
  <si>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</si>
  <si>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</si>
  <si>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</si>
  <si>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</si>
  <si>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</si>
  <si>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</si>
  <si>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</si>
  <si>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</si>
  <si>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</si>
  <si>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</si>
  <si>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</si>
  <si>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</si>
  <si>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</si>
  <si>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</si>
  <si>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</si>
  <si>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</si>
  <si>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</si>
  <si>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</si>
  <si>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</si>
  <si>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</si>
  <si>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</si>
  <si>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</si>
  <si>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</si>
  <si>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</si>
  <si>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</si>
  <si>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</si>
  <si>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</si>
  <si>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</si>
  <si>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</si>
  <si>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</si>
  <si>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</si>
  <si>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</si>
  <si>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</si>
  <si>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</si>
  <si>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</si>
  <si>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</si>
  <si>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</si>
  <si>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</si>
  <si>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</si>
  <si>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</si>
  <si>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</si>
  <si>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</si>
  <si>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</si>
  <si>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</si>
  <si>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</si>
  <si>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</si>
  <si>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</si>
  <si>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</si>
  <si>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</si>
  <si>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</si>
  <si>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</si>
  <si>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</si>
  <si>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</si>
  <si>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</si>
  <si>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</si>
  <si>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</si>
  <si>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</si>
  <si>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</si>
  <si>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</si>
  <si>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</si>
  <si>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</si>
  <si>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</si>
  <si>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</si>
  <si>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</si>
  <si>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</si>
  <si>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</si>
  <si>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</si>
  <si>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</si>
  <si>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</si>
  <si>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</si>
  <si>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</si>
  <si>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</si>
  <si>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</si>
  <si>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</si>
  <si>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</si>
  <si>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</si>
  <si>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</si>
  <si>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</si>
  <si>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</si>
  <si>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</si>
  <si>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</si>
  <si>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</si>
  <si>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</si>
  <si>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</si>
  <si>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</si>
  <si>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</si>
  <si>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</si>
  <si>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</si>
  <si>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</si>
  <si>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</si>
  <si>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</si>
  <si>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</si>
  <si>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</si>
  <si>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</si>
  <si>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</si>
  <si>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</si>
  <si>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</si>
  <si>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</si>
  <si>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</si>
  <si>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</si>
  <si>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</si>
  <si>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</si>
  <si>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</si>
  <si>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</si>
  <si>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</si>
  <si>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</si>
  <si>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</si>
  <si>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</si>
  <si>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</si>
  <si>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</si>
  <si>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</si>
  <si>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</si>
  <si>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</si>
  <si>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</si>
  <si>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</si>
  <si>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</si>
  <si>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</si>
  <si>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</si>
  <si>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</si>
  <si>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</si>
  <si>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</si>
  <si>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</si>
  <si>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</si>
  <si>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</si>
  <si>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</si>
  <si>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</si>
  <si>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</si>
  <si>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</si>
  <si>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</si>
  <si>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</si>
  <si>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</si>
  <si>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</si>
  <si>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</si>
  <si>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</si>
  <si>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</si>
  <si>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</si>
  <si>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</si>
  <si>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</si>
  <si>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</si>
  <si>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</si>
  <si>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</si>
  <si>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</si>
  <si>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</si>
  <si>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</si>
  <si>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</si>
  <si>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</si>
  <si>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</si>
  <si>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</si>
  <si>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</si>
  <si>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</si>
  <si>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</si>
  <si>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</si>
  <si>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</si>
  <si>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</si>
  <si>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</si>
  <si>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</si>
  <si>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</si>
  <si>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</si>
  <si>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</si>
  <si>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</si>
  <si>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</si>
  <si>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</si>
  <si>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</si>
  <si>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</si>
  <si>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</si>
  <si>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</si>
  <si>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</si>
  <si>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</si>
  <si>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</si>
  <si>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</si>
  <si>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</si>
  <si>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</si>
  <si>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</si>
  <si>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</si>
  <si>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</si>
  <si>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</si>
  <si>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</si>
  <si>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</si>
  <si>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</si>
  <si>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</si>
  <si>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</si>
  <si>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</si>
  <si>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</si>
  <si>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</si>
  <si>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</si>
  <si>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</si>
  <si>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</si>
  <si>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</si>
  <si>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</si>
  <si>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</si>
  <si>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</si>
  <si>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</si>
  <si>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</si>
  <si>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</si>
  <si>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</si>
  <si>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</si>
  <si>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</si>
  <si>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</si>
  <si>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</si>
  <si>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</si>
  <si>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</si>
  <si>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</si>
  <si>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</si>
  <si>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</si>
  <si>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</si>
  <si>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</si>
  <si>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</si>
  <si>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</si>
  <si>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</si>
  <si>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</si>
  <si>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</si>
  <si>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</si>
  <si>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</si>
  <si>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</si>
  <si>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</si>
  <si>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</si>
  <si>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</si>
  <si>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</si>
  <si>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</si>
  <si>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</si>
  <si>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</si>
  <si>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</si>
  <si>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</si>
  <si>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</si>
  <si>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</si>
  <si>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</si>
  <si>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</si>
  <si>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</si>
  <si>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</si>
  <si>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</si>
  <si>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</si>
  <si>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</si>
  <si>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</si>
  <si>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</si>
  <si>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</si>
  <si>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</si>
  <si>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</si>
  <si>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</si>
  <si>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</si>
  <si>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</si>
  <si>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</si>
  <si>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</si>
  <si>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</si>
  <si>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</si>
  <si>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</si>
  <si>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</si>
  <si>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</si>
  <si>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</si>
  <si>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</si>
  <si>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</si>
  <si>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</si>
  <si>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</si>
  <si>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</si>
  <si>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</si>
  <si>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</si>
  <si>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</si>
  <si>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</si>
  <si>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</si>
  <si>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</si>
  <si>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</si>
  <si>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</si>
  <si>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</si>
  <si>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</si>
  <si>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</si>
  <si>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</si>
  <si>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</si>
  <si>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</si>
  <si>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</si>
  <si>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</si>
  <si>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</si>
  <si>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</si>
  <si>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</si>
  <si>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</si>
  <si>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</si>
  <si>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</si>
  <si>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</si>
  <si>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</si>
  <si>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</si>
  <si>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</si>
  <si>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</si>
  <si>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</si>
  <si>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</si>
  <si>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</si>
  <si>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</si>
  <si>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</si>
  <si>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</si>
  <si>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</si>
  <si>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</si>
  <si>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</si>
  <si>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</si>
  <si>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</si>
  <si>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</si>
  <si>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</si>
  <si>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</si>
  <si>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</si>
  <si>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</si>
  <si>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</si>
  <si>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</si>
  <si>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</si>
  <si>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</si>
  <si>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</si>
  <si>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</si>
  <si>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</si>
  <si>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</si>
  <si>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</si>
  <si>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</si>
  <si>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</si>
  <si>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</si>
  <si>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</si>
  <si>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</si>
  <si>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</si>
  <si>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</si>
  <si>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</si>
  <si>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</si>
  <si>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</si>
  <si>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</si>
  <si>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</si>
  <si>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</si>
  <si>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</si>
  <si>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</si>
  <si>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</si>
  <si>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</si>
  <si>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</si>
  <si>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</si>
  <si>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</si>
  <si>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</si>
  <si>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</si>
  <si>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</si>
  <si>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</si>
  <si>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</si>
  <si>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</si>
  <si>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</si>
  <si>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</si>
  <si>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</si>
  <si>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</si>
  <si>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</si>
  <si>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</si>
  <si>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</si>
  <si>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</si>
  <si>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</si>
  <si>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</si>
  <si>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</si>
  <si>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</si>
  <si>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</si>
  <si>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</si>
  <si>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</si>
  <si>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</si>
  <si>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</si>
  <si>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</si>
  <si>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</si>
  <si>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</si>
  <si>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</si>
  <si>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</si>
  <si>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</si>
  <si>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</si>
  <si>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</si>
  <si>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</si>
  <si>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</si>
  <si>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</si>
  <si>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</si>
  <si>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</si>
  <si>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</si>
  <si>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</si>
  <si>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</si>
  <si>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</si>
  <si>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</si>
  <si>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</si>
  <si>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</si>
  <si>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</si>
  <si>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</si>
  <si>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</si>
  <si>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</si>
  <si>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</si>
  <si>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</si>
  <si>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</si>
  <si>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</si>
  <si>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</si>
  <si>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</si>
  <si>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</si>
  <si>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</si>
  <si>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</si>
  <si>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</si>
  <si>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</si>
  <si>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</si>
  <si>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</si>
  <si>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</si>
  <si>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</si>
  <si>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</si>
  <si>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</si>
  <si>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</si>
  <si>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</si>
  <si>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</si>
  <si>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</si>
  <si>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</si>
  <si>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</si>
  <si>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</si>
  <si>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</si>
  <si>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</si>
  <si>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</si>
  <si>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</si>
  <si>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</si>
  <si>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</si>
  <si>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</si>
  <si>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</si>
  <si>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</si>
  <si>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</si>
  <si>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</si>
  <si>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</si>
  <si>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</si>
  <si>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</si>
  <si>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</si>
  <si>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</si>
  <si>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</si>
  <si>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</si>
  <si>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</si>
  <si>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</si>
  <si>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</si>
  <si>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</si>
  <si>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</si>
  <si>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</si>
  <si>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</si>
  <si>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</si>
  <si>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</si>
  <si>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</si>
  <si>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</si>
  <si>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</si>
  <si>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</si>
  <si>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</si>
  <si>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</si>
  <si>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</si>
  <si>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</si>
  <si>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</si>
  <si>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</si>
  <si>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</si>
  <si>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</si>
  <si>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</si>
  <si>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</si>
  <si>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</si>
  <si>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</si>
  <si>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</si>
  <si>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</si>
  <si>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</si>
  <si>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</si>
  <si>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</si>
  <si>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</si>
  <si>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</si>
  <si>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</si>
  <si>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</si>
  <si>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</si>
  <si>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</si>
  <si>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</si>
  <si>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</si>
  <si>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</si>
  <si>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</si>
  <si>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</si>
  <si>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</si>
  <si>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</si>
  <si>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</si>
  <si>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</si>
  <si>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</si>
  <si>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</si>
  <si>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</si>
  <si>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</si>
  <si>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</si>
  <si>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</si>
  <si>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</si>
  <si>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</si>
  <si>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</si>
  <si>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</si>
  <si>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</si>
  <si>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</si>
  <si>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</si>
  <si>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</si>
  <si>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</si>
  <si>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</si>
  <si>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</si>
  <si>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</si>
  <si>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</si>
  <si>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</si>
  <si>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</si>
  <si>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</si>
  <si>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</si>
  <si>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</si>
  <si>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</si>
  <si>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</si>
  <si>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</si>
  <si>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</si>
  <si>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</si>
  <si>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</si>
  <si>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</si>
  <si>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</si>
  <si>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</si>
  <si>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</si>
  <si>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</si>
  <si>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</si>
  <si>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</si>
  <si>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</si>
  <si>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</si>
  <si>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</si>
  <si>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</si>
  <si>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</si>
  <si>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</si>
  <si>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</si>
  <si>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</si>
  <si>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</si>
  <si>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</si>
  <si>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</si>
  <si>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</si>
  <si>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</si>
  <si>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</si>
  <si>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</si>
  <si>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</si>
  <si>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</si>
  <si>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</si>
  <si>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</si>
  <si>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</si>
  <si>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</si>
  <si>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</si>
  <si>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</si>
  <si>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</si>
  <si>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</si>
  <si>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</si>
  <si>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</si>
  <si>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</si>
  <si>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</si>
  <si>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</si>
  <si>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</si>
  <si>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</si>
  <si>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</si>
  <si>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</si>
  <si>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</si>
  <si>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</si>
  <si>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</si>
  <si>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</si>
  <si>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</si>
  <si>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</si>
  <si>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</si>
  <si>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</si>
  <si>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</si>
  <si>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</si>
  <si>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</si>
  <si>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</si>
  <si>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</si>
  <si>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</si>
  <si>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</si>
  <si>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</si>
  <si>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</si>
  <si>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</si>
  <si>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</si>
  <si>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</si>
  <si>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</si>
  <si>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</si>
  <si>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</si>
  <si>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</si>
  <si>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</si>
  <si>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</si>
  <si>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</si>
  <si>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</si>
  <si>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</si>
  <si>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</si>
  <si>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</si>
  <si>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</si>
  <si>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</si>
  <si>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</si>
  <si>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</si>
  <si>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</si>
  <si>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</si>
  <si>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</si>
  <si>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</si>
  <si>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</si>
  <si>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</si>
  <si>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</si>
  <si>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</si>
  <si>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</si>
  <si>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</si>
  <si>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</si>
  <si>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</si>
  <si>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</si>
  <si>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</si>
  <si>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</si>
  <si>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</si>
  <si>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</si>
  <si>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</si>
  <si>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</si>
  <si>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</si>
  <si>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</si>
  <si>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</si>
  <si>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</si>
  <si>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</si>
  <si>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</si>
  <si>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</si>
  <si>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</si>
  <si>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</si>
  <si>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EVANS, MARSHALL &amp; PEASE, P.C.</t>
  </si>
  <si>
    <t>JEFFERY M. ROLLEFSON</t>
  </si>
  <si>
    <t>1875 HICKS ROAD</t>
  </si>
  <si>
    <t>ROLLING MEADOWS</t>
  </si>
  <si>
    <t>IL</t>
  </si>
  <si>
    <t>847-221-5700</t>
  </si>
  <si>
    <t>847-221-5701</t>
  </si>
  <si>
    <t>THE DISTRICT PREPARES ITS FINANCIAL STATEMENTS TO COMPLY WITH REGULATORY PROVISIONS PRESCRIBED BY THE ILLINOIS STAE BOARD OF EDUCATION (ISBE), WHICH IS A COMPREHENSIVE BASIS OF ACCOUNTING OTHER THAN GENERALLY AACCEPTED ACCOUNTING PRINCIPLES (GAAP).</t>
  </si>
  <si>
    <t>Evans, Marshall &amp; Pease, P.C.</t>
  </si>
  <si>
    <t>066-005340</t>
  </si>
  <si>
    <t>DUPAGE</t>
  </si>
  <si>
    <t xml:space="preserve">0 S. 150 WINFIELD ROAD </t>
  </si>
  <si>
    <t xml:space="preserve">WINFIELD    </t>
  </si>
  <si>
    <t>JEFF@EMPCPA.COM</t>
  </si>
  <si>
    <t>DR. MATT RICH</t>
  </si>
  <si>
    <t>630-909-4900</t>
  </si>
  <si>
    <t xml:space="preserve">CAPITAL APPRECIATION SCHOOL BONDS - 2002 </t>
  </si>
  <si>
    <t>GENERAL OBLIGATION REFUNDING SCHOOL BONDS - 2013A</t>
  </si>
  <si>
    <t>GENERAL OBLIGATION REFUNDING SCHOOL BONDS - 2013B</t>
  </si>
  <si>
    <t xml:space="preserve">CAPITAL LEASE </t>
  </si>
  <si>
    <t>CAPITAL LEASE</t>
  </si>
  <si>
    <t xml:space="preserve">School Association for Special Eduaction in Dupage </t>
  </si>
  <si>
    <t>In the Acct Summmary tab 7990 is from the trade of a Capital Lease of $57,388</t>
  </si>
  <si>
    <t xml:space="preserve">in the ST LT Debt tab G35 is the traded/refunded amount from the trade of the Capital Lease allowing year end outstanding to net to zero. </t>
  </si>
  <si>
    <t>In the ST LT Debt tab Line 36 is the result of a newly issued Capital Lease ( PMA copier lease)  from FY 18-19</t>
  </si>
  <si>
    <t>Employee insurance</t>
  </si>
  <si>
    <t>Insurance CLIC workers comp</t>
  </si>
  <si>
    <t>Insurance CLIC general liability</t>
  </si>
  <si>
    <t>Electric Central</t>
  </si>
  <si>
    <t>Electric Primary</t>
  </si>
  <si>
    <t>Technology purchase services</t>
  </si>
  <si>
    <t>Special ed transportation</t>
  </si>
  <si>
    <t>Blue Cross Blue Shield</t>
  </si>
  <si>
    <t>CLIC</t>
  </si>
  <si>
    <t>Direct Energy</t>
  </si>
  <si>
    <t>Metlife</t>
  </si>
  <si>
    <t>NET56</t>
  </si>
  <si>
    <t>Sunrise Transportation</t>
  </si>
  <si>
    <t>10-2660-300</t>
  </si>
  <si>
    <t>40-2550-300</t>
  </si>
  <si>
    <t>20-2540-400</t>
  </si>
  <si>
    <t>20-2540-300</t>
  </si>
  <si>
    <t>10-1000-200</t>
  </si>
  <si>
    <t>10-2300-300</t>
  </si>
  <si>
    <t>Winfield 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</si>
</sst>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60614</xdr:colOff>
          <xdr:row>2</xdr:row>
          <xdr:rowOff>69273</xdr:rowOff>
        </xdr:from>
        <xdr:to>
          <xdr:col>1</xdr:col>
          <xdr:colOff>850323</xdr:colOff>
          <xdr:row>6</xdr:row>
          <xdr:rowOff>107373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982808</xdr:colOff>
          <xdr:row>2</xdr:row>
          <xdr:rowOff>57150</xdr:rowOff>
        </xdr:from>
        <xdr:to>
          <xdr:col>1</xdr:col>
          <xdr:colOff>1893744</xdr:colOff>
          <xdr:row>6</xdr:row>
          <xdr:rowOff>97848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3"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2064</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19022034002</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2109</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2076</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60008</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2077</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2074</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60190</v>
      </c>
      <c r="B25" s="1941"/>
      <c r="C25" s="1941"/>
      <c r="D25" s="1941"/>
      <c r="E25" s="1941"/>
      <c r="F25" s="1941"/>
      <c r="G25" s="1941"/>
      <c r="H25" s="1942"/>
      <c r="I25" s="113"/>
      <c r="J25" s="1965"/>
      <c r="K25" s="1965"/>
      <c r="L25" s="1965"/>
      <c r="M25" s="1965"/>
      <c r="N25" s="1965"/>
      <c r="O25" s="1965"/>
      <c r="P25" s="1965"/>
      <c r="Q25" s="1965"/>
      <c r="R25" s="1965"/>
      <c r="S25" s="1966"/>
      <c r="T25" s="2036" t="s">
        <v>2078</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2079</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2080</v>
      </c>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42" sqref="A42:C4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3101492</v>
      </c>
      <c r="C4" s="1524">
        <v>1601855</v>
      </c>
      <c r="D4" s="1752">
        <f>B4-C4</f>
        <v>1499637</v>
      </c>
      <c r="E4" s="1524">
        <v>3198903</v>
      </c>
      <c r="F4" s="1752">
        <f>E4-C4</f>
        <v>1597048</v>
      </c>
    </row>
    <row r="5" spans="1:6" ht="13.7" customHeight="1" x14ac:dyDescent="0.2">
      <c r="A5" s="715" t="s">
        <v>870</v>
      </c>
      <c r="B5" s="1750">
        <f>'Revenues 9-14'!D5</f>
        <v>614661</v>
      </c>
      <c r="C5" s="585">
        <v>317459</v>
      </c>
      <c r="D5" s="1753">
        <f t="shared" ref="D5:D18" si="0">B5-C5</f>
        <v>297202</v>
      </c>
      <c r="E5" s="585">
        <v>635140</v>
      </c>
      <c r="F5" s="1753">
        <f>E5-C5</f>
        <v>317681</v>
      </c>
    </row>
    <row r="6" spans="1:6" ht="13.7" customHeight="1" x14ac:dyDescent="0.2">
      <c r="A6" s="715" t="s">
        <v>411</v>
      </c>
      <c r="B6" s="1750">
        <f>'Revenues 9-14'!E5</f>
        <v>996248</v>
      </c>
      <c r="C6" s="585">
        <v>514541</v>
      </c>
      <c r="D6" s="1753">
        <f t="shared" si="0"/>
        <v>481707</v>
      </c>
      <c r="E6" s="585">
        <v>1034756</v>
      </c>
      <c r="F6" s="1753">
        <f t="shared" ref="F6:F18" si="1">E6-C6</f>
        <v>520215</v>
      </c>
    </row>
    <row r="7" spans="1:6" ht="13.7" customHeight="1" x14ac:dyDescent="0.2">
      <c r="A7" s="715" t="s">
        <v>155</v>
      </c>
      <c r="B7" s="1750">
        <f>'Revenues 9-14'!F5</f>
        <v>20889</v>
      </c>
      <c r="C7" s="585">
        <v>10789</v>
      </c>
      <c r="D7" s="1753">
        <f t="shared" si="0"/>
        <v>10100</v>
      </c>
      <c r="E7" s="585">
        <v>21687</v>
      </c>
      <c r="F7" s="1753">
        <f t="shared" si="1"/>
        <v>10898</v>
      </c>
    </row>
    <row r="8" spans="1:6" ht="13.7" customHeight="1" x14ac:dyDescent="0.2">
      <c r="A8" s="715" t="s">
        <v>1179</v>
      </c>
      <c r="B8" s="1750">
        <f>'Revenues 9-14'!G5</f>
        <v>119327</v>
      </c>
      <c r="C8" s="585">
        <v>61630</v>
      </c>
      <c r="D8" s="1753">
        <f t="shared" si="0"/>
        <v>57697</v>
      </c>
      <c r="E8" s="585">
        <v>126179</v>
      </c>
      <c r="F8" s="1753">
        <f t="shared" si="1"/>
        <v>64549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530818</v>
      </c>
      <c r="C14" s="585">
        <v>274156</v>
      </c>
      <c r="D14" s="1753">
        <f t="shared" si="0"/>
        <v>256662</v>
      </c>
      <c r="E14" s="585">
        <v>543235</v>
      </c>
      <c r="F14" s="1753">
        <f t="shared" si="1"/>
        <v>269079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75259</v>
      </c>
      <c r="C16" s="585">
        <v>38870</v>
      </c>
      <c r="D16" s="1753">
        <f t="shared" si="0"/>
        <v>36389</v>
      </c>
      <c r="E16" s="585">
        <v>77800</v>
      </c>
      <c r="F16" s="1753">
        <f t="shared" si="1"/>
        <v>38930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5458694</v>
      </c>
      <c r="C19" s="1751">
        <f>SUM(C4:C18)</f>
        <v>2819300</v>
      </c>
      <c r="D19" s="1751">
        <f>SUM(D4:D18)</f>
        <v>2639394</v>
      </c>
      <c r="E19" s="1751">
        <f>SUM(E4:E18)</f>
        <v>5637700</v>
      </c>
      <c r="F19" s="1751">
        <f>SUM(F4:F18)</f>
        <v>2818400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5" zoomScaleNormal="115" workbookViewId="0">
      <selection activeCell="G62" sqref="G6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2081</v>
      </c>
      <c r="B31" s="733">
        <v>37406</v>
      </c>
      <c r="C31" s="734">
        <v>5958150</v>
      </c>
      <c r="D31" s="735">
        <v>6</v>
      </c>
      <c r="E31" s="734">
        <v>872371</v>
      </c>
      <c r="F31" s="734"/>
      <c r="G31" s="734"/>
      <c r="H31" s="734">
        <v>234546</v>
      </c>
      <c r="I31" s="1756">
        <f>((E31+F31)-H31)+G31</f>
        <v>637825</v>
      </c>
      <c r="J31" s="734">
        <v>465425</v>
      </c>
      <c r="K31" s="736"/>
    </row>
    <row r="32" spans="1:11" ht="12" customHeight="1" x14ac:dyDescent="0.2">
      <c r="A32" s="732" t="s">
        <v>2082</v>
      </c>
      <c r="B32" s="733">
        <v>41515</v>
      </c>
      <c r="C32" s="734">
        <v>840000</v>
      </c>
      <c r="D32" s="735">
        <v>3</v>
      </c>
      <c r="E32" s="734">
        <v>810000</v>
      </c>
      <c r="F32" s="734"/>
      <c r="G32" s="734"/>
      <c r="H32" s="734">
        <v>5000</v>
      </c>
      <c r="I32" s="1756">
        <f>((E32+F32)-H32)+G32</f>
        <v>805000</v>
      </c>
      <c r="J32" s="734">
        <v>587415</v>
      </c>
      <c r="K32" s="736"/>
    </row>
    <row r="33" spans="1:11" ht="12" customHeight="1" x14ac:dyDescent="0.2">
      <c r="A33" s="732" t="s">
        <v>2083</v>
      </c>
      <c r="B33" s="733">
        <v>41515</v>
      </c>
      <c r="C33" s="734">
        <v>1020000</v>
      </c>
      <c r="D33" s="735">
        <v>3</v>
      </c>
      <c r="E33" s="734">
        <v>990000</v>
      </c>
      <c r="F33" s="734"/>
      <c r="G33" s="734"/>
      <c r="H33" s="734">
        <v>5000</v>
      </c>
      <c r="I33" s="1756">
        <f t="shared" ref="I33:I48" si="1">((E33+F33)-H33)+G33</f>
        <v>985000</v>
      </c>
      <c r="J33" s="734">
        <v>718762</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2084</v>
      </c>
      <c r="B35" s="733">
        <v>42181</v>
      </c>
      <c r="C35" s="738">
        <v>33949</v>
      </c>
      <c r="D35" s="735">
        <v>7</v>
      </c>
      <c r="E35" s="738">
        <v>14808</v>
      </c>
      <c r="F35" s="738"/>
      <c r="G35" s="738">
        <v>-12461</v>
      </c>
      <c r="H35" s="738">
        <v>2347</v>
      </c>
      <c r="I35" s="1756">
        <f t="shared" si="1"/>
        <v>0</v>
      </c>
      <c r="J35" s="738"/>
      <c r="K35" s="737"/>
    </row>
    <row r="36" spans="1:11" ht="12" customHeight="1" x14ac:dyDescent="0.2">
      <c r="A36" s="732" t="s">
        <v>2084</v>
      </c>
      <c r="B36" s="733">
        <v>43426</v>
      </c>
      <c r="C36" s="734">
        <v>57388</v>
      </c>
      <c r="D36" s="735">
        <v>7</v>
      </c>
      <c r="E36" s="734">
        <v>57388</v>
      </c>
      <c r="F36" s="734"/>
      <c r="G36" s="734"/>
      <c r="H36" s="734">
        <v>6696</v>
      </c>
      <c r="I36" s="1756">
        <f t="shared" si="1"/>
        <v>50692</v>
      </c>
      <c r="J36" s="734">
        <v>36990</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7909487</v>
      </c>
      <c r="D49" s="745"/>
      <c r="E49" s="1756">
        <f t="shared" ref="E49:J49" si="2">SUM(E31:E48)</f>
        <v>2744567</v>
      </c>
      <c r="F49" s="1756">
        <f t="shared" si="2"/>
        <v>0</v>
      </c>
      <c r="G49" s="1756">
        <f t="shared" si="2"/>
        <v>-12461</v>
      </c>
      <c r="H49" s="1756">
        <f t="shared" si="2"/>
        <v>253589</v>
      </c>
      <c r="I49" s="1756">
        <f t="shared" si="2"/>
        <v>2478517</v>
      </c>
      <c r="J49" s="1756">
        <f t="shared" si="2"/>
        <v>1808592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2085</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A42" sqref="A42:C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530818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530818</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530818</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530818</v>
      </c>
      <c r="I23" s="1758">
        <f>SUM(I14:I16,I21,I22)</f>
        <v>0</v>
      </c>
      <c r="J23" s="1758">
        <f>SUM(J14:J16,J21,J22)</f>
        <v>0</v>
      </c>
      <c r="K23" s="1758">
        <f>SUM(K14:K16,K21,K22)</f>
        <v>0</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18179</v>
      </c>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v>25641</v>
      </c>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v>12555</v>
      </c>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2" sqref="A42:C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591553</v>
      </c>
      <c r="D5" s="841"/>
      <c r="E5" s="841"/>
      <c r="F5" s="1760">
        <f>(C5+D5)-E5</f>
        <v>591553</v>
      </c>
      <c r="G5" s="837"/>
      <c r="H5" s="842"/>
      <c r="I5" s="842"/>
      <c r="J5" s="842"/>
      <c r="K5" s="793"/>
      <c r="L5" s="1769">
        <f>F5-K5</f>
        <v>591553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16096184</v>
      </c>
      <c r="D8" s="844">
        <v>81853</v>
      </c>
      <c r="E8" s="844"/>
      <c r="F8" s="1760">
        <f>(C8+D8)-E8</f>
        <v>16178037</v>
      </c>
      <c r="G8" s="843">
        <v>50</v>
      </c>
      <c r="H8" s="765">
        <v>6744528</v>
      </c>
      <c r="I8" s="765">
        <v>375383</v>
      </c>
      <c r="J8" s="765"/>
      <c r="K8" s="1769">
        <f>(H8+I8)-J8</f>
        <v>7119911</v>
      </c>
      <c r="L8" s="1769">
        <f>F8-K8</f>
        <v>9058126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653918</v>
      </c>
      <c r="D10" s="846">
        <v>226758</v>
      </c>
      <c r="E10" s="846"/>
      <c r="F10" s="1764">
        <f>(C10+D10)-E10</f>
        <v>880676</v>
      </c>
      <c r="G10" s="843">
        <v>20</v>
      </c>
      <c r="H10" s="847">
        <v>374269</v>
      </c>
      <c r="I10" s="847">
        <v>33170</v>
      </c>
      <c r="J10" s="847"/>
      <c r="K10" s="1769">
        <f>(H10+I10)-J10</f>
        <v>407439</v>
      </c>
      <c r="L10" s="1769">
        <f>F10-K10</f>
        <v>473237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702501</v>
      </c>
      <c r="D12" s="844">
        <v>146503</v>
      </c>
      <c r="E12" s="844"/>
      <c r="F12" s="1760">
        <f>(C12+D12)-E12</f>
        <v>849004</v>
      </c>
      <c r="G12" s="843">
        <v>10</v>
      </c>
      <c r="H12" s="765">
        <v>564180</v>
      </c>
      <c r="I12" s="765">
        <v>23051</v>
      </c>
      <c r="J12" s="765">
        <v>279862</v>
      </c>
      <c r="K12" s="1769">
        <f>(H12+I12)-J12</f>
        <v>307369</v>
      </c>
      <c r="L12" s="1769">
        <f>F12-K12</f>
        <v>541635</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18044156</v>
      </c>
      <c r="D16" s="1760">
        <f>SUM(D3,D5:D6,D8:D10,D12:D15)</f>
        <v>455114</v>
      </c>
      <c r="E16" s="1760">
        <f>SUM(E3,E5:E6,E8:E10,E12:E15)</f>
        <v>0</v>
      </c>
      <c r="F16" s="1760">
        <f>SUM(F3,F5:F6,F8:F10,F12:F15)</f>
        <v>18499270</v>
      </c>
      <c r="G16" s="843"/>
      <c r="H16" s="1760">
        <f>SUM(H3,H6,H8:H10,H12:H14,)</f>
        <v>7682977</v>
      </c>
      <c r="I16" s="1760">
        <f>SUM(I3,I6,I8:I10,I12:I14,)</f>
        <v>431604</v>
      </c>
      <c r="J16" s="1760">
        <f>SUM(J3,J6,J8:J10,J12:J14,)</f>
        <v>279862</v>
      </c>
      <c r="K16" s="1760">
        <f>(H16+I16)-J16</f>
        <v>7834719</v>
      </c>
      <c r="L16" s="1760">
        <f>F16-K16</f>
        <v>10664551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20892</v>
      </c>
      <c r="G17" s="837">
        <v>10</v>
      </c>
      <c r="H17" s="769"/>
      <c r="I17" s="1769">
        <f>F17/G17</f>
        <v>2089.1999999999998</v>
      </c>
      <c r="J17" s="769"/>
      <c r="K17" s="795"/>
      <c r="L17" s="795"/>
    </row>
    <row r="18" spans="1:12" ht="14.25" thickTop="1" thickBot="1" x14ac:dyDescent="0.25">
      <c r="A18" s="1767" t="s">
        <v>685</v>
      </c>
      <c r="B18" s="1768"/>
      <c r="C18" s="771"/>
      <c r="D18" s="771"/>
      <c r="E18" s="771"/>
      <c r="F18" s="850"/>
      <c r="G18" s="851"/>
      <c r="H18" s="773"/>
      <c r="I18" s="1760">
        <f>SUM(I16,I17)</f>
        <v>433693.2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2" sqref="A42:C42"/>
      <selection pane="bottomLeft" activeCell="A42" sqref="A42:C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4350739</v>
      </c>
      <c r="G8" s="865"/>
    </row>
    <row r="9" spans="1:7" x14ac:dyDescent="0.2">
      <c r="A9" s="869" t="s">
        <v>460</v>
      </c>
      <c r="B9" s="870" t="s">
        <v>1876</v>
      </c>
      <c r="C9" s="871"/>
      <c r="D9" s="869" t="s">
        <v>501</v>
      </c>
      <c r="E9" s="868"/>
      <c r="F9" s="1909">
        <f>'Expenditures 15-22'!K151</f>
        <v>569819</v>
      </c>
      <c r="G9" s="872"/>
    </row>
    <row r="10" spans="1:7" x14ac:dyDescent="0.2">
      <c r="A10" s="869" t="s">
        <v>499</v>
      </c>
      <c r="B10" s="870" t="s">
        <v>1877</v>
      </c>
      <c r="C10" s="871"/>
      <c r="D10" s="869" t="s">
        <v>501</v>
      </c>
      <c r="E10" s="868"/>
      <c r="F10" s="1909">
        <f>'Expenditures 15-22'!K174</f>
        <v>1006152</v>
      </c>
      <c r="G10" s="872"/>
    </row>
    <row r="11" spans="1:7" x14ac:dyDescent="0.2">
      <c r="A11" s="869" t="s">
        <v>461</v>
      </c>
      <c r="B11" s="870" t="s">
        <v>1878</v>
      </c>
      <c r="C11" s="871"/>
      <c r="D11" s="869" t="s">
        <v>501</v>
      </c>
      <c r="E11" s="868"/>
      <c r="F11" s="1909">
        <f>'Expenditures 15-22'!K210</f>
        <v>142320</v>
      </c>
      <c r="G11" s="872"/>
    </row>
    <row r="12" spans="1:7" x14ac:dyDescent="0.2">
      <c r="A12" s="869" t="s">
        <v>462</v>
      </c>
      <c r="B12" s="870" t="s">
        <v>1879</v>
      </c>
      <c r="C12" s="871"/>
      <c r="D12" s="869" t="s">
        <v>501</v>
      </c>
      <c r="E12" s="868"/>
      <c r="F12" s="1909">
        <f>'Expenditures 15-22'!K295</f>
        <v>152922</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6221952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17186</v>
      </c>
      <c r="G52" s="865"/>
    </row>
    <row r="53" spans="1:7" x14ac:dyDescent="0.2">
      <c r="A53" s="869" t="s">
        <v>459</v>
      </c>
      <c r="B53" s="869" t="s">
        <v>1475</v>
      </c>
      <c r="C53" s="889">
        <f>'Expenditures 15-22'!B102</f>
        <v>4000</v>
      </c>
      <c r="D53" s="888" t="str">
        <f>'Expenditures 15-22'!A102</f>
        <v>Total Payments to Other Govt Units</v>
      </c>
      <c r="E53" s="868"/>
      <c r="F53" s="1913">
        <f>'Expenditures 15-22'!K102</f>
        <v>230706</v>
      </c>
      <c r="G53" s="865"/>
    </row>
    <row r="54" spans="1:7" x14ac:dyDescent="0.2">
      <c r="A54" s="869" t="s">
        <v>459</v>
      </c>
      <c r="B54" s="869" t="s">
        <v>1476</v>
      </c>
      <c r="C54" s="889" t="s">
        <v>982</v>
      </c>
      <c r="D54" s="885" t="s">
        <v>1095</v>
      </c>
      <c r="E54" s="868"/>
      <c r="F54" s="1913">
        <f>'Expenditures 15-22'!G114</f>
        <v>57388</v>
      </c>
      <c r="G54" s="865"/>
    </row>
    <row r="55" spans="1:7" x14ac:dyDescent="0.2">
      <c r="A55" s="869" t="s">
        <v>459</v>
      </c>
      <c r="B55" s="869" t="s">
        <v>1477</v>
      </c>
      <c r="C55" s="889" t="s">
        <v>982</v>
      </c>
      <c r="D55" s="885" t="s">
        <v>291</v>
      </c>
      <c r="E55" s="868"/>
      <c r="F55" s="1913">
        <f>'Expenditures 15-22'!I114</f>
        <v>4134</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32030</v>
      </c>
      <c r="G58" s="865"/>
    </row>
    <row r="59" spans="1:7" x14ac:dyDescent="0.2">
      <c r="A59" s="893" t="s">
        <v>460</v>
      </c>
      <c r="B59" s="856" t="s">
        <v>1883</v>
      </c>
      <c r="C59" s="894" t="s">
        <v>982</v>
      </c>
      <c r="D59" s="856" t="s">
        <v>291</v>
      </c>
      <c r="F59" s="1916">
        <f>'Expenditures 15-22'!I151</f>
        <v>11104</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253589</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606137</v>
      </c>
      <c r="G76" s="865"/>
    </row>
    <row r="77" spans="1:8" s="893" customFormat="1" ht="12" customHeight="1" thickTop="1" thickBot="1" x14ac:dyDescent="0.25">
      <c r="A77" s="1779"/>
      <c r="B77" s="1776"/>
      <c r="C77" s="1772"/>
      <c r="D77" s="1777" t="s">
        <v>1899</v>
      </c>
      <c r="E77" s="1774"/>
      <c r="F77" s="1780">
        <f>(F14-F76)</f>
        <v>5615815</v>
      </c>
      <c r="G77" s="869"/>
    </row>
    <row r="78" spans="1:8" s="893" customFormat="1" ht="12" customHeight="1" thickTop="1" x14ac:dyDescent="0.2">
      <c r="A78" s="1781"/>
      <c r="B78" s="1776"/>
      <c r="C78" s="1772"/>
      <c r="D78" s="1777" t="s">
        <v>2061</v>
      </c>
      <c r="E78" s="1774"/>
      <c r="F78" s="898">
        <v>265.8</v>
      </c>
      <c r="G78" s="899"/>
      <c r="H78" s="869"/>
    </row>
    <row r="79" spans="1:8" s="893" customFormat="1" ht="12" customHeight="1" thickBot="1" x14ac:dyDescent="0.25">
      <c r="A79" s="1782"/>
      <c r="B79" s="1776"/>
      <c r="C79" s="1772"/>
      <c r="D79" s="1777" t="s">
        <v>1900</v>
      </c>
      <c r="E79" s="1774" t="s">
        <v>958</v>
      </c>
      <c r="F79" s="1783">
        <f>IF(F78&gt;0,F77/F78," Complete Line 78")</f>
        <v>21127.972159518435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58355</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174333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4299</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258</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33428</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750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3052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38988</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7808</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71822</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5019</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8226</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17839</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424177</v>
      </c>
    </row>
    <row r="175" spans="1:7" ht="12" customHeight="1" x14ac:dyDescent="0.2">
      <c r="A175" s="1770"/>
      <c r="B175" s="1784"/>
      <c r="C175" s="1785"/>
      <c r="D175" s="1786" t="s">
        <v>2056</v>
      </c>
      <c r="E175" s="1787"/>
      <c r="F175" s="1789">
        <f>'PCTC-OEPP 27-28'!F77-F174</f>
        <v>5191638</v>
      </c>
    </row>
    <row r="176" spans="1:7" ht="12" customHeight="1" x14ac:dyDescent="0.2">
      <c r="A176" s="1770"/>
      <c r="B176" s="1784"/>
      <c r="C176" s="1785"/>
      <c r="D176" s="1786" t="s">
        <v>1817</v>
      </c>
      <c r="E176" s="1787"/>
      <c r="F176" s="1789">
        <f>'Cap Outlay Deprec 26'!I18</f>
        <v>433693.2</v>
      </c>
    </row>
    <row r="177" spans="1:7" ht="12" customHeight="1" x14ac:dyDescent="0.2">
      <c r="A177" s="1770"/>
      <c r="B177" s="1784"/>
      <c r="C177" s="1785"/>
      <c r="D177" s="1786" t="s">
        <v>2057</v>
      </c>
      <c r="E177" s="1787"/>
      <c r="F177" s="1789">
        <f>F175+F176</f>
        <v>5625331.2000000002</v>
      </c>
    </row>
    <row r="178" spans="1:7" ht="12" customHeight="1" x14ac:dyDescent="0.2">
      <c r="A178" s="1770"/>
      <c r="B178" s="1790"/>
      <c r="C178" s="1785"/>
      <c r="D178" s="1786" t="str">
        <f>D78</f>
        <v>9 Month ADA from District Average Daily Attendance/Prior General State Aid Inquiry 2018-2019</v>
      </c>
      <c r="E178" s="1787"/>
      <c r="F178" s="1791">
        <f>'PCTC-OEPP 27-28'!F78</f>
        <v>265.8</v>
      </c>
      <c r="G178" s="930"/>
    </row>
    <row r="179" spans="1:7" ht="12" customHeight="1" thickBot="1" x14ac:dyDescent="0.25">
      <c r="A179" s="1770"/>
      <c r="B179" s="1790"/>
      <c r="C179" s="1785"/>
      <c r="D179" s="1786" t="s">
        <v>2058</v>
      </c>
      <c r="E179" s="1787" t="s">
        <v>1545</v>
      </c>
      <c r="F179" s="1792">
        <f>F177/F178</f>
        <v>21163.77426636569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21" sqref="B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2090</v>
      </c>
      <c r="B17" s="1938" t="s">
        <v>2107</v>
      </c>
      <c r="C17" s="1939" t="s">
        <v>2097</v>
      </c>
      <c r="D17" s="1844">
        <v>33839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8839</v>
      </c>
      <c r="H17" s="1647"/>
    </row>
    <row r="18" spans="1:8" x14ac:dyDescent="0.25">
      <c r="A18" s="1937" t="s">
        <v>2091</v>
      </c>
      <c r="B18" s="1938" t="s">
        <v>2108</v>
      </c>
      <c r="C18" s="1939" t="s">
        <v>2098</v>
      </c>
      <c r="D18" s="1844">
        <v>17305</v>
      </c>
      <c r="E18" s="1540">
        <f t="shared" ref="E18:E140" si="2">IF(D18&lt;=25000,D18,IF(D18&gt;25000,25000,0))</f>
        <v>17305</v>
      </c>
      <c r="F18" s="1932">
        <f t="shared" si="1"/>
        <v>17305</v>
      </c>
      <c r="G18" s="1793">
        <f t="shared" ref="G18:G140" si="3">IF(F18=0,0,D18-F18)</f>
        <v>0</v>
      </c>
    </row>
    <row r="19" spans="1:8" x14ac:dyDescent="0.25">
      <c r="A19" s="1937" t="s">
        <v>2092</v>
      </c>
      <c r="B19" s="1938" t="s">
        <v>2106</v>
      </c>
      <c r="C19" s="1939" t="s">
        <v>2098</v>
      </c>
      <c r="D19" s="1844">
        <v>26233</v>
      </c>
      <c r="E19" s="1540">
        <f t="shared" si="2"/>
        <v>25000</v>
      </c>
      <c r="F19" s="1932">
        <f t="shared" si="1"/>
        <v>25000</v>
      </c>
      <c r="G19" s="1793">
        <f t="shared" si="3"/>
        <v>1233</v>
      </c>
    </row>
    <row r="20" spans="1:8" x14ac:dyDescent="0.25">
      <c r="A20" s="1937" t="s">
        <v>2093</v>
      </c>
      <c r="B20" s="1938" t="s">
        <v>2105</v>
      </c>
      <c r="C20" s="1939" t="s">
        <v>2099</v>
      </c>
      <c r="D20" s="1844">
        <v>18297</v>
      </c>
      <c r="E20" s="1540">
        <f t="shared" si="2"/>
        <v>18297</v>
      </c>
      <c r="F20" s="1932">
        <f t="shared" si="1"/>
        <v>18297</v>
      </c>
      <c r="G20" s="1793">
        <f t="shared" si="3"/>
        <v>0</v>
      </c>
    </row>
    <row r="21" spans="1:8" x14ac:dyDescent="0.25">
      <c r="A21" s="1937" t="s">
        <v>2094</v>
      </c>
      <c r="B21" s="1938" t="s">
        <v>2105</v>
      </c>
      <c r="C21" s="1939" t="s">
        <v>2099</v>
      </c>
      <c r="D21" s="1844">
        <v>4438</v>
      </c>
      <c r="E21" s="1540">
        <f t="shared" si="2"/>
        <v>4438</v>
      </c>
      <c r="F21" s="1932">
        <f t="shared" si="1"/>
        <v>4438</v>
      </c>
      <c r="G21" s="1793">
        <f t="shared" si="3"/>
        <v>0</v>
      </c>
    </row>
    <row r="22" spans="1:8" x14ac:dyDescent="0.25">
      <c r="A22" s="1937" t="s">
        <v>2090</v>
      </c>
      <c r="B22" s="1938" t="s">
        <v>2107</v>
      </c>
      <c r="C22" s="1939" t="s">
        <v>2100</v>
      </c>
      <c r="D22" s="1844">
        <v>3007</v>
      </c>
      <c r="E22" s="1540">
        <f t="shared" si="2"/>
        <v>3007</v>
      </c>
      <c r="F22" s="1932">
        <f t="shared" si="1"/>
        <v>3007</v>
      </c>
      <c r="G22" s="1793">
        <f t="shared" si="3"/>
        <v>0</v>
      </c>
    </row>
    <row r="23" spans="1:8" x14ac:dyDescent="0.25">
      <c r="A23" s="1937" t="s">
        <v>2095</v>
      </c>
      <c r="B23" s="1938" t="s">
        <v>2103</v>
      </c>
      <c r="C23" s="1939" t="s">
        <v>2101</v>
      </c>
      <c r="D23" s="1844">
        <v>32397</v>
      </c>
      <c r="E23" s="1540">
        <f t="shared" si="2"/>
        <v>25000</v>
      </c>
      <c r="F23" s="1932">
        <f t="shared" si="1"/>
        <v>25000</v>
      </c>
      <c r="G23" s="1793">
        <f t="shared" si="3"/>
        <v>7397</v>
      </c>
    </row>
    <row r="24" spans="1:8" x14ac:dyDescent="0.25">
      <c r="A24" s="1937" t="s">
        <v>2096</v>
      </c>
      <c r="B24" s="1938" t="s">
        <v>2104</v>
      </c>
      <c r="C24" s="1939" t="s">
        <v>2102</v>
      </c>
      <c r="D24" s="1844">
        <v>5141</v>
      </c>
      <c r="E24" s="1540">
        <f t="shared" si="2"/>
        <v>5141</v>
      </c>
      <c r="F24" s="1932">
        <f t="shared" si="1"/>
        <v>5141</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140657</v>
      </c>
      <c r="E141" s="1541">
        <f t="shared" si="0"/>
        <v>25000</v>
      </c>
      <c r="F141" s="1933">
        <f>SUM(F17:F140)</f>
        <v>123188</v>
      </c>
      <c r="G141" s="1795">
        <f>SUM(G17:G140)</f>
        <v>17469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42" sqref="A42:C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2798283</v>
      </c>
      <c r="F19" s="1799"/>
      <c r="G19" s="1801">
        <f>'Expenditures 15-22'!K33-SUM('Expenditures 15-22'!G33,'Expenditures 15-22'!I33)+'Expenditures 15-22'!D229</f>
        <v>2798283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131131</v>
      </c>
      <c r="F21" s="1802"/>
      <c r="G21" s="1805">
        <f>'Expenditures 15-22'!K42-SUM('Expenditures 15-22'!G42,'Expenditures 15-22'!I42)+'Expenditures 15-22'!K120-SUM('Expenditures 15-22'!G120,'Expenditures 15-22'!I120)+'Expenditures 15-22'!K180-SUM('Expenditures 15-22'!G180,'Expenditures 15-22'!I180)+'Expenditures 15-22'!D238</f>
        <v>131131</v>
      </c>
      <c r="H21" s="987"/>
      <c r="I21" s="162"/>
    </row>
    <row r="22" spans="1:9" s="668" customFormat="1" ht="12" customHeight="1" x14ac:dyDescent="0.2">
      <c r="A22" s="994" t="s">
        <v>564</v>
      </c>
      <c r="B22" s="995"/>
      <c r="C22" s="993">
        <v>2200</v>
      </c>
      <c r="D22" s="1802"/>
      <c r="E22" s="1804">
        <f>'Expenditures 15-22'!K47-SUM('Expenditures 15-22'!G47,'Expenditures 15-22'!I47)+'Expenditures 15-22'!D243</f>
        <v>79144</v>
      </c>
      <c r="F22" s="1802"/>
      <c r="G22" s="1805">
        <f>'Expenditures 15-22'!K47-SUM('Expenditures 15-22'!G47,'Expenditures 15-22'!I47)+'Expenditures 15-22'!D243</f>
        <v>79144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437615</v>
      </c>
      <c r="F23" s="1802"/>
      <c r="G23" s="1804">
        <f>'Expenditures 15-22'!K53-SUM('Expenditures 15-22'!G53,'Expenditures 15-22'!I53)+'Expenditures 15-22'!D257+'Expenditures 15-22'!K330-SUM('Expenditures 15-22'!G330,'Expenditures 15-22'!I330)</f>
        <v>437615</v>
      </c>
      <c r="H23" s="987"/>
      <c r="I23" s="162"/>
    </row>
    <row r="24" spans="1:9" s="668" customFormat="1" ht="12" customHeight="1" x14ac:dyDescent="0.2">
      <c r="A24" s="994" t="s">
        <v>566</v>
      </c>
      <c r="B24" s="995"/>
      <c r="C24" s="993">
        <v>2400</v>
      </c>
      <c r="D24" s="1802"/>
      <c r="E24" s="1804">
        <f>'Expenditures 15-22'!K57-SUM('Expenditures 15-22'!G57,'Expenditures 15-22'!I57)+'Expenditures 15-22'!D261</f>
        <v>251024</v>
      </c>
      <c r="F24" s="1802"/>
      <c r="G24" s="1805">
        <f>'Expenditures 15-22'!K57-SUM('Expenditures 15-22'!G57,'Expenditures 15-22'!I57)+'Expenditures 15-22'!D261</f>
        <v>251024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49139</v>
      </c>
      <c r="E26" s="1804">
        <f>'Expenditures 15-22'!K122-SUM('Expenditures 15-22'!G122,'Expenditures 15-22'!I122)+E7</f>
        <v>0</v>
      </c>
      <c r="F26" s="1804">
        <f>'Expenditures 15-22'!K59-SUM('Expenditures 15-22'!G59,'Expenditures 15-22'!I59)+'Expenditures 15-22'!D263-E7</f>
        <v>49139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151051</v>
      </c>
      <c r="E27" s="1804">
        <f>E8</f>
        <v>0</v>
      </c>
      <c r="F27" s="1804">
        <f>'Expenditures 15-22'!K60-SUM('Expenditures 15-22'!G60,'Expenditures 15-22'!I60)+'Expenditures 15-22'!D264-E8</f>
        <v>151051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587505</v>
      </c>
      <c r="F28" s="1806">
        <f>'Expenditures 15-22'!K61-SUM('Expenditures 15-22'!G61,'Expenditures 15-22'!I61)+'Expenditures 15-22'!K124-SUM('Expenditures 15-22'!G124,'Expenditures 15-22'!I124)+'Expenditures 15-22'!D266-E9</f>
        <v>587505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151070</v>
      </c>
      <c r="F29" s="1802"/>
      <c r="G29" s="1805">
        <f>'Expenditures 15-22'!K62-SUM('Expenditures 15-22'!G62,'Expenditures 15-22'!I62)+'Expenditures 15-22'!K125-SUM('Expenditures 15-22'!G125,'Expenditures 15-22'!I125)+'Expenditures 15-22'!K182-SUM('Expenditures 15-22'!G182,'Expenditures 15-22'!I182)+'Expenditures 15-22'!D267</f>
        <v>151070</v>
      </c>
      <c r="H29" s="985"/>
    </row>
    <row r="30" spans="1:9" ht="12" customHeight="1" x14ac:dyDescent="0.2">
      <c r="A30" s="994" t="s">
        <v>100</v>
      </c>
      <c r="B30" s="997"/>
      <c r="C30" s="993">
        <v>2560</v>
      </c>
      <c r="D30" s="1802"/>
      <c r="E30" s="1804">
        <f>'Expenditures 15-22'!K63-SUM('Expenditures 15-22'!G63,'Expenditures 15-22'!I63)+'Expenditures 15-22'!D268-E10</f>
        <v>13742</v>
      </c>
      <c r="F30" s="1802"/>
      <c r="G30" s="1804">
        <f>'Expenditures 15-22'!K63-SUM('Expenditures 15-22'!G63,'Expenditures 15-22'!I63)+'Expenditures 15-22'!D268-E10</f>
        <v>13742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7070</v>
      </c>
      <c r="F35" s="1802"/>
      <c r="G35" s="1804">
        <f>'Expenditures 15-22'!K69-SUM('Expenditures 15-22'!G69,'Expenditures 15-22'!I69)+'Expenditures 15-22'!D274</f>
        <v>7070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206478</v>
      </c>
      <c r="E37" s="1804">
        <f>E14</f>
        <v>0</v>
      </c>
      <c r="F37" s="1804">
        <f>'Expenditures 15-22'!K71-SUM('Expenditures 15-22'!G71,'Expenditures 15-22'!I71)+'Expenditures 15-22'!D276-E14</f>
        <v>206478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17186</v>
      </c>
      <c r="F39" s="1802"/>
      <c r="G39" s="1804">
        <f>'Expenditures 15-22'!K75-SUM('Expenditures 15-22'!G75,'Expenditures 15-22'!I75)+'Expenditures 15-22'!K130-SUM('Expenditures 15-22'!G130,'Expenditures 15-22'!I130)+'Expenditures 15-22'!K185-SUM('Expenditures 15-22'!G185,'Expenditures 15-22'!I185)+'Expenditures 15-22'!D280</f>
        <v>17186</v>
      </c>
    </row>
    <row r="40" spans="1:7" ht="12" customHeight="1" x14ac:dyDescent="0.2">
      <c r="A40" s="990" t="s">
        <v>1823</v>
      </c>
      <c r="B40" s="991"/>
      <c r="C40" s="993"/>
      <c r="D40" s="1802"/>
      <c r="E40" s="1806">
        <f>-'Contracts Paid in CY 29'!G141</f>
        <v>-17469</v>
      </c>
      <c r="F40" s="1802"/>
      <c r="G40" s="1806">
        <f>-'Contracts Paid in CY 29'!G141</f>
        <v>-17469</v>
      </c>
    </row>
    <row r="41" spans="1:7" ht="12" customHeight="1" x14ac:dyDescent="0.2">
      <c r="A41" s="998" t="s">
        <v>156</v>
      </c>
      <c r="B41" s="999"/>
      <c r="C41" s="1000"/>
      <c r="D41" s="1806">
        <f>SUM(D19:D39)</f>
        <v>406668</v>
      </c>
      <c r="E41" s="1806">
        <f>SUM(E19:E40)</f>
        <v>4456301</v>
      </c>
      <c r="F41" s="1806">
        <f>SUM(F19:F39)</f>
        <v>994173</v>
      </c>
      <c r="G41" s="1806">
        <f>SUM(G19:G40)</f>
        <v>3868796</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406668</v>
      </c>
      <c r="F43" s="1807" t="s">
        <v>473</v>
      </c>
      <c r="G43" s="1808">
        <f>F41</f>
        <v>994173</v>
      </c>
    </row>
    <row r="44" spans="1:7" ht="12" customHeight="1" x14ac:dyDescent="0.2">
      <c r="A44" s="987"/>
      <c r="B44" s="162"/>
      <c r="C44" s="1001"/>
      <c r="D44" s="1807" t="s">
        <v>474</v>
      </c>
      <c r="E44" s="1808">
        <f>E41</f>
        <v>4456301</v>
      </c>
      <c r="F44" s="1807" t="s">
        <v>474</v>
      </c>
      <c r="G44" s="1808">
        <f>G41</f>
        <v>3868796</v>
      </c>
    </row>
    <row r="45" spans="1:7" ht="12" customHeight="1" x14ac:dyDescent="0.2">
      <c r="A45" s="987"/>
      <c r="B45" s="162"/>
      <c r="C45" s="162"/>
      <c r="D45" s="1809" t="s">
        <v>1006</v>
      </c>
      <c r="E45" s="1810">
        <f>(E43/E44)</f>
        <v>9.1256851814991852E-2</v>
      </c>
      <c r="F45" s="1809" t="s">
        <v>1006</v>
      </c>
      <c r="G45" s="1810">
        <f>(G43/G44)</f>
        <v>0.25697219496711637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8" activePane="bottomLeft" state="frozen"/>
      <selection activeCell="A42" sqref="A42:C42"/>
      <selection pane="bottomLeft" activeCell="A42" sqref="A42:F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Winfield SD 34</v>
      </c>
      <c r="D6" s="2307"/>
      <c r="E6" s="2307"/>
      <c r="F6" s="1852"/>
    </row>
    <row r="7" spans="1:10" ht="11.25" customHeight="1" thickBot="1" x14ac:dyDescent="0.3">
      <c r="A7" s="1850"/>
      <c r="B7" s="1851"/>
      <c r="C7" s="2308">
        <f>COVER!A13</f>
        <v>19022034002</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42" sqref="A42:C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Winfield SD 34</v>
      </c>
      <c r="J6" s="2317"/>
      <c r="Q6" s="1664"/>
    </row>
    <row r="7" spans="1:17" x14ac:dyDescent="0.2">
      <c r="A7" s="2318" t="s">
        <v>869</v>
      </c>
      <c r="B7" s="2319"/>
      <c r="C7" s="2319"/>
      <c r="D7" s="2319"/>
      <c r="E7" s="2320"/>
      <c r="F7" s="1017"/>
      <c r="G7" s="1009"/>
      <c r="H7" s="1016" t="s">
        <v>372</v>
      </c>
      <c r="I7" s="2321">
        <f>COVER!A13</f>
        <v>19022034002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274074</v>
      </c>
      <c r="F12" s="1039"/>
      <c r="G12" s="1811">
        <f t="shared" ref="G12:G18" si="0">SUM(E12:F12)</f>
        <v>274074</v>
      </c>
      <c r="H12" s="1040">
        <v>294350</v>
      </c>
      <c r="I12" s="1039"/>
      <c r="J12" s="1811">
        <f t="shared" ref="J12:J18" si="1">SUM(H12:I12)</f>
        <v>294350</v>
      </c>
    </row>
    <row r="13" spans="1:17" ht="15" customHeight="1" x14ac:dyDescent="0.2">
      <c r="A13" s="1035">
        <v>2</v>
      </c>
      <c r="B13" s="1036" t="s">
        <v>42</v>
      </c>
      <c r="C13" s="1037"/>
      <c r="D13" s="1038">
        <v>2330</v>
      </c>
      <c r="E13" s="1811">
        <f>'Expenditures 15-22'!K51</f>
        <v>64920</v>
      </c>
      <c r="F13" s="1039"/>
      <c r="G13" s="1811">
        <f t="shared" si="0"/>
        <v>64920</v>
      </c>
      <c r="H13" s="1040">
        <v>67500</v>
      </c>
      <c r="I13" s="1039"/>
      <c r="J13" s="1811">
        <f t="shared" si="1"/>
        <v>67500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46002</v>
      </c>
      <c r="F15" s="1811">
        <f>'Expenditures 15-22'!K122</f>
        <v>0</v>
      </c>
      <c r="G15" s="1811">
        <f t="shared" si="0"/>
        <v>46002</v>
      </c>
      <c r="H15" s="1040">
        <v>44000</v>
      </c>
      <c r="I15" s="1040"/>
      <c r="J15" s="1811">
        <f t="shared" si="1"/>
        <v>44000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384996</v>
      </c>
      <c r="F19" s="1813">
        <f t="shared" si="2"/>
        <v>0</v>
      </c>
      <c r="G19" s="1813">
        <f t="shared" si="2"/>
        <v>384996</v>
      </c>
      <c r="H19" s="1813">
        <f t="shared" si="2"/>
        <v>405850</v>
      </c>
      <c r="I19" s="1813">
        <f t="shared" si="2"/>
        <v>0</v>
      </c>
      <c r="J19" s="1813">
        <f t="shared" si="2"/>
        <v>405850</v>
      </c>
    </row>
    <row r="20" spans="1:10" ht="13.5" thickTop="1" x14ac:dyDescent="0.2">
      <c r="A20" s="1035">
        <v>9</v>
      </c>
      <c r="B20" s="2328" t="s">
        <v>1980</v>
      </c>
      <c r="C20" s="2328"/>
      <c r="D20" s="2329"/>
      <c r="E20" s="1046"/>
      <c r="F20" s="1046"/>
      <c r="G20" s="1046"/>
      <c r="H20" s="1046"/>
      <c r="I20" s="1046"/>
      <c r="J20" s="1814">
        <f>IF(AND(G19&gt;0,J19&gt;0),(((J19-G19)/G19)),"Enter Budget Data")</f>
        <v>5.416679653814585E-2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2" sqref="A42:C4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Winfield SD 34</v>
      </c>
    </row>
    <row r="65" spans="2:2" x14ac:dyDescent="0.2">
      <c r="B65" s="1070">
        <f>COVER!A13</f>
        <v>19022034002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2" sqref="A42:C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0" sqref="I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57150</xdr:colOff>
                <xdr:row>2</xdr:row>
                <xdr:rowOff>66675</xdr:rowOff>
              </from>
              <to>
                <xdr:col>1</xdr:col>
                <xdr:colOff>847725</xdr:colOff>
                <xdr:row>6</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981075</xdr:colOff>
                <xdr:row>2</xdr:row>
                <xdr:rowOff>57150</xdr:rowOff>
              </from>
              <to>
                <xdr:col>1</xdr:col>
                <xdr:colOff>1895475</xdr:colOff>
                <xdr:row>6</xdr:row>
                <xdr:rowOff>95250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4506552</v>
      </c>
      <c r="C8" s="1815">
        <f>'Acct Summary 7-8'!D8</f>
        <v>621353</v>
      </c>
      <c r="D8" s="1815">
        <f>'Acct Summary 7-8'!F8</f>
        <v>77227</v>
      </c>
      <c r="E8" s="1815">
        <f>'Acct Summary 7-8'!I8</f>
        <v>6189</v>
      </c>
      <c r="F8" s="1815">
        <f>SUM(B8:E8)</f>
        <v>5211321</v>
      </c>
    </row>
    <row r="9" spans="1:8" s="1079" customFormat="1" ht="14.25" customHeight="1" thickBot="1" x14ac:dyDescent="0.25">
      <c r="A9" s="1078" t="s">
        <v>1369</v>
      </c>
      <c r="B9" s="1816">
        <f>'Acct Summary 7-8'!C17</f>
        <v>4350739</v>
      </c>
      <c r="C9" s="1816">
        <f>'Acct Summary 7-8'!D17</f>
        <v>569819</v>
      </c>
      <c r="D9" s="1816">
        <f>'Acct Summary 7-8'!F17</f>
        <v>142320</v>
      </c>
      <c r="E9" s="1815"/>
      <c r="F9" s="1815">
        <f>SUM(B9:E9)</f>
        <v>5062878</v>
      </c>
    </row>
    <row r="10" spans="1:8" s="1079" customFormat="1" ht="14.25" thickTop="1" thickBot="1" x14ac:dyDescent="0.25">
      <c r="A10" s="1080" t="s">
        <v>1370</v>
      </c>
      <c r="B10" s="1817">
        <f>(B8-B9)</f>
        <v>155813</v>
      </c>
      <c r="C10" s="1817">
        <f>(C8-C9)</f>
        <v>51534</v>
      </c>
      <c r="D10" s="1817">
        <f>(D8-D9)</f>
        <v>-65093</v>
      </c>
      <c r="E10" s="1816">
        <f>(E8-E9)</f>
        <v>6189</v>
      </c>
      <c r="F10" s="1818">
        <f>SUM(F8-F9)</f>
        <v>148443</v>
      </c>
    </row>
    <row r="11" spans="1:8" s="1079" customFormat="1" ht="14.25" thickTop="1" thickBot="1" x14ac:dyDescent="0.25">
      <c r="A11" s="1081" t="s">
        <v>1984</v>
      </c>
      <c r="B11" s="1819">
        <f>'Acct Summary 7-8'!C81</f>
        <v>3086363</v>
      </c>
      <c r="C11" s="1819">
        <f>'Acct Summary 7-8'!D81</f>
        <v>515133</v>
      </c>
      <c r="D11" s="1819">
        <f>'Acct Summary 7-8'!F81</f>
        <v>590</v>
      </c>
      <c r="E11" s="1819">
        <f>'Acct Summary 7-8'!I81</f>
        <v>453364</v>
      </c>
      <c r="F11" s="1820">
        <f>SUM(B11:E11)</f>
        <v>4055450</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7" colorId="8" zoomScale="110" zoomScaleNormal="110" workbookViewId="0">
      <selection activeCell="D44" sqref="D4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19022034002</v>
      </c>
    </row>
    <row r="3" spans="1:2" x14ac:dyDescent="0.2">
      <c r="A3" t="s">
        <v>956</v>
      </c>
      <c r="B3" s="138" t="str">
        <f>COVER!A15</f>
        <v>DUPAGE</v>
      </c>
    </row>
    <row r="4" spans="1:2" x14ac:dyDescent="0.2">
      <c r="A4" t="s">
        <v>1007</v>
      </c>
      <c r="B4" s="138" t="str">
        <f>COVER!A17</f>
        <v>Winfield SD 34</v>
      </c>
    </row>
    <row r="5" spans="1:2" x14ac:dyDescent="0.2">
      <c r="A5" t="s">
        <v>704</v>
      </c>
      <c r="B5" s="138" t="str">
        <f>COVER!A38</f>
        <v>DR. MATT RICH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&amp; PEASE, P.C.</v>
      </c>
    </row>
    <row r="17" spans="1:2" x14ac:dyDescent="0.2">
      <c r="A17" t="s">
        <v>884</v>
      </c>
      <c r="B17" s="138" t="str">
        <f>COVER!T15</f>
        <v>JEFFERY M. ROLLEFSON</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3086363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3086363</v>
      </c>
      <c r="D92" s="2" t="str">
        <f t="shared" si="0"/>
        <v>Error?</v>
      </c>
    </row>
    <row r="93" spans="1:4" x14ac:dyDescent="0.2">
      <c r="A93" s="5">
        <v>32</v>
      </c>
      <c r="B93" s="138">
        <f>'Assets-Liab 5-6'!C41</f>
        <v>3086363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515133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515133</v>
      </c>
      <c r="D123" s="2" t="str">
        <f t="shared" si="0"/>
        <v>Error?</v>
      </c>
    </row>
    <row r="124" spans="1:4" x14ac:dyDescent="0.2">
      <c r="A124" s="5">
        <v>63</v>
      </c>
      <c r="B124" s="138">
        <f>'Assets-Liab 5-6'!D41</f>
        <v>515133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669925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669925</v>
      </c>
      <c r="D140" s="2" t="str">
        <f t="shared" si="1"/>
        <v>Error?</v>
      </c>
    </row>
    <row r="141" spans="1:4" x14ac:dyDescent="0.2">
      <c r="A141" s="5">
        <v>80</v>
      </c>
      <c r="B141" s="138">
        <f>'Assets-Liab 5-6'!E41</f>
        <v>669925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590</v>
      </c>
      <c r="D170" s="2" t="str">
        <f t="shared" si="1"/>
        <v>Error?</v>
      </c>
    </row>
    <row r="171" spans="1:4" x14ac:dyDescent="0.2">
      <c r="A171" s="5">
        <v>110</v>
      </c>
      <c r="B171" s="138">
        <f>'Assets-Liab 5-6'!F41</f>
        <v>590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338502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338502</v>
      </c>
      <c r="D189" s="2" t="str">
        <f t="shared" si="1"/>
        <v>Error?</v>
      </c>
    </row>
    <row r="190" spans="1:4" x14ac:dyDescent="0.2">
      <c r="A190" s="5">
        <v>129</v>
      </c>
      <c r="B190" s="138">
        <f>'Assets-Liab 5-6'!G41</f>
        <v>338502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134411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134411</v>
      </c>
      <c r="D212" s="2" t="str">
        <f t="shared" si="2"/>
        <v>Error?</v>
      </c>
    </row>
    <row r="213" spans="1:4" x14ac:dyDescent="0.2">
      <c r="A213" s="12">
        <v>152</v>
      </c>
      <c r="B213" s="138">
        <f>'Assets-Liab 5-6'!H41</f>
        <v>134411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591553</v>
      </c>
      <c r="D273" s="2" t="str">
        <f t="shared" si="3"/>
        <v>Error?</v>
      </c>
    </row>
    <row r="274" spans="1:4" x14ac:dyDescent="0.2">
      <c r="A274" s="5">
        <v>213</v>
      </c>
      <c r="B274" s="138">
        <f>'Assets-Liab 5-6'!M17</f>
        <v>16178037</v>
      </c>
      <c r="D274" s="2" t="str">
        <f t="shared" si="3"/>
        <v>Error?</v>
      </c>
    </row>
    <row r="275" spans="1:4" x14ac:dyDescent="0.2">
      <c r="A275" s="5">
        <v>214</v>
      </c>
      <c r="B275" s="138">
        <f>'Assets-Liab 5-6'!M18</f>
        <v>880676</v>
      </c>
      <c r="D275" s="2" t="str">
        <f t="shared" si="3"/>
        <v>Error?</v>
      </c>
    </row>
    <row r="276" spans="1:4" x14ac:dyDescent="0.2">
      <c r="A276" s="5">
        <v>215</v>
      </c>
      <c r="B276" s="138">
        <f>'Assets-Liab 5-6'!M19</f>
        <v>526494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18176760</v>
      </c>
      <c r="C279" s="2" t="s">
        <v>573</v>
      </c>
      <c r="D279" s="2" t="str">
        <f t="shared" si="3"/>
        <v>Error?</v>
      </c>
    </row>
    <row r="280" spans="1:4" x14ac:dyDescent="0.2">
      <c r="A280" s="5">
        <v>219</v>
      </c>
      <c r="B280" s="138">
        <f>'Assets-Liab 5-6'!M40</f>
        <v>18176760</v>
      </c>
      <c r="D280" s="2" t="str">
        <f t="shared" si="3"/>
        <v>Error?</v>
      </c>
    </row>
    <row r="281" spans="1:4" x14ac:dyDescent="0.2">
      <c r="A281" s="5">
        <v>220</v>
      </c>
      <c r="B281" s="138">
        <f>'Assets-Liab 5-6'!M41</f>
        <v>18176760</v>
      </c>
      <c r="C281" s="2" t="s">
        <v>573</v>
      </c>
      <c r="D281" s="2" t="str">
        <f t="shared" si="3"/>
        <v>Error?</v>
      </c>
    </row>
    <row r="282" spans="1:4" x14ac:dyDescent="0.2">
      <c r="A282" s="5">
        <v>221</v>
      </c>
      <c r="B282" s="138">
        <f>'Assets-Liab 5-6'!N21</f>
        <v>669925</v>
      </c>
      <c r="D282" s="2" t="str">
        <f t="shared" si="3"/>
        <v>Error?</v>
      </c>
    </row>
    <row r="283" spans="1:4" x14ac:dyDescent="0.2">
      <c r="A283" s="5">
        <v>222</v>
      </c>
      <c r="B283" s="138">
        <f>'Assets-Liab 5-6'!N22</f>
        <v>1808592</v>
      </c>
      <c r="D283" s="2" t="str">
        <f t="shared" si="3"/>
        <v>Error?</v>
      </c>
    </row>
    <row r="284" spans="1:4" x14ac:dyDescent="0.2">
      <c r="A284" s="5">
        <v>223</v>
      </c>
      <c r="B284" s="138">
        <f>'Assets-Liab 5-6'!N23</f>
        <v>2478517</v>
      </c>
      <c r="C284" s="2" t="s">
        <v>573</v>
      </c>
      <c r="D284" s="2" t="str">
        <f t="shared" si="3"/>
        <v>Error?</v>
      </c>
    </row>
    <row r="285" spans="1:4" x14ac:dyDescent="0.2">
      <c r="A285" s="5">
        <v>224</v>
      </c>
      <c r="B285" s="138">
        <f>'Assets-Liab 5-6'!N36</f>
        <v>2478517</v>
      </c>
      <c r="D285" s="2" t="str">
        <f t="shared" si="3"/>
        <v>Error?</v>
      </c>
    </row>
    <row r="286" spans="1:4" x14ac:dyDescent="0.2">
      <c r="A286" s="10">
        <v>225</v>
      </c>
      <c r="D286" s="2" t="str">
        <f t="shared" si="3"/>
        <v>OK</v>
      </c>
    </row>
    <row r="287" spans="1:4" x14ac:dyDescent="0.2">
      <c r="A287" s="5">
        <v>226</v>
      </c>
      <c r="B287" s="138">
        <f>'Assets-Liab 5-6'!N37</f>
        <v>2478517</v>
      </c>
      <c r="C287" s="2" t="s">
        <v>573</v>
      </c>
      <c r="D287" s="2" t="str">
        <f t="shared" si="3"/>
        <v>Error?</v>
      </c>
    </row>
    <row r="288" spans="1:4" x14ac:dyDescent="0.2">
      <c r="A288" s="5">
        <v>227</v>
      </c>
      <c r="B288" s="138">
        <f>'Assets-Liab 5-6'!N41</f>
        <v>2478517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1744422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29660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2395359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57055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48534</v>
      </c>
      <c r="D726" s="2" t="str">
        <f t="shared" si="10"/>
        <v>Error?</v>
      </c>
    </row>
    <row r="727" spans="1:4" x14ac:dyDescent="0.2">
      <c r="A727" s="5">
        <v>666</v>
      </c>
      <c r="B727" s="138">
        <f>'Expenditures 15-22'!C42</f>
        <v>105589</v>
      </c>
      <c r="C727" s="2" t="s">
        <v>573</v>
      </c>
      <c r="D727" s="2" t="str">
        <f t="shared" si="10"/>
        <v>Error?</v>
      </c>
    </row>
    <row r="728" spans="1:4" x14ac:dyDescent="0.2">
      <c r="A728" s="5">
        <v>667</v>
      </c>
      <c r="B728" s="138">
        <f>'Expenditures 15-22'!C44</f>
        <v>3558</v>
      </c>
      <c r="D728" s="2" t="str">
        <f t="shared" si="10"/>
        <v>Error?</v>
      </c>
    </row>
    <row r="729" spans="1:4" x14ac:dyDescent="0.2">
      <c r="A729" s="5">
        <v>668</v>
      </c>
      <c r="B729" s="138">
        <f>'Expenditures 15-22'!C45</f>
        <v>30523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34081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222391</v>
      </c>
      <c r="D733" s="2" t="str">
        <f t="shared" si="10"/>
        <v>Error?</v>
      </c>
    </row>
    <row r="734" spans="1:4" x14ac:dyDescent="0.2">
      <c r="A734" s="5">
        <v>673</v>
      </c>
      <c r="B734" s="138">
        <f>'Expenditures 15-22'!C53</f>
        <v>287311</v>
      </c>
      <c r="C734" s="2" t="s">
        <v>573</v>
      </c>
      <c r="D734" s="2" t="str">
        <f t="shared" si="10"/>
        <v>Error?</v>
      </c>
    </row>
    <row r="735" spans="1:4" x14ac:dyDescent="0.2">
      <c r="A735" s="5">
        <v>674</v>
      </c>
      <c r="B735" s="138">
        <f>'Expenditures 15-22'!C55</f>
        <v>209253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209253</v>
      </c>
      <c r="C737" s="2" t="s">
        <v>573</v>
      </c>
      <c r="D737" s="2" t="str">
        <f t="shared" si="10"/>
        <v>Error?</v>
      </c>
    </row>
    <row r="738" spans="1:4" x14ac:dyDescent="0.2">
      <c r="A738" s="5">
        <v>677</v>
      </c>
      <c r="B738" s="138">
        <f>'Expenditures 15-22'!C59</f>
        <v>41002</v>
      </c>
      <c r="D738" s="2" t="str">
        <f t="shared" si="10"/>
        <v>Error?</v>
      </c>
    </row>
    <row r="739" spans="1:4" x14ac:dyDescent="0.2">
      <c r="A739" s="5">
        <v>678</v>
      </c>
      <c r="B739" s="138">
        <f>'Expenditures 15-22'!C60</f>
        <v>105588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146590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782824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3178183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144641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2420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248951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8010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3528</v>
      </c>
      <c r="D784" s="2" t="str">
        <f t="shared" si="11"/>
        <v>Error?</v>
      </c>
    </row>
    <row r="785" spans="1:4" x14ac:dyDescent="0.2">
      <c r="A785" s="5">
        <v>724</v>
      </c>
      <c r="B785" s="138">
        <f>'Expenditures 15-22'!D42</f>
        <v>11538</v>
      </c>
      <c r="C785" s="2" t="s">
        <v>573</v>
      </c>
      <c r="D785" s="2" t="str">
        <f t="shared" si="11"/>
        <v>Error?</v>
      </c>
    </row>
    <row r="786" spans="1:4" x14ac:dyDescent="0.2">
      <c r="A786" s="5">
        <v>725</v>
      </c>
      <c r="B786" s="138">
        <f>'Expenditures 15-22'!D44</f>
        <v>306</v>
      </c>
      <c r="D786" s="2" t="str">
        <f t="shared" si="11"/>
        <v>Error?</v>
      </c>
    </row>
    <row r="787" spans="1:4" x14ac:dyDescent="0.2">
      <c r="A787" s="5">
        <v>726</v>
      </c>
      <c r="B787" s="138">
        <f>'Expenditures 15-22'!D45</f>
        <v>12934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13240</v>
      </c>
      <c r="C789" s="2" t="s">
        <v>573</v>
      </c>
      <c r="D789" s="2" t="str">
        <f t="shared" si="11"/>
        <v>Error?</v>
      </c>
    </row>
    <row r="790" spans="1:4" x14ac:dyDescent="0.2">
      <c r="A790" s="5">
        <v>729</v>
      </c>
      <c r="B790" s="138">
        <f>'Expenditures 15-22'!D49</f>
        <v>12</v>
      </c>
      <c r="D790" s="2" t="str">
        <f t="shared" si="11"/>
        <v>Error?</v>
      </c>
    </row>
    <row r="791" spans="1:4" x14ac:dyDescent="0.2">
      <c r="A791" s="5">
        <v>730</v>
      </c>
      <c r="B791" s="138">
        <f>'Expenditures 15-22'!D50</f>
        <v>46744</v>
      </c>
      <c r="D791" s="2" t="str">
        <f t="shared" si="11"/>
        <v>Error?</v>
      </c>
    </row>
    <row r="792" spans="1:4" x14ac:dyDescent="0.2">
      <c r="A792" s="5">
        <v>731</v>
      </c>
      <c r="B792" s="138">
        <f>'Expenditures 15-22'!D53</f>
        <v>46756</v>
      </c>
      <c r="C792" s="2" t="s">
        <v>573</v>
      </c>
      <c r="D792" s="2" t="str">
        <f t="shared" si="11"/>
        <v>Error?</v>
      </c>
    </row>
    <row r="793" spans="1:4" x14ac:dyDescent="0.2">
      <c r="A793" s="5">
        <v>732</v>
      </c>
      <c r="B793" s="138">
        <f>'Expenditures 15-22'!D55</f>
        <v>25741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25741</v>
      </c>
      <c r="C795" s="2" t="s">
        <v>573</v>
      </c>
      <c r="D795" s="2" t="str">
        <f t="shared" si="11"/>
        <v>Error?</v>
      </c>
    </row>
    <row r="796" spans="1:4" x14ac:dyDescent="0.2">
      <c r="A796" s="5">
        <v>735</v>
      </c>
      <c r="B796" s="138">
        <f>'Expenditures 15-22'!D59</f>
        <v>5000</v>
      </c>
      <c r="D796" s="2" t="str">
        <f t="shared" si="11"/>
        <v>Error?</v>
      </c>
    </row>
    <row r="797" spans="1:4" x14ac:dyDescent="0.2">
      <c r="A797" s="5">
        <v>736</v>
      </c>
      <c r="B797" s="138">
        <f>'Expenditures 15-22'!D60</f>
        <v>20352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25352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122627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371578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16583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18863</v>
      </c>
      <c r="C836" s="2" t="s">
        <v>573</v>
      </c>
      <c r="D836" s="2" t="str">
        <f t="shared" si="12"/>
        <v>Error?</v>
      </c>
    </row>
    <row r="837" spans="1:4" x14ac:dyDescent="0.2">
      <c r="A837" s="5">
        <v>776</v>
      </c>
      <c r="B837" s="138">
        <f>'Expenditures 15-22'!E36</f>
        <v>8823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1899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10722</v>
      </c>
      <c r="C843" s="2" t="s">
        <v>573</v>
      </c>
      <c r="D843" s="2" t="str">
        <f t="shared" si="12"/>
        <v>Error?</v>
      </c>
    </row>
    <row r="844" spans="1:4" x14ac:dyDescent="0.2">
      <c r="A844" s="5">
        <v>783</v>
      </c>
      <c r="B844" s="138">
        <f>'Expenditures 15-22'!E44</f>
        <v>7040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8781</v>
      </c>
      <c r="D846" s="2" t="str">
        <f t="shared" si="12"/>
        <v>Error?</v>
      </c>
    </row>
    <row r="847" spans="1:4" x14ac:dyDescent="0.2">
      <c r="A847" s="5">
        <v>786</v>
      </c>
      <c r="B847" s="138">
        <f>'Expenditures 15-22'!E47</f>
        <v>15821</v>
      </c>
      <c r="C847" s="2" t="s">
        <v>573</v>
      </c>
      <c r="D847" s="2" t="str">
        <f t="shared" si="12"/>
        <v>Error?</v>
      </c>
    </row>
    <row r="848" spans="1:4" x14ac:dyDescent="0.2">
      <c r="A848" s="5">
        <v>787</v>
      </c>
      <c r="B848" s="138">
        <f>'Expenditures 15-22'!E49</f>
        <v>77844</v>
      </c>
      <c r="D848" s="2" t="str">
        <f t="shared" si="12"/>
        <v>Error?</v>
      </c>
    </row>
    <row r="849" spans="1:4" x14ac:dyDescent="0.2">
      <c r="A849" s="5">
        <v>788</v>
      </c>
      <c r="B849" s="138">
        <f>'Expenditures 15-22'!E50</f>
        <v>3471</v>
      </c>
      <c r="D849" s="2" t="str">
        <f t="shared" si="12"/>
        <v>Error?</v>
      </c>
    </row>
    <row r="850" spans="1:4" x14ac:dyDescent="0.2">
      <c r="A850" s="5">
        <v>789</v>
      </c>
      <c r="B850" s="138">
        <f>'Expenditures 15-22'!E53</f>
        <v>81315</v>
      </c>
      <c r="C850" s="2" t="s">
        <v>573</v>
      </c>
      <c r="D850" s="2" t="str">
        <f t="shared" si="12"/>
        <v>Error?</v>
      </c>
    </row>
    <row r="851" spans="1:4" x14ac:dyDescent="0.2">
      <c r="A851" s="5">
        <v>790</v>
      </c>
      <c r="B851" s="138">
        <f>'Expenditures 15-22'!E55</f>
        <v>48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6250</v>
      </c>
      <c r="D855" s="2" t="str">
        <f t="shared" si="12"/>
        <v>Error?</v>
      </c>
    </row>
    <row r="856" spans="1:4" x14ac:dyDescent="0.2">
      <c r="A856" s="5">
        <v>795</v>
      </c>
      <c r="B856" s="138">
        <f>'Expenditures 15-22'!E61</f>
        <v>14992</v>
      </c>
      <c r="D856" s="2" t="str">
        <f t="shared" si="12"/>
        <v>Error?</v>
      </c>
    </row>
    <row r="857" spans="1:4" x14ac:dyDescent="0.2">
      <c r="A857" s="5">
        <v>796</v>
      </c>
      <c r="B857" s="138">
        <f>'Expenditures 15-22'!E62</f>
        <v>8750</v>
      </c>
      <c r="D857" s="2" t="str">
        <f t="shared" si="12"/>
        <v>Error?</v>
      </c>
    </row>
    <row r="858" spans="1:4" x14ac:dyDescent="0.2">
      <c r="A858" s="5">
        <v>797</v>
      </c>
      <c r="B858" s="138">
        <f>'Expenditures 15-22'!E63</f>
        <v>13742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43734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7070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205056</v>
      </c>
      <c r="D867" s="2" t="str">
        <f t="shared" si="12"/>
        <v>Error?</v>
      </c>
    </row>
    <row r="868" spans="1:4" x14ac:dyDescent="0.2">
      <c r="A868" s="10">
        <v>807</v>
      </c>
      <c r="D868" s="2" t="str">
        <f t="shared" si="12"/>
        <v>OK</v>
      </c>
    </row>
    <row r="869" spans="1:4" x14ac:dyDescent="0.2">
      <c r="A869" s="5">
        <v>808</v>
      </c>
      <c r="B869" s="138">
        <f>'Expenditures 15-22'!E72</f>
        <v>212126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363766</v>
      </c>
      <c r="C871" s="2" t="s">
        <v>573</v>
      </c>
      <c r="D871" s="2" t="str">
        <f t="shared" si="12"/>
        <v>Error?</v>
      </c>
    </row>
    <row r="872" spans="1:4" x14ac:dyDescent="0.2">
      <c r="A872" s="5">
        <v>811</v>
      </c>
      <c r="B872" s="138">
        <f>'Expenditures 15-22'!E75</f>
        <v>17186</v>
      </c>
      <c r="D872" s="2" t="str">
        <f t="shared" si="12"/>
        <v>Error?</v>
      </c>
    </row>
    <row r="873" spans="1:4" x14ac:dyDescent="0.2">
      <c r="A873" s="5">
        <v>812</v>
      </c>
      <c r="B873" s="138">
        <f>'Expenditures 15-22'!E114</f>
        <v>399815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62790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74448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105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v>
      </c>
      <c r="C901" s="2" t="s">
        <v>573</v>
      </c>
      <c r="D901" s="2" t="str">
        <f t="shared" si="13"/>
        <v>Error?</v>
      </c>
    </row>
    <row r="902" spans="1:4" x14ac:dyDescent="0.2">
      <c r="A902" s="5">
        <v>841</v>
      </c>
      <c r="B902" s="138">
        <f>'Expenditures 15-22'!F44</f>
        <v>2790</v>
      </c>
      <c r="D902" s="2" t="str">
        <f t="shared" si="13"/>
        <v>Error?</v>
      </c>
    </row>
    <row r="903" spans="1:4" x14ac:dyDescent="0.2">
      <c r="A903" s="5">
        <v>842</v>
      </c>
      <c r="B903" s="138">
        <f>'Expenditures 15-22'!F45</f>
        <v>7965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10755</v>
      </c>
      <c r="C905" s="2" t="s">
        <v>573</v>
      </c>
      <c r="D905" s="2" t="str">
        <f t="shared" si="13"/>
        <v>Error?</v>
      </c>
    </row>
    <row r="906" spans="1:4" x14ac:dyDescent="0.2">
      <c r="A906" s="5">
        <v>845</v>
      </c>
      <c r="B906" s="138">
        <f>'Expenditures 15-22'!F49</f>
        <v>787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787</v>
      </c>
      <c r="C908" s="2" t="s">
        <v>573</v>
      </c>
      <c r="D908" s="2" t="str">
        <f t="shared" si="13"/>
        <v>Error?</v>
      </c>
    </row>
    <row r="909" spans="1:4" x14ac:dyDescent="0.2">
      <c r="A909" s="5">
        <v>848</v>
      </c>
      <c r="B909" s="138">
        <f>'Expenditures 15-22'!F55</f>
        <v>395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13102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13102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1422</v>
      </c>
      <c r="D925" s="2" t="str">
        <f t="shared" si="13"/>
        <v>Error?</v>
      </c>
    </row>
    <row r="926" spans="1:4" x14ac:dyDescent="0.2">
      <c r="A926" s="10">
        <v>865</v>
      </c>
      <c r="D926" s="2" t="str">
        <f t="shared" si="13"/>
        <v>OK</v>
      </c>
    </row>
    <row r="927" spans="1:4" x14ac:dyDescent="0.2">
      <c r="A927" s="5">
        <v>866</v>
      </c>
      <c r="B927" s="138">
        <f>'Expenditures 15-22'!F72</f>
        <v>1422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26566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101014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57388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57388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57388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6453</v>
      </c>
      <c r="D1022" s="2" t="str">
        <f t="shared" si="14"/>
        <v>Error?</v>
      </c>
    </row>
    <row r="1023" spans="1:4" x14ac:dyDescent="0.2">
      <c r="A1023" s="5">
        <v>962</v>
      </c>
      <c r="B1023" s="138">
        <f>'Expenditures 15-22'!H50</f>
        <v>1468</v>
      </c>
      <c r="D1023" s="2" t="str">
        <f t="shared" ref="D1023:D1086" si="15">IF(ISBLANK(B1023),"OK",IF(A1023-B1023=0,"OK","Error?"))</f>
        <v>Error?</v>
      </c>
    </row>
    <row r="1024" spans="1:4" x14ac:dyDescent="0.2">
      <c r="A1024" s="5">
        <v>963</v>
      </c>
      <c r="B1024" s="138">
        <f>'Expenditures 15-22'!H53</f>
        <v>7921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7921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230706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238627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2025824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35805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2795009</v>
      </c>
      <c r="C1108" s="2" t="s">
        <v>573</v>
      </c>
      <c r="D1108" s="2" t="str">
        <f t="shared" si="16"/>
        <v>Error?</v>
      </c>
    </row>
    <row r="1109" spans="1:4" x14ac:dyDescent="0.2">
      <c r="A1109" s="5">
        <v>1048</v>
      </c>
      <c r="B1109" s="138">
        <f>'Expenditures 15-22'!K36</f>
        <v>8823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66964</v>
      </c>
      <c r="C1111" s="2" t="s">
        <v>573</v>
      </c>
      <c r="D1111" s="2" t="str">
        <f t="shared" si="16"/>
        <v>Error?</v>
      </c>
    </row>
    <row r="1112" spans="1:4" x14ac:dyDescent="0.2">
      <c r="A1112" s="5">
        <v>1051</v>
      </c>
      <c r="B1112" s="138">
        <f>'Expenditures 15-22'!K39</f>
        <v>105</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52062</v>
      </c>
      <c r="C1114" s="2" t="s">
        <v>573</v>
      </c>
      <c r="D1114" s="2" t="str">
        <f t="shared" si="16"/>
        <v>Error?</v>
      </c>
    </row>
    <row r="1115" spans="1:4" x14ac:dyDescent="0.2">
      <c r="A1115" s="5">
        <v>1054</v>
      </c>
      <c r="B1115" s="138">
        <f>'Expenditures 15-22'!K42</f>
        <v>127954</v>
      </c>
      <c r="C1115" s="2" t="s">
        <v>573</v>
      </c>
      <c r="D1115" s="2" t="str">
        <f t="shared" si="16"/>
        <v>Error?</v>
      </c>
    </row>
    <row r="1116" spans="1:4" x14ac:dyDescent="0.2">
      <c r="A1116" s="5">
        <v>1055</v>
      </c>
      <c r="B1116" s="138">
        <f>'Expenditures 15-22'!K44</f>
        <v>13694</v>
      </c>
      <c r="C1116" s="2" t="s">
        <v>573</v>
      </c>
      <c r="D1116" s="2" t="str">
        <f t="shared" si="16"/>
        <v>Error?</v>
      </c>
    </row>
    <row r="1117" spans="1:4" x14ac:dyDescent="0.2">
      <c r="A1117" s="5">
        <v>1056</v>
      </c>
      <c r="B1117" s="138">
        <f>'Expenditures 15-22'!K45</f>
        <v>51422</v>
      </c>
      <c r="C1117" s="2" t="s">
        <v>573</v>
      </c>
      <c r="D1117" s="2" t="str">
        <f t="shared" si="16"/>
        <v>Error?</v>
      </c>
    </row>
    <row r="1118" spans="1:4" x14ac:dyDescent="0.2">
      <c r="A1118" s="5">
        <v>1057</v>
      </c>
      <c r="B1118" s="138">
        <f>'Expenditures 15-22'!K46</f>
        <v>8781</v>
      </c>
      <c r="C1118" s="2" t="s">
        <v>573</v>
      </c>
      <c r="D1118" s="2" t="str">
        <f t="shared" si="16"/>
        <v>Error?</v>
      </c>
    </row>
    <row r="1119" spans="1:4" x14ac:dyDescent="0.2">
      <c r="A1119" s="5">
        <v>1058</v>
      </c>
      <c r="B1119" s="138">
        <f>'Expenditures 15-22'!K47</f>
        <v>73897</v>
      </c>
      <c r="C1119" s="2" t="s">
        <v>573</v>
      </c>
      <c r="D1119" s="2" t="str">
        <f t="shared" si="16"/>
        <v>Error?</v>
      </c>
    </row>
    <row r="1120" spans="1:4" x14ac:dyDescent="0.2">
      <c r="A1120" s="5">
        <v>1059</v>
      </c>
      <c r="B1120" s="138">
        <f>'Expenditures 15-22'!K49</f>
        <v>85096</v>
      </c>
      <c r="C1120" s="2" t="s">
        <v>573</v>
      </c>
      <c r="D1120" s="2" t="str">
        <f t="shared" si="16"/>
        <v>Error?</v>
      </c>
    </row>
    <row r="1121" spans="1:4" x14ac:dyDescent="0.2">
      <c r="A1121" s="5">
        <v>1060</v>
      </c>
      <c r="B1121" s="138">
        <f>'Expenditures 15-22'!K50</f>
        <v>274074</v>
      </c>
      <c r="C1121" s="2" t="s">
        <v>573</v>
      </c>
      <c r="D1121" s="2" t="str">
        <f t="shared" si="16"/>
        <v>Error?</v>
      </c>
    </row>
    <row r="1122" spans="1:4" x14ac:dyDescent="0.2">
      <c r="A1122" s="5">
        <v>1061</v>
      </c>
      <c r="B1122" s="138">
        <f>'Expenditures 15-22'!K53</f>
        <v>424090</v>
      </c>
      <c r="C1122" s="2" t="s">
        <v>573</v>
      </c>
      <c r="D1122" s="2" t="str">
        <f t="shared" si="16"/>
        <v>Error?</v>
      </c>
    </row>
    <row r="1123" spans="1:4" x14ac:dyDescent="0.2">
      <c r="A1123" s="5">
        <v>1062</v>
      </c>
      <c r="B1123" s="138">
        <f>'Expenditures 15-22'!K55</f>
        <v>235437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235437</v>
      </c>
      <c r="C1125" s="2" t="s">
        <v>573</v>
      </c>
      <c r="D1125" s="2" t="str">
        <f t="shared" si="16"/>
        <v>Error?</v>
      </c>
    </row>
    <row r="1126" spans="1:4" x14ac:dyDescent="0.2">
      <c r="A1126" s="5">
        <v>1065</v>
      </c>
      <c r="B1126" s="138">
        <f>'Expenditures 15-22'!K59</f>
        <v>46002</v>
      </c>
      <c r="C1126" s="2" t="s">
        <v>573</v>
      </c>
      <c r="D1126" s="2" t="str">
        <f t="shared" si="16"/>
        <v>Error?</v>
      </c>
    </row>
    <row r="1127" spans="1:4" x14ac:dyDescent="0.2">
      <c r="A1127" s="5">
        <v>1066</v>
      </c>
      <c r="B1127" s="138">
        <f>'Expenditures 15-22'!K60</f>
        <v>132190</v>
      </c>
      <c r="C1127" s="2" t="s">
        <v>573</v>
      </c>
      <c r="D1127" s="2" t="str">
        <f t="shared" si="16"/>
        <v>Error?</v>
      </c>
    </row>
    <row r="1128" spans="1:4" x14ac:dyDescent="0.2">
      <c r="A1128" s="5">
        <v>1067</v>
      </c>
      <c r="B1128" s="138">
        <f>'Expenditures 15-22'!K61</f>
        <v>28094</v>
      </c>
      <c r="C1128" s="2" t="s">
        <v>573</v>
      </c>
      <c r="D1128" s="2" t="str">
        <f t="shared" si="16"/>
        <v>Error?</v>
      </c>
    </row>
    <row r="1129" spans="1:4" x14ac:dyDescent="0.2">
      <c r="A1129" s="5">
        <v>1068</v>
      </c>
      <c r="B1129" s="138">
        <f>'Expenditures 15-22'!K62</f>
        <v>8750</v>
      </c>
      <c r="C1129" s="2" t="s">
        <v>573</v>
      </c>
      <c r="D1129" s="2" t="str">
        <f t="shared" si="16"/>
        <v>Error?</v>
      </c>
    </row>
    <row r="1130" spans="1:4" x14ac:dyDescent="0.2">
      <c r="A1130" s="5">
        <v>1069</v>
      </c>
      <c r="B1130" s="138">
        <f>'Expenditures 15-22'!K63</f>
        <v>13742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228778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7070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210612</v>
      </c>
      <c r="C1139" s="2" t="s">
        <v>573</v>
      </c>
      <c r="D1139" s="2" t="str">
        <f t="shared" si="16"/>
        <v>Error?</v>
      </c>
    </row>
    <row r="1140" spans="1:4" x14ac:dyDescent="0.2">
      <c r="A1140" s="10">
        <v>1079</v>
      </c>
      <c r="D1140" s="2" t="str">
        <f t="shared" si="16"/>
        <v>OK</v>
      </c>
    </row>
    <row r="1141" spans="1:4" x14ac:dyDescent="0.2">
      <c r="A1141" s="5">
        <v>1080</v>
      </c>
      <c r="B1141" s="138">
        <f>'Expenditures 15-22'!K72</f>
        <v>217682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1307838</v>
      </c>
      <c r="C1143" s="2" t="s">
        <v>573</v>
      </c>
      <c r="D1143" s="2" t="str">
        <f t="shared" si="16"/>
        <v>Error?</v>
      </c>
    </row>
    <row r="1144" spans="1:4" x14ac:dyDescent="0.2">
      <c r="A1144" s="5">
        <v>1083</v>
      </c>
      <c r="B1144" s="138">
        <f>'Expenditures 15-22'!K75</f>
        <v>17186</v>
      </c>
      <c r="C1144" s="2" t="s">
        <v>573</v>
      </c>
      <c r="D1144" s="2" t="str">
        <f t="shared" si="16"/>
        <v>Error?</v>
      </c>
    </row>
    <row r="1145" spans="1:4" x14ac:dyDescent="0.2">
      <c r="A1145" s="5">
        <v>1084</v>
      </c>
      <c r="B1145" s="138">
        <f>'Expenditures 15-22'!K102</f>
        <v>230706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4350739</v>
      </c>
      <c r="C1152" s="2" t="s">
        <v>573</v>
      </c>
      <c r="D1152" s="2" t="str">
        <f t="shared" si="17"/>
        <v>Error?</v>
      </c>
    </row>
    <row r="1153" spans="1:4" x14ac:dyDescent="0.2">
      <c r="A1153" s="5">
        <v>1092</v>
      </c>
      <c r="B1153" s="138">
        <f>'Expenditures 15-22'!K115</f>
        <v>155813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177164</v>
      </c>
      <c r="D1221" s="2" t="str">
        <f t="shared" si="18"/>
        <v>Error?</v>
      </c>
    </row>
    <row r="1222" spans="1:4" x14ac:dyDescent="0.2">
      <c r="A1222" s="10">
        <v>1161</v>
      </c>
      <c r="D1222" s="2" t="str">
        <f t="shared" si="18"/>
        <v>OK</v>
      </c>
    </row>
    <row r="1223" spans="1:4" x14ac:dyDescent="0.2">
      <c r="A1223" s="5">
        <v>1162</v>
      </c>
      <c r="B1223" s="138">
        <f>'Expenditures 15-22'!C127</f>
        <v>177164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177164</v>
      </c>
      <c r="C1225" s="2" t="s">
        <v>573</v>
      </c>
      <c r="D1225" s="2" t="str">
        <f t="shared" si="18"/>
        <v>Error?</v>
      </c>
    </row>
    <row r="1226" spans="1:4" x14ac:dyDescent="0.2">
      <c r="A1226" s="5">
        <v>1165</v>
      </c>
      <c r="B1226" s="138">
        <f>'Expenditures 15-22'!C151</f>
        <v>177164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28777</v>
      </c>
      <c r="D1229" s="2" t="str">
        <f t="shared" si="18"/>
        <v>Error?</v>
      </c>
    </row>
    <row r="1230" spans="1:4" x14ac:dyDescent="0.2">
      <c r="A1230" s="10">
        <v>1169</v>
      </c>
      <c r="D1230" s="2" t="str">
        <f t="shared" si="18"/>
        <v>OK</v>
      </c>
    </row>
    <row r="1231" spans="1:4" x14ac:dyDescent="0.2">
      <c r="A1231" s="5">
        <v>1170</v>
      </c>
      <c r="B1231" s="138">
        <f>'Expenditures 15-22'!D127</f>
        <v>28777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28777</v>
      </c>
      <c r="C1233" s="2" t="s">
        <v>573</v>
      </c>
      <c r="D1233" s="2" t="str">
        <f t="shared" si="18"/>
        <v>Error?</v>
      </c>
    </row>
    <row r="1234" spans="1:4" x14ac:dyDescent="0.2">
      <c r="A1234" s="5">
        <v>1173</v>
      </c>
      <c r="B1234" s="138">
        <f>'Expenditures 15-22'!D151</f>
        <v>28777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177688</v>
      </c>
      <c r="D1237" s="2" t="str">
        <f t="shared" si="18"/>
        <v>Error?</v>
      </c>
    </row>
    <row r="1238" spans="1:4" x14ac:dyDescent="0.2">
      <c r="A1238" s="10">
        <v>1177</v>
      </c>
      <c r="D1238" s="2" t="str">
        <f t="shared" si="18"/>
        <v>OK</v>
      </c>
    </row>
    <row r="1239" spans="1:4" x14ac:dyDescent="0.2">
      <c r="A1239" s="5">
        <v>1178</v>
      </c>
      <c r="B1239" s="138">
        <f>'Expenditures 15-22'!E127</f>
        <v>177688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177688</v>
      </c>
      <c r="C1241" s="2" t="s">
        <v>573</v>
      </c>
      <c r="D1241" s="2" t="str">
        <f t="shared" si="18"/>
        <v>Error?</v>
      </c>
    </row>
    <row r="1242" spans="1:4" x14ac:dyDescent="0.2">
      <c r="A1242" s="5">
        <v>1181</v>
      </c>
      <c r="B1242" s="138">
        <f>'Expenditures 15-22'!E151</f>
        <v>177688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143056</v>
      </c>
      <c r="D1245" s="2" t="str">
        <f t="shared" si="18"/>
        <v>Error?</v>
      </c>
    </row>
    <row r="1246" spans="1:4" x14ac:dyDescent="0.2">
      <c r="A1246" s="10">
        <v>1185</v>
      </c>
      <c r="D1246" s="2" t="str">
        <f t="shared" si="18"/>
        <v>OK</v>
      </c>
    </row>
    <row r="1247" spans="1:4" x14ac:dyDescent="0.2">
      <c r="A1247" s="5">
        <v>1186</v>
      </c>
      <c r="B1247" s="138">
        <f>'Expenditures 15-22'!F127</f>
        <v>143056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143056</v>
      </c>
      <c r="C1249" s="2" t="s">
        <v>573</v>
      </c>
      <c r="D1249" s="2" t="str">
        <f t="shared" si="18"/>
        <v>Error?</v>
      </c>
    </row>
    <row r="1250" spans="1:4" x14ac:dyDescent="0.2">
      <c r="A1250" s="5">
        <v>1189</v>
      </c>
      <c r="B1250" s="138">
        <f>'Expenditures 15-22'!F151</f>
        <v>143056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32030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32030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32030</v>
      </c>
      <c r="C1258" s="2" t="s">
        <v>573</v>
      </c>
      <c r="D1258" s="2" t="str">
        <f t="shared" si="18"/>
        <v>Error?</v>
      </c>
    </row>
    <row r="1259" spans="1:4" x14ac:dyDescent="0.2">
      <c r="A1259" s="5">
        <v>1198</v>
      </c>
      <c r="B1259" s="138">
        <f>'Expenditures 15-22'!G151</f>
        <v>32030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569819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569819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569819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569819</v>
      </c>
      <c r="C1288" s="2" t="s">
        <v>573</v>
      </c>
      <c r="D1288" s="2" t="str">
        <f t="shared" si="19"/>
        <v>Error?</v>
      </c>
    </row>
    <row r="1289" spans="1:4" x14ac:dyDescent="0.2">
      <c r="A1289" s="5">
        <v>1228</v>
      </c>
      <c r="B1289" s="138">
        <f>'Expenditures 15-22'!K152</f>
        <v>51534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752563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253589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1006152</v>
      </c>
      <c r="C1317" s="2" t="s">
        <v>573</v>
      </c>
      <c r="D1317" s="2" t="str">
        <f t="shared" si="19"/>
        <v>Error?</v>
      </c>
    </row>
    <row r="1318" spans="1:4" x14ac:dyDescent="0.2">
      <c r="A1318" s="5">
        <v>1257</v>
      </c>
      <c r="B1318" s="138">
        <f>'Expenditures 15-22'!H174</f>
        <v>1006152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752563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253589</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1006152</v>
      </c>
      <c r="C1331" s="2" t="s">
        <v>573</v>
      </c>
      <c r="D1331" s="2" t="str">
        <f t="shared" si="19"/>
        <v>Error?</v>
      </c>
    </row>
    <row r="1332" spans="1:4" x14ac:dyDescent="0.2">
      <c r="A1332" s="5">
        <v>1271</v>
      </c>
      <c r="B1332" s="138">
        <f>'Expenditures 15-22'!K174</f>
        <v>1006152</v>
      </c>
      <c r="C1332" s="2" t="s">
        <v>573</v>
      </c>
      <c r="D1332" s="2" t="str">
        <f t="shared" si="19"/>
        <v>Error?</v>
      </c>
    </row>
    <row r="1333" spans="1:4" x14ac:dyDescent="0.2">
      <c r="A1333" s="5">
        <v>1272</v>
      </c>
      <c r="B1333" s="138">
        <f>'Expenditures 15-22'!K175</f>
        <v>-7015</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142320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142320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142320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142320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142320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142320</v>
      </c>
      <c r="C1388" s="2" t="s">
        <v>573</v>
      </c>
      <c r="D1388" s="2" t="str">
        <f t="shared" si="20"/>
        <v>Error?</v>
      </c>
    </row>
    <row r="1389" spans="1:4" x14ac:dyDescent="0.2">
      <c r="A1389" s="5">
        <v>1328</v>
      </c>
      <c r="B1389" s="138">
        <f>'Expenditures 15-22'!K211</f>
        <v>-65093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60662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2349</v>
      </c>
      <c r="D1416" s="2" t="str">
        <f t="shared" si="21"/>
        <v>Error?</v>
      </c>
    </row>
    <row r="1417" spans="1:4" x14ac:dyDescent="0.2">
      <c r="A1417" s="5">
        <v>1356</v>
      </c>
      <c r="B1417" s="138">
        <f>'Expenditures 15-22'!D238</f>
        <v>3177</v>
      </c>
      <c r="C1417" s="2" t="s">
        <v>573</v>
      </c>
      <c r="D1417" s="2" t="str">
        <f t="shared" si="21"/>
        <v>Error?</v>
      </c>
    </row>
    <row r="1418" spans="1:4" x14ac:dyDescent="0.2">
      <c r="A1418" s="5">
        <v>1357</v>
      </c>
      <c r="B1418" s="138">
        <f>'Expenditures 15-22'!D240</f>
        <v>57</v>
      </c>
      <c r="D1418" s="2" t="str">
        <f t="shared" si="21"/>
        <v>Error?</v>
      </c>
    </row>
    <row r="1419" spans="1:4" x14ac:dyDescent="0.2">
      <c r="A1419" s="5">
        <v>1358</v>
      </c>
      <c r="B1419" s="138">
        <f>'Expenditures 15-22'!D241</f>
        <v>5190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5247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12584</v>
      </c>
      <c r="D1423" s="2" t="str">
        <f t="shared" si="21"/>
        <v>Error?</v>
      </c>
    </row>
    <row r="1424" spans="1:4" x14ac:dyDescent="0.2">
      <c r="A1424" s="5">
        <v>1363</v>
      </c>
      <c r="B1424" s="138">
        <f>'Expenditures 15-22'!D257</f>
        <v>13525</v>
      </c>
      <c r="C1424" s="2" t="s">
        <v>573</v>
      </c>
      <c r="D1424" s="2" t="str">
        <f t="shared" si="21"/>
        <v>Error?</v>
      </c>
    </row>
    <row r="1425" spans="1:4" x14ac:dyDescent="0.2">
      <c r="A1425" s="5">
        <v>1364</v>
      </c>
      <c r="B1425" s="138">
        <f>'Expenditures 15-22'!D259</f>
        <v>15587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15587</v>
      </c>
      <c r="C1427" s="2" t="s">
        <v>573</v>
      </c>
      <c r="D1427" s="2" t="str">
        <f t="shared" si="21"/>
        <v>Error?</v>
      </c>
    </row>
    <row r="1428" spans="1:4" x14ac:dyDescent="0.2">
      <c r="A1428" s="5">
        <v>1367</v>
      </c>
      <c r="B1428" s="138">
        <f>'Expenditures 15-22'!D263</f>
        <v>3137</v>
      </c>
      <c r="D1428" s="2" t="str">
        <f t="shared" si="21"/>
        <v>Error?</v>
      </c>
    </row>
    <row r="1429" spans="1:4" x14ac:dyDescent="0.2">
      <c r="A1429" s="5">
        <v>1368</v>
      </c>
      <c r="B1429" s="138">
        <f>'Expenditures 15-22'!D264</f>
        <v>18861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32726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54724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92260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152922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550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60662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828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2349</v>
      </c>
      <c r="C1480" s="2" t="s">
        <v>573</v>
      </c>
      <c r="D1480" s="2" t="str">
        <f t="shared" si="22"/>
        <v>Error?</v>
      </c>
    </row>
    <row r="1481" spans="1:4" x14ac:dyDescent="0.2">
      <c r="A1481" s="5">
        <v>1420</v>
      </c>
      <c r="B1481" s="138">
        <f>'Expenditures 15-22'!K238</f>
        <v>3177</v>
      </c>
      <c r="C1481" s="2" t="s">
        <v>573</v>
      </c>
      <c r="D1481" s="2" t="str">
        <f t="shared" si="22"/>
        <v>Error?</v>
      </c>
    </row>
    <row r="1482" spans="1:4" x14ac:dyDescent="0.2">
      <c r="A1482" s="5">
        <v>1421</v>
      </c>
      <c r="B1482" s="138">
        <f>'Expenditures 15-22'!K240</f>
        <v>57</v>
      </c>
      <c r="C1482" s="2" t="s">
        <v>573</v>
      </c>
      <c r="D1482" s="2" t="str">
        <f t="shared" si="22"/>
        <v>Error?</v>
      </c>
    </row>
    <row r="1483" spans="1:4" x14ac:dyDescent="0.2">
      <c r="A1483" s="5">
        <v>1422</v>
      </c>
      <c r="B1483" s="138">
        <f>'Expenditures 15-22'!K241</f>
        <v>5190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5247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12584</v>
      </c>
      <c r="C1487" s="2" t="s">
        <v>573</v>
      </c>
      <c r="D1487" s="2" t="str">
        <f t="shared" si="22"/>
        <v>Error?</v>
      </c>
    </row>
    <row r="1488" spans="1:4" x14ac:dyDescent="0.2">
      <c r="A1488" s="5">
        <v>1427</v>
      </c>
      <c r="B1488" s="138">
        <f>'Expenditures 15-22'!K257</f>
        <v>13525</v>
      </c>
      <c r="C1488" s="2" t="s">
        <v>573</v>
      </c>
      <c r="D1488" s="2" t="str">
        <f t="shared" si="22"/>
        <v>Error?</v>
      </c>
    </row>
    <row r="1489" spans="1:4" x14ac:dyDescent="0.2">
      <c r="A1489" s="5">
        <v>1428</v>
      </c>
      <c r="B1489" s="138">
        <f>'Expenditures 15-22'!K259</f>
        <v>15587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15587</v>
      </c>
      <c r="C1491" s="2" t="s">
        <v>573</v>
      </c>
      <c r="D1491" s="2" t="str">
        <f t="shared" si="22"/>
        <v>Error?</v>
      </c>
    </row>
    <row r="1492" spans="1:4" x14ac:dyDescent="0.2">
      <c r="A1492" s="5">
        <v>1431</v>
      </c>
      <c r="B1492" s="138">
        <f>'Expenditures 15-22'!K263</f>
        <v>3137</v>
      </c>
      <c r="C1492" s="2" t="s">
        <v>573</v>
      </c>
      <c r="D1492" s="2" t="str">
        <f t="shared" si="22"/>
        <v>Error?</v>
      </c>
    </row>
    <row r="1493" spans="1:4" x14ac:dyDescent="0.2">
      <c r="A1493" s="5">
        <v>1432</v>
      </c>
      <c r="B1493" s="138">
        <f>'Expenditures 15-22'!K264</f>
        <v>18861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32726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54724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92260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152922</v>
      </c>
      <c r="C1517" s="2" t="s">
        <v>573</v>
      </c>
      <c r="D1517" s="2" t="str">
        <f t="shared" si="22"/>
        <v>Error?</v>
      </c>
    </row>
    <row r="1518" spans="1:4" x14ac:dyDescent="0.2">
      <c r="A1518" s="5">
        <v>1457</v>
      </c>
      <c r="B1518" s="138">
        <f>'Expenditures 15-22'!K296</f>
        <v>78973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12530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12530</v>
      </c>
      <c r="C1535" s="2" t="s">
        <v>573</v>
      </c>
      <c r="D1535" s="2" t="str">
        <f t="shared" ref="D1535:D1598" si="23">IF(ISBLANK(B1535),"OK",IF(A1535-B1535=0,"OK","Error?"))</f>
        <v>Error?</v>
      </c>
    </row>
    <row r="1536" spans="1:4" x14ac:dyDescent="0.2">
      <c r="A1536" s="5">
        <v>1475</v>
      </c>
      <c r="B1536" s="138">
        <f>'Expenditures 15-22'!E312</f>
        <v>12530</v>
      </c>
      <c r="C1536" s="2" t="s">
        <v>573</v>
      </c>
      <c r="D1536" s="2" t="str">
        <f t="shared" si="23"/>
        <v>Error?</v>
      </c>
    </row>
    <row r="1537" spans="1:4" x14ac:dyDescent="0.2">
      <c r="A1537" s="5">
        <v>1476</v>
      </c>
      <c r="B1537" s="138">
        <f>'Expenditures 15-22'!F301</f>
        <v>2602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2602</v>
      </c>
      <c r="C1541" s="2" t="s">
        <v>573</v>
      </c>
      <c r="D1541" s="2" t="str">
        <f t="shared" si="23"/>
        <v>Error?</v>
      </c>
    </row>
    <row r="1542" spans="1:4" x14ac:dyDescent="0.2">
      <c r="A1542" s="5">
        <v>1481</v>
      </c>
      <c r="B1542" s="138">
        <f>'Expenditures 15-22'!F312</f>
        <v>2602</v>
      </c>
      <c r="C1542" s="2" t="s">
        <v>573</v>
      </c>
      <c r="D1542" s="2" t="str">
        <f t="shared" si="23"/>
        <v>Error?</v>
      </c>
    </row>
    <row r="1543" spans="1:4" x14ac:dyDescent="0.2">
      <c r="A1543" s="5">
        <v>1482</v>
      </c>
      <c r="B1543" s="138">
        <f>'Expenditures 15-22'!G301</f>
        <v>365695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365695</v>
      </c>
      <c r="C1547" s="2" t="s">
        <v>573</v>
      </c>
      <c r="D1547" s="2" t="str">
        <f t="shared" si="23"/>
        <v>Error?</v>
      </c>
    </row>
    <row r="1548" spans="1:4" x14ac:dyDescent="0.2">
      <c r="A1548" s="5">
        <v>1487</v>
      </c>
      <c r="B1548" s="138">
        <f>'Expenditures 15-22'!G312</f>
        <v>365695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386481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386481</v>
      </c>
      <c r="C1559" s="2" t="s">
        <v>573</v>
      </c>
      <c r="D1559" s="2" t="str">
        <f t="shared" si="23"/>
        <v>Error?</v>
      </c>
    </row>
    <row r="1560" spans="1:4" x14ac:dyDescent="0.2">
      <c r="A1560" s="5">
        <v>1499</v>
      </c>
      <c r="B1560" s="138">
        <f>'Expenditures 15-22'!K312</f>
        <v>386481</v>
      </c>
      <c r="C1560" s="2" t="s">
        <v>573</v>
      </c>
      <c r="D1560" s="2" t="str">
        <f t="shared" si="23"/>
        <v>Error?</v>
      </c>
    </row>
    <row r="1561" spans="1:4" x14ac:dyDescent="0.2">
      <c r="A1561" s="5">
        <v>1500</v>
      </c>
      <c r="B1561" s="138">
        <f>'Expenditures 15-22'!K313</f>
        <v>-351777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2992496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3086363</v>
      </c>
      <c r="C1630" s="2" t="s">
        <v>573</v>
      </c>
      <c r="D1630" s="2" t="str">
        <f t="shared" si="24"/>
        <v>Error?</v>
      </c>
    </row>
    <row r="1631" spans="1:4" x14ac:dyDescent="0.2">
      <c r="A1631" s="5">
        <v>1570</v>
      </c>
      <c r="B1631" s="138">
        <f>'Acct Summary 7-8'!D79</f>
        <v>463599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515133</v>
      </c>
      <c r="C1644" s="2" t="s">
        <v>573</v>
      </c>
      <c r="D1644" s="2" t="str">
        <f t="shared" si="24"/>
        <v>Error?</v>
      </c>
    </row>
    <row r="1645" spans="1:4" x14ac:dyDescent="0.2">
      <c r="A1645" s="5">
        <v>1584</v>
      </c>
      <c r="B1645" s="138">
        <f>'Acct Summary 7-8'!E79</f>
        <v>665439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669925</v>
      </c>
      <c r="C1658" s="2" t="s">
        <v>573</v>
      </c>
      <c r="D1658" s="2" t="str">
        <f t="shared" si="24"/>
        <v>Error?</v>
      </c>
    </row>
    <row r="1659" spans="1:4" x14ac:dyDescent="0.2">
      <c r="A1659" s="5">
        <v>1598</v>
      </c>
      <c r="B1659" s="138">
        <f>'Acct Summary 7-8'!F79</f>
        <v>65683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590</v>
      </c>
      <c r="C1672" s="2" t="s">
        <v>573</v>
      </c>
      <c r="D1672" s="2" t="str">
        <f t="shared" si="25"/>
        <v>Error?</v>
      </c>
    </row>
    <row r="1673" spans="1:4" x14ac:dyDescent="0.2">
      <c r="A1673" s="5">
        <v>1612</v>
      </c>
      <c r="B1673" s="138">
        <f>'Acct Summary 7-8'!G79</f>
        <v>259529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338502</v>
      </c>
      <c r="C1686" s="2" t="s">
        <v>573</v>
      </c>
      <c r="D1686" s="2" t="str">
        <f t="shared" si="25"/>
        <v>Error?</v>
      </c>
    </row>
    <row r="1687" spans="1:4" x14ac:dyDescent="0.2">
      <c r="A1687" s="5">
        <v>1626</v>
      </c>
      <c r="B1687" s="138">
        <f>'Acct Summary 7-8'!H79</f>
        <v>378355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134411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3101492</v>
      </c>
      <c r="C1744" s="2" t="s">
        <v>573</v>
      </c>
      <c r="D1744" s="2" t="str">
        <f t="shared" si="26"/>
        <v>Error?</v>
      </c>
    </row>
    <row r="1745" spans="1:5" x14ac:dyDescent="0.2">
      <c r="A1745" s="5">
        <v>1684</v>
      </c>
      <c r="B1745" s="138">
        <f>'Tax Sched 23'!B5</f>
        <v>614661</v>
      </c>
      <c r="C1745" s="2" t="s">
        <v>573</v>
      </c>
      <c r="D1745" s="2" t="str">
        <f t="shared" si="26"/>
        <v>Error?</v>
      </c>
    </row>
    <row r="1746" spans="1:5" x14ac:dyDescent="0.2">
      <c r="A1746" s="5">
        <v>1685</v>
      </c>
      <c r="B1746" s="138">
        <f>'Tax Sched 23'!B6</f>
        <v>996248</v>
      </c>
      <c r="C1746" s="2" t="s">
        <v>573</v>
      </c>
      <c r="D1746" s="2" t="str">
        <f t="shared" si="26"/>
        <v>Error?</v>
      </c>
    </row>
    <row r="1747" spans="1:5" x14ac:dyDescent="0.2">
      <c r="A1747" s="5">
        <v>1686</v>
      </c>
      <c r="B1747" s="138">
        <f>'Tax Sched 23'!B7</f>
        <v>20889</v>
      </c>
      <c r="C1747" s="2" t="s">
        <v>573</v>
      </c>
      <c r="D1747" s="2" t="str">
        <f t="shared" si="26"/>
        <v>Error?</v>
      </c>
    </row>
    <row r="1748" spans="1:5" x14ac:dyDescent="0.2">
      <c r="A1748" s="5">
        <v>1687</v>
      </c>
      <c r="B1748" s="138">
        <f>'Tax Sched 23'!B8</f>
        <v>119327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530818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5458694</v>
      </c>
      <c r="C1759" s="2" t="s">
        <v>573</v>
      </c>
      <c r="D1759" s="2" t="str">
        <f t="shared" si="26"/>
        <v>Error?</v>
      </c>
    </row>
    <row r="1760" spans="1:5" x14ac:dyDescent="0.2">
      <c r="A1760" s="5">
        <v>1699</v>
      </c>
      <c r="B1760" s="138">
        <f>'Tax Sched 23'!D4</f>
        <v>1499637</v>
      </c>
      <c r="C1760" s="2" t="s">
        <v>573</v>
      </c>
      <c r="D1760" s="2" t="str">
        <f t="shared" si="26"/>
        <v>Error?</v>
      </c>
    </row>
    <row r="1761" spans="1:5" x14ac:dyDescent="0.2">
      <c r="A1761" s="5">
        <v>1700</v>
      </c>
      <c r="B1761" s="138">
        <f>'Tax Sched 23'!D5</f>
        <v>297202</v>
      </c>
      <c r="C1761" s="2" t="s">
        <v>573</v>
      </c>
      <c r="D1761" s="2" t="str">
        <f t="shared" si="26"/>
        <v>Error?</v>
      </c>
    </row>
    <row r="1762" spans="1:5" s="8" customFormat="1" x14ac:dyDescent="0.2">
      <c r="A1762" s="5">
        <v>1701</v>
      </c>
      <c r="B1762" s="138">
        <f>'Tax Sched 23'!D6</f>
        <v>481707</v>
      </c>
      <c r="C1762" s="2" t="s">
        <v>573</v>
      </c>
      <c r="D1762" s="2" t="str">
        <f t="shared" si="26"/>
        <v>Error?</v>
      </c>
      <c r="E1762" s="9"/>
    </row>
    <row r="1763" spans="1:5" x14ac:dyDescent="0.2">
      <c r="A1763" s="5">
        <v>1702</v>
      </c>
      <c r="B1763" s="138">
        <f>'Tax Sched 23'!D7</f>
        <v>10100</v>
      </c>
      <c r="C1763" s="2" t="s">
        <v>573</v>
      </c>
      <c r="D1763" s="2" t="str">
        <f t="shared" si="26"/>
        <v>Error?</v>
      </c>
    </row>
    <row r="1764" spans="1:5" x14ac:dyDescent="0.2">
      <c r="A1764" s="5">
        <v>1703</v>
      </c>
      <c r="B1764" s="138">
        <f>'Tax Sched 23'!D8</f>
        <v>57697</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256662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2639394</v>
      </c>
      <c r="C1775" s="2" t="s">
        <v>573</v>
      </c>
      <c r="D1775" s="2" t="str">
        <f t="shared" si="26"/>
        <v>Error?</v>
      </c>
    </row>
    <row r="1776" spans="1:5" x14ac:dyDescent="0.2">
      <c r="A1776" s="5">
        <v>1715</v>
      </c>
      <c r="B1776" s="138">
        <f>'Tax Sched 23'!C4</f>
        <v>1601855</v>
      </c>
      <c r="D1776" s="2" t="str">
        <f t="shared" si="26"/>
        <v>Error?</v>
      </c>
    </row>
    <row r="1777" spans="1:4" x14ac:dyDescent="0.2">
      <c r="A1777" s="5">
        <v>1716</v>
      </c>
      <c r="B1777" s="138">
        <f>'Tax Sched 23'!C5</f>
        <v>317459</v>
      </c>
      <c r="D1777" s="2" t="str">
        <f t="shared" si="26"/>
        <v>Error?</v>
      </c>
    </row>
    <row r="1778" spans="1:4" x14ac:dyDescent="0.2">
      <c r="A1778" s="5">
        <v>1717</v>
      </c>
      <c r="B1778" s="138">
        <f>'Tax Sched 23'!C6</f>
        <v>514541</v>
      </c>
      <c r="D1778" s="2" t="str">
        <f t="shared" si="26"/>
        <v>Error?</v>
      </c>
    </row>
    <row r="1779" spans="1:4" x14ac:dyDescent="0.2">
      <c r="A1779" s="5">
        <v>1718</v>
      </c>
      <c r="B1779" s="138">
        <f>'Tax Sched 23'!C7</f>
        <v>10789</v>
      </c>
      <c r="D1779" s="2" t="str">
        <f t="shared" si="26"/>
        <v>Error?</v>
      </c>
    </row>
    <row r="1780" spans="1:4" x14ac:dyDescent="0.2">
      <c r="A1780" s="5">
        <v>1719</v>
      </c>
      <c r="B1780" s="138">
        <f>'Tax Sched 23'!C8</f>
        <v>61630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274156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2819300</v>
      </c>
      <c r="C1791" s="2" t="s">
        <v>573</v>
      </c>
      <c r="D1791" s="2" t="str">
        <f t="shared" ref="D1791:D1854" si="27">IF(ISBLANK(B1791),"OK",IF(A1791-B1791=0,"OK","Error?"))</f>
        <v>Error?</v>
      </c>
    </row>
    <row r="1792" spans="1:4" x14ac:dyDescent="0.2">
      <c r="A1792" s="5">
        <v>1731</v>
      </c>
      <c r="B1792" s="138">
        <f>'Tax Sched 23'!F4</f>
        <v>1597048</v>
      </c>
      <c r="C1792" s="2" t="s">
        <v>573</v>
      </c>
      <c r="D1792" s="2" t="str">
        <f t="shared" si="27"/>
        <v>Error?</v>
      </c>
    </row>
    <row r="1793" spans="1:4" x14ac:dyDescent="0.2">
      <c r="A1793" s="5">
        <v>1732</v>
      </c>
      <c r="B1793" s="138">
        <f>'Tax Sched 23'!F5</f>
        <v>317681</v>
      </c>
      <c r="C1793" s="2" t="s">
        <v>573</v>
      </c>
      <c r="D1793" s="2" t="str">
        <f t="shared" si="27"/>
        <v>Error?</v>
      </c>
    </row>
    <row r="1794" spans="1:4" x14ac:dyDescent="0.2">
      <c r="A1794" s="5">
        <v>1733</v>
      </c>
      <c r="B1794" s="138">
        <f>'Tax Sched 23'!F6</f>
        <v>520215</v>
      </c>
      <c r="C1794" s="2" t="s">
        <v>573</v>
      </c>
      <c r="D1794" s="2" t="str">
        <f t="shared" si="27"/>
        <v>Error?</v>
      </c>
    </row>
    <row r="1795" spans="1:4" x14ac:dyDescent="0.2">
      <c r="A1795" s="5">
        <v>1734</v>
      </c>
      <c r="B1795" s="138">
        <f>'Tax Sched 23'!F7</f>
        <v>10898</v>
      </c>
      <c r="C1795" s="2" t="s">
        <v>573</v>
      </c>
      <c r="D1795" s="2" t="str">
        <f t="shared" si="27"/>
        <v>Error?</v>
      </c>
    </row>
    <row r="1796" spans="1:4" x14ac:dyDescent="0.2">
      <c r="A1796" s="5">
        <v>1735</v>
      </c>
      <c r="B1796" s="138">
        <f>'Tax Sched 23'!F8</f>
        <v>64549</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269079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2818400</v>
      </c>
      <c r="C1807" s="2" t="s">
        <v>573</v>
      </c>
      <c r="D1807" s="2" t="str">
        <f t="shared" si="27"/>
        <v>Error?</v>
      </c>
    </row>
    <row r="1808" spans="1:4" x14ac:dyDescent="0.2">
      <c r="A1808" s="5">
        <v>1747</v>
      </c>
      <c r="B1808" s="138">
        <f>'Tax Sched 23'!E4</f>
        <v>3198903</v>
      </c>
      <c r="D1808" s="2" t="str">
        <f t="shared" si="27"/>
        <v>Error?</v>
      </c>
    </row>
    <row r="1809" spans="1:4" x14ac:dyDescent="0.2">
      <c r="A1809" s="5">
        <v>1748</v>
      </c>
      <c r="B1809" s="138">
        <f>'Tax Sched 23'!E5</f>
        <v>635140</v>
      </c>
      <c r="D1809" s="2" t="str">
        <f t="shared" si="27"/>
        <v>Error?</v>
      </c>
    </row>
    <row r="1810" spans="1:4" x14ac:dyDescent="0.2">
      <c r="A1810" s="5">
        <v>1749</v>
      </c>
      <c r="B1810" s="138">
        <f>'Tax Sched 23'!E6</f>
        <v>1034756</v>
      </c>
      <c r="D1810" s="2" t="str">
        <f t="shared" si="27"/>
        <v>Error?</v>
      </c>
    </row>
    <row r="1811" spans="1:4" x14ac:dyDescent="0.2">
      <c r="A1811" s="5">
        <v>1750</v>
      </c>
      <c r="B1811" s="138">
        <f>'Tax Sched 23'!E7</f>
        <v>21687</v>
      </c>
      <c r="D1811" s="2" t="str">
        <f t="shared" si="27"/>
        <v>Error?</v>
      </c>
    </row>
    <row r="1812" spans="1:4" x14ac:dyDescent="0.2">
      <c r="A1812" s="5">
        <v>1751</v>
      </c>
      <c r="B1812" s="138">
        <f>'Tax Sched 23'!E8</f>
        <v>126179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543235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5637700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2744567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530818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530818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530818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591553</v>
      </c>
      <c r="D2008" s="2" t="str">
        <f t="shared" si="30"/>
        <v>Error?</v>
      </c>
    </row>
    <row r="2009" spans="1:4" x14ac:dyDescent="0.2">
      <c r="A2009" s="5">
        <v>1948</v>
      </c>
      <c r="B2009" s="138">
        <f>'Cap Outlay Deprec 26'!C8</f>
        <v>16096184</v>
      </c>
      <c r="D2009" s="2" t="str">
        <f t="shared" si="30"/>
        <v>Error?</v>
      </c>
    </row>
    <row r="2010" spans="1:4" x14ac:dyDescent="0.2">
      <c r="A2010" s="5">
        <v>1949</v>
      </c>
      <c r="B2010" s="138">
        <f>'Cap Outlay Deprec 26'!C10</f>
        <v>653918</v>
      </c>
      <c r="D2010" s="2" t="str">
        <f t="shared" si="30"/>
        <v>Error?</v>
      </c>
    </row>
    <row r="2011" spans="1:4" x14ac:dyDescent="0.2">
      <c r="A2011" s="5">
        <v>1950</v>
      </c>
      <c r="B2011" s="138">
        <f>'Cap Outlay Deprec 26'!C12</f>
        <v>702501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18044156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81853</v>
      </c>
      <c r="D2015" s="2" t="str">
        <f t="shared" si="30"/>
        <v>Error?</v>
      </c>
    </row>
    <row r="2016" spans="1:4" x14ac:dyDescent="0.2">
      <c r="A2016" s="5">
        <v>1955</v>
      </c>
      <c r="B2016" s="138">
        <f>'Cap Outlay Deprec 26'!D10</f>
        <v>226758</v>
      </c>
      <c r="D2016" s="2" t="str">
        <f t="shared" si="30"/>
        <v>Error?</v>
      </c>
    </row>
    <row r="2017" spans="1:4" x14ac:dyDescent="0.2">
      <c r="A2017" s="5">
        <v>1956</v>
      </c>
      <c r="B2017" s="138">
        <f>'Cap Outlay Deprec 26'!D12</f>
        <v>146503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455114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591553</v>
      </c>
      <c r="C2026" s="2" t="s">
        <v>573</v>
      </c>
      <c r="D2026" s="2" t="str">
        <f t="shared" si="30"/>
        <v>Error?</v>
      </c>
    </row>
    <row r="2027" spans="1:4" x14ac:dyDescent="0.2">
      <c r="A2027" s="5">
        <v>1966</v>
      </c>
      <c r="B2027" s="138">
        <f>'Cap Outlay Deprec 26'!F8</f>
        <v>16178037</v>
      </c>
      <c r="C2027" s="2" t="s">
        <v>573</v>
      </c>
      <c r="D2027" s="2" t="str">
        <f t="shared" si="30"/>
        <v>Error?</v>
      </c>
    </row>
    <row r="2028" spans="1:4" x14ac:dyDescent="0.2">
      <c r="A2028" s="5">
        <v>1967</v>
      </c>
      <c r="B2028" s="138">
        <f>'Cap Outlay Deprec 26'!F10</f>
        <v>880676</v>
      </c>
      <c r="C2028" s="2" t="s">
        <v>573</v>
      </c>
      <c r="D2028" s="2" t="str">
        <f t="shared" si="30"/>
        <v>Error?</v>
      </c>
    </row>
    <row r="2029" spans="1:4" x14ac:dyDescent="0.2">
      <c r="A2029" s="5">
        <v>1968</v>
      </c>
      <c r="B2029" s="138">
        <f>'Cap Outlay Deprec 26'!F12</f>
        <v>849004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18499270</v>
      </c>
      <c r="C2031" s="2" t="s">
        <v>573</v>
      </c>
      <c r="D2031" s="2" t="str">
        <f t="shared" si="30"/>
        <v>Error?</v>
      </c>
    </row>
    <row r="2032" spans="1:4" x14ac:dyDescent="0.2">
      <c r="A2032" s="10">
        <v>1971</v>
      </c>
      <c r="D2032" s="2" t="str">
        <f t="shared" si="30"/>
        <v>OK</v>
      </c>
    </row>
    <row r="2033" spans="1:4" x14ac:dyDescent="0.2">
      <c r="A2033" s="5">
        <v>1972</v>
      </c>
      <c r="B2033" s="138">
        <f>'Cap Outlay Deprec 26'!H8</f>
        <v>6744528</v>
      </c>
      <c r="D2033" s="2" t="str">
        <f t="shared" si="30"/>
        <v>Error?</v>
      </c>
    </row>
    <row r="2034" spans="1:4" x14ac:dyDescent="0.2">
      <c r="A2034" s="5">
        <v>1973</v>
      </c>
      <c r="B2034" s="138">
        <f>'Cap Outlay Deprec 26'!H10</f>
        <v>374269</v>
      </c>
      <c r="D2034" s="2" t="str">
        <f t="shared" si="30"/>
        <v>Error?</v>
      </c>
    </row>
    <row r="2035" spans="1:4" x14ac:dyDescent="0.2">
      <c r="A2035" s="5">
        <v>1974</v>
      </c>
      <c r="B2035" s="138">
        <f>'Cap Outlay Deprec 26'!H12</f>
        <v>564180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7682977</v>
      </c>
      <c r="C2037" s="2" t="s">
        <v>573</v>
      </c>
      <c r="D2037" s="2" t="str">
        <f t="shared" si="30"/>
        <v>Error?</v>
      </c>
    </row>
    <row r="2038" spans="1:4" x14ac:dyDescent="0.2">
      <c r="A2038" s="10">
        <v>1977</v>
      </c>
      <c r="D2038" s="2" t="str">
        <f t="shared" si="30"/>
        <v>OK</v>
      </c>
    </row>
    <row r="2039" spans="1:4" x14ac:dyDescent="0.2">
      <c r="A2039" s="5">
        <v>1978</v>
      </c>
      <c r="B2039" s="138">
        <f>'Cap Outlay Deprec 26'!I8</f>
        <v>375383</v>
      </c>
      <c r="D2039" s="2" t="str">
        <f t="shared" si="30"/>
        <v>Error?</v>
      </c>
    </row>
    <row r="2040" spans="1:4" x14ac:dyDescent="0.2">
      <c r="A2040" s="5">
        <v>1979</v>
      </c>
      <c r="B2040" s="138">
        <f>'Cap Outlay Deprec 26'!I10</f>
        <v>33170</v>
      </c>
      <c r="D2040" s="2" t="str">
        <f t="shared" si="30"/>
        <v>Error?</v>
      </c>
    </row>
    <row r="2041" spans="1:4" x14ac:dyDescent="0.2">
      <c r="A2041" s="5">
        <v>1980</v>
      </c>
      <c r="B2041" s="138">
        <f>'Cap Outlay Deprec 26'!I12</f>
        <v>23051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431604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279862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279862</v>
      </c>
      <c r="C2049" s="2" t="s">
        <v>573</v>
      </c>
      <c r="D2049" s="2" t="str">
        <f t="shared" si="31"/>
        <v>Error?</v>
      </c>
    </row>
    <row r="2050" spans="1:4" x14ac:dyDescent="0.2">
      <c r="A2050" s="10">
        <v>1989</v>
      </c>
      <c r="D2050" s="2" t="str">
        <f t="shared" si="31"/>
        <v>OK</v>
      </c>
    </row>
    <row r="2051" spans="1:4" x14ac:dyDescent="0.2">
      <c r="A2051" s="5">
        <v>1990</v>
      </c>
      <c r="B2051" s="138">
        <f>'Cap Outlay Deprec 26'!K8</f>
        <v>7119911</v>
      </c>
      <c r="C2051" s="2" t="s">
        <v>573</v>
      </c>
      <c r="D2051" s="2" t="str">
        <f t="shared" si="31"/>
        <v>Error?</v>
      </c>
    </row>
    <row r="2052" spans="1:4" x14ac:dyDescent="0.2">
      <c r="A2052" s="5">
        <v>1991</v>
      </c>
      <c r="B2052" s="138">
        <f>'Cap Outlay Deprec 26'!K10</f>
        <v>407439</v>
      </c>
      <c r="C2052" s="2" t="s">
        <v>573</v>
      </c>
      <c r="D2052" s="2" t="str">
        <f t="shared" si="31"/>
        <v>Error?</v>
      </c>
    </row>
    <row r="2053" spans="1:4" x14ac:dyDescent="0.2">
      <c r="A2053" s="5">
        <v>1992</v>
      </c>
      <c r="B2053" s="138">
        <f>'Cap Outlay Deprec 26'!K12</f>
        <v>307369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7834719</v>
      </c>
      <c r="C2055" s="2" t="s">
        <v>573</v>
      </c>
      <c r="D2055" s="2" t="str">
        <f t="shared" si="31"/>
        <v>Error?</v>
      </c>
    </row>
    <row r="2056" spans="1:4" x14ac:dyDescent="0.2">
      <c r="A2056" s="5">
        <v>1995</v>
      </c>
      <c r="B2056" s="138">
        <f>'Cap Outlay Deprec 26'!L5</f>
        <v>591553</v>
      </c>
      <c r="C2056" s="2" t="s">
        <v>573</v>
      </c>
      <c r="D2056" s="2" t="str">
        <f t="shared" si="31"/>
        <v>Error?</v>
      </c>
    </row>
    <row r="2057" spans="1:4" x14ac:dyDescent="0.2">
      <c r="A2057" s="5">
        <v>1996</v>
      </c>
      <c r="B2057" s="138">
        <f>'Cap Outlay Deprec 26'!L8</f>
        <v>9058126</v>
      </c>
      <c r="C2057" s="2" t="s">
        <v>573</v>
      </c>
      <c r="D2057" s="2" t="str">
        <f t="shared" si="31"/>
        <v>Error?</v>
      </c>
    </row>
    <row r="2058" spans="1:4" x14ac:dyDescent="0.2">
      <c r="A2058" s="5">
        <v>1997</v>
      </c>
      <c r="B2058" s="138">
        <f>'Cap Outlay Deprec 26'!L10</f>
        <v>473237</v>
      </c>
      <c r="C2058" s="2" t="s">
        <v>573</v>
      </c>
      <c r="D2058" s="2" t="str">
        <f t="shared" si="31"/>
        <v>Error?</v>
      </c>
    </row>
    <row r="2059" spans="1:4" x14ac:dyDescent="0.2">
      <c r="A2059" s="5">
        <v>1998</v>
      </c>
      <c r="B2059" s="138">
        <f>'Cap Outlay Deprec 26'!L12</f>
        <v>541635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10664551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230706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4090789</v>
      </c>
      <c r="C2551" s="2" t="s">
        <v>573</v>
      </c>
      <c r="D2551" s="2" t="str">
        <f t="shared" si="38"/>
        <v>Error?</v>
      </c>
    </row>
    <row r="2552" spans="1:4" x14ac:dyDescent="0.2">
      <c r="A2552" s="10">
        <v>2491</v>
      </c>
      <c r="D2552" s="2" t="str">
        <f t="shared" si="38"/>
        <v>OK</v>
      </c>
    </row>
    <row r="2553" spans="1:4" x14ac:dyDescent="0.2">
      <c r="A2553" s="5">
        <v>2492</v>
      </c>
      <c r="B2553" s="138">
        <f>'Acct Summary 7-8'!C6</f>
        <v>261771</v>
      </c>
      <c r="C2553" s="2" t="s">
        <v>573</v>
      </c>
      <c r="D2553" s="2" t="str">
        <f t="shared" si="38"/>
        <v>Error?</v>
      </c>
    </row>
    <row r="2554" spans="1:4" x14ac:dyDescent="0.2">
      <c r="A2554" s="5">
        <v>2493</v>
      </c>
      <c r="B2554" s="138">
        <f>'Acct Summary 7-8'!C7</f>
        <v>153992</v>
      </c>
      <c r="C2554" s="2" t="s">
        <v>573</v>
      </c>
      <c r="D2554" s="2" t="str">
        <f t="shared" si="38"/>
        <v>Error?</v>
      </c>
    </row>
    <row r="2555" spans="1:4" x14ac:dyDescent="0.2">
      <c r="A2555" s="5">
        <v>2494</v>
      </c>
      <c r="B2555" s="138">
        <f>'Acct Summary 7-8'!C8</f>
        <v>4506552</v>
      </c>
      <c r="C2555" s="2" t="s">
        <v>573</v>
      </c>
      <c r="D2555" s="2" t="str">
        <f t="shared" si="38"/>
        <v>Error?</v>
      </c>
    </row>
    <row r="2556" spans="1:4" x14ac:dyDescent="0.2">
      <c r="A2556" s="5">
        <v>2495</v>
      </c>
      <c r="B2556" s="138">
        <f>'Acct Summary 7-8'!C12</f>
        <v>2795009</v>
      </c>
      <c r="C2556" s="2" t="s">
        <v>573</v>
      </c>
      <c r="D2556" s="2" t="str">
        <f t="shared" si="38"/>
        <v>Error?</v>
      </c>
    </row>
    <row r="2557" spans="1:4" x14ac:dyDescent="0.2">
      <c r="A2557" s="5">
        <v>2496</v>
      </c>
      <c r="B2557" s="138">
        <f>'Acct Summary 7-8'!C13</f>
        <v>1307838</v>
      </c>
      <c r="C2557" s="2" t="s">
        <v>573</v>
      </c>
      <c r="D2557" s="2" t="str">
        <f t="shared" si="38"/>
        <v>Error?</v>
      </c>
    </row>
    <row r="2558" spans="1:4" x14ac:dyDescent="0.2">
      <c r="A2558" s="5">
        <v>2497</v>
      </c>
      <c r="B2558" s="138">
        <f>'Acct Summary 7-8'!C14</f>
        <v>17186</v>
      </c>
      <c r="C2558" s="2" t="s">
        <v>573</v>
      </c>
      <c r="D2558" s="2" t="str">
        <f t="shared" si="38"/>
        <v>Error?</v>
      </c>
    </row>
    <row r="2559" spans="1:4" x14ac:dyDescent="0.2">
      <c r="A2559" s="5">
        <v>2498</v>
      </c>
      <c r="B2559" s="138">
        <f>'Acct Summary 7-8'!C15</f>
        <v>230706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4350739</v>
      </c>
      <c r="C2561" s="2" t="s">
        <v>573</v>
      </c>
      <c r="D2561" s="2" t="str">
        <f t="shared" si="39"/>
        <v>Error?</v>
      </c>
    </row>
    <row r="2562" spans="1:4" x14ac:dyDescent="0.2">
      <c r="A2562" s="5">
        <v>2501</v>
      </c>
      <c r="B2562" s="138">
        <f>'Acct Summary 7-8'!C20</f>
        <v>155813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621353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621353</v>
      </c>
      <c r="C2568" s="2" t="s">
        <v>573</v>
      </c>
      <c r="D2568" s="2" t="str">
        <f t="shared" si="39"/>
        <v>Error?</v>
      </c>
    </row>
    <row r="2569" spans="1:4" x14ac:dyDescent="0.2">
      <c r="A2569" s="5">
        <v>2508</v>
      </c>
      <c r="B2569" s="138">
        <f>'Acct Summary 7-8'!D13</f>
        <v>569819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569819</v>
      </c>
      <c r="C2573" s="2" t="s">
        <v>573</v>
      </c>
      <c r="D2573" s="2" t="str">
        <f t="shared" si="39"/>
        <v>Error?</v>
      </c>
    </row>
    <row r="2574" spans="1:4" x14ac:dyDescent="0.2">
      <c r="A2574" s="5">
        <v>2513</v>
      </c>
      <c r="B2574" s="138">
        <f>'Acct Summary 7-8'!D20</f>
        <v>51534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21799</v>
      </c>
      <c r="C2591" s="2" t="s">
        <v>573</v>
      </c>
      <c r="D2591" s="2" t="str">
        <f t="shared" si="39"/>
        <v>Error?</v>
      </c>
    </row>
    <row r="2592" spans="1:4" x14ac:dyDescent="0.2">
      <c r="A2592" s="10">
        <v>2531</v>
      </c>
      <c r="D2592" s="2" t="str">
        <f t="shared" si="39"/>
        <v>OK</v>
      </c>
    </row>
    <row r="2593" spans="1:4" x14ac:dyDescent="0.2">
      <c r="A2593" s="5">
        <v>2532</v>
      </c>
      <c r="B2593" s="138">
        <f>'Acct Summary 7-8'!F6</f>
        <v>55428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77227</v>
      </c>
      <c r="C2595" s="2" t="s">
        <v>573</v>
      </c>
      <c r="D2595" s="2" t="str">
        <f t="shared" si="39"/>
        <v>Error?</v>
      </c>
    </row>
    <row r="2596" spans="1:4" x14ac:dyDescent="0.2">
      <c r="A2596" s="5">
        <v>2535</v>
      </c>
      <c r="B2596" s="138">
        <f>'Acct Summary 7-8'!F13</f>
        <v>142320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142320</v>
      </c>
      <c r="C2600" s="2" t="s">
        <v>573</v>
      </c>
      <c r="D2600" s="2" t="str">
        <f t="shared" si="39"/>
        <v>Error?</v>
      </c>
    </row>
    <row r="2601" spans="1:4" x14ac:dyDescent="0.2">
      <c r="A2601" s="5">
        <v>2540</v>
      </c>
      <c r="B2601" s="138">
        <f>'Acct Summary 7-8'!F20</f>
        <v>-65093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231895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231895</v>
      </c>
      <c r="C2606" s="2" t="s">
        <v>573</v>
      </c>
      <c r="D2606" s="2" t="str">
        <f t="shared" si="39"/>
        <v>Error?</v>
      </c>
    </row>
    <row r="2607" spans="1:4" x14ac:dyDescent="0.2">
      <c r="A2607" s="5">
        <v>2546</v>
      </c>
      <c r="B2607" s="138">
        <f>'Acct Summary 7-8'!G12</f>
        <v>60662</v>
      </c>
      <c r="C2607" s="2" t="s">
        <v>573</v>
      </c>
      <c r="D2607" s="2" t="str">
        <f t="shared" si="39"/>
        <v>Error?</v>
      </c>
    </row>
    <row r="2608" spans="1:4" x14ac:dyDescent="0.2">
      <c r="A2608" s="5">
        <v>2547</v>
      </c>
      <c r="B2608" s="138">
        <f>'Acct Summary 7-8'!G13</f>
        <v>92260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152922</v>
      </c>
      <c r="C2612" s="2" t="s">
        <v>573</v>
      </c>
      <c r="D2612" s="2" t="str">
        <f t="shared" si="39"/>
        <v>Error?</v>
      </c>
    </row>
    <row r="2613" spans="1:4" x14ac:dyDescent="0.2">
      <c r="A2613" s="5">
        <v>2552</v>
      </c>
      <c r="B2613" s="138">
        <f>'Acct Summary 7-8'!G20</f>
        <v>78973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999137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999137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1006152</v>
      </c>
      <c r="C2634" s="2" t="s">
        <v>573</v>
      </c>
      <c r="D2634" s="2" t="str">
        <f t="shared" si="40"/>
        <v>Error?</v>
      </c>
    </row>
    <row r="2635" spans="1:4" x14ac:dyDescent="0.2">
      <c r="A2635" s="5">
        <v>2574</v>
      </c>
      <c r="B2635" s="138">
        <f>'Acct Summary 7-8'!E17</f>
        <v>1006152</v>
      </c>
      <c r="C2635" s="2" t="s">
        <v>573</v>
      </c>
      <c r="D2635" s="2" t="str">
        <f t="shared" si="40"/>
        <v>Error?</v>
      </c>
    </row>
    <row r="2636" spans="1:4" x14ac:dyDescent="0.2">
      <c r="A2636" s="5">
        <v>2575</v>
      </c>
      <c r="B2636" s="138">
        <f>'Acct Summary 7-8'!E20</f>
        <v>-7015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34704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34704</v>
      </c>
      <c r="C2658" s="2" t="s">
        <v>573</v>
      </c>
      <c r="D2658" s="2" t="str">
        <f t="shared" si="40"/>
        <v>Error?</v>
      </c>
    </row>
    <row r="2659" spans="1:4" x14ac:dyDescent="0.2">
      <c r="A2659" s="5">
        <v>2598</v>
      </c>
      <c r="B2659" s="138">
        <f>'Acct Summary 7-8'!H13</f>
        <v>386481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386481</v>
      </c>
      <c r="C2661" s="2" t="s">
        <v>573</v>
      </c>
      <c r="D2661" s="2" t="str">
        <f t="shared" si="40"/>
        <v>Error?</v>
      </c>
    </row>
    <row r="2662" spans="1:4" x14ac:dyDescent="0.2">
      <c r="A2662" s="5">
        <v>2601</v>
      </c>
      <c r="B2662" s="138">
        <f>'Acct Summary 7-8'!H20</f>
        <v>-351777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64920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64920</v>
      </c>
      <c r="C2724" s="2" t="s">
        <v>573</v>
      </c>
      <c r="D2724" s="2" t="str">
        <f t="shared" si="41"/>
        <v>Error?</v>
      </c>
    </row>
    <row r="2725" spans="1:4" x14ac:dyDescent="0.2">
      <c r="A2725" s="5">
        <v>2664</v>
      </c>
      <c r="B2725" s="138">
        <f>'Expenditures 15-22'!D247</f>
        <v>941</v>
      </c>
      <c r="D2725" s="2" t="str">
        <f t="shared" si="41"/>
        <v>Error?</v>
      </c>
    </row>
    <row r="2726" spans="1:4" x14ac:dyDescent="0.2">
      <c r="A2726" s="5">
        <v>2665</v>
      </c>
      <c r="B2726" s="138">
        <f>'Expenditures 15-22'!K247</f>
        <v>941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453364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453364</v>
      </c>
      <c r="D2912" s="2" t="str">
        <f t="shared" si="44"/>
        <v>Error?</v>
      </c>
    </row>
    <row r="2913" spans="1:4" x14ac:dyDescent="0.2">
      <c r="A2913" s="5">
        <v>2852</v>
      </c>
      <c r="B2913" s="138">
        <f>'Assets-Liab 5-6'!I41</f>
        <v>453364</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32263</v>
      </c>
      <c r="D3055" s="2" t="str">
        <f t="shared" si="46"/>
        <v>Error?</v>
      </c>
    </row>
    <row r="3056" spans="1:4" x14ac:dyDescent="0.2">
      <c r="A3056" s="5">
        <v>2995</v>
      </c>
      <c r="B3056" s="138">
        <f>'Expenditures 15-22'!D10</f>
        <v>16127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48390</v>
      </c>
      <c r="C3062" s="2" t="s">
        <v>573</v>
      </c>
      <c r="D3062" s="2" t="str">
        <f t="shared" si="46"/>
        <v>Error?</v>
      </c>
    </row>
    <row r="3063" spans="1:4" x14ac:dyDescent="0.2">
      <c r="A3063" s="10">
        <v>3002</v>
      </c>
      <c r="D3063" s="2" t="str">
        <f t="shared" si="46"/>
        <v>OK</v>
      </c>
    </row>
    <row r="3064" spans="1:4" x14ac:dyDescent="0.2">
      <c r="A3064" s="5">
        <v>3003</v>
      </c>
      <c r="B3064" s="138">
        <f>'Expenditures 15-22'!D219</f>
        <v>2299</v>
      </c>
      <c r="D3064" s="2" t="str">
        <f t="shared" si="46"/>
        <v>Error?</v>
      </c>
    </row>
    <row r="3065" spans="1:4" x14ac:dyDescent="0.2">
      <c r="A3065" s="5">
        <v>3004</v>
      </c>
      <c r="B3065" s="138">
        <f>'Expenditures 15-22'!K219</f>
        <v>2299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6189</v>
      </c>
      <c r="C3225" s="2" t="s">
        <v>573</v>
      </c>
      <c r="D3225" s="2" t="str">
        <f t="shared" si="49"/>
        <v>Error?</v>
      </c>
    </row>
    <row r="3226" spans="1:4" x14ac:dyDescent="0.2">
      <c r="A3226" s="5">
        <v>3165</v>
      </c>
      <c r="B3226" s="138">
        <f>'Acct Summary 7-8'!I8</f>
        <v>6189</v>
      </c>
      <c r="C3226" s="2" t="s">
        <v>573</v>
      </c>
      <c r="D3226" s="2" t="str">
        <f t="shared" si="49"/>
        <v>Error?</v>
      </c>
    </row>
    <row r="3227" spans="1:4" x14ac:dyDescent="0.2">
      <c r="A3227" s="5">
        <v>3166</v>
      </c>
      <c r="B3227" s="138">
        <f>'Acct Summary 7-8'!I20</f>
        <v>6189</v>
      </c>
      <c r="C3227" s="2" t="s">
        <v>573</v>
      </c>
      <c r="D3227" s="2" t="str">
        <f t="shared" si="49"/>
        <v>Error?</v>
      </c>
    </row>
    <row r="3228" spans="1:4" x14ac:dyDescent="0.2">
      <c r="A3228" s="5">
        <v>3167</v>
      </c>
      <c r="B3228" s="138">
        <f>'Acct Summary 7-8'!C43</f>
        <v>57388</v>
      </c>
      <c r="D3228" s="2" t="str">
        <f t="shared" si="49"/>
        <v>Error?</v>
      </c>
    </row>
    <row r="3229" spans="1:4" x14ac:dyDescent="0.2">
      <c r="A3229" s="5">
        <v>3168</v>
      </c>
      <c r="B3229" s="138">
        <f>'Acct Summary 7-8'!C44</f>
        <v>57388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119334</v>
      </c>
      <c r="C3231" s="2" t="s">
        <v>573</v>
      </c>
      <c r="D3231" s="2" t="str">
        <f t="shared" si="49"/>
        <v>Error?</v>
      </c>
    </row>
    <row r="3232" spans="1:4" x14ac:dyDescent="0.2">
      <c r="A3232" s="5">
        <v>3171</v>
      </c>
      <c r="B3232" s="138">
        <f>'Acct Summary 7-8'!C77</f>
        <v>-61946</v>
      </c>
      <c r="C3232" s="2" t="s">
        <v>573</v>
      </c>
      <c r="D3232" s="2" t="str">
        <f t="shared" si="49"/>
        <v>Error?</v>
      </c>
    </row>
    <row r="3233" spans="1:4" x14ac:dyDescent="0.2">
      <c r="A3233" s="5">
        <v>3172</v>
      </c>
      <c r="B3233" s="138">
        <f>'Acct Summary 7-8'!C78</f>
        <v>93867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51534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-65093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78973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11501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11501</v>
      </c>
      <c r="C3277" s="2" t="s">
        <v>573</v>
      </c>
      <c r="D3277" s="2" t="str">
        <f t="shared" si="50"/>
        <v>Error?</v>
      </c>
    </row>
    <row r="3278" spans="1:4" x14ac:dyDescent="0.2">
      <c r="A3278" s="5">
        <v>3217</v>
      </c>
      <c r="B3278" s="138">
        <f>'Acct Summary 7-8'!E78</f>
        <v>4486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107833</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107833</v>
      </c>
      <c r="C3299" s="2" t="s">
        <v>573</v>
      </c>
      <c r="D3299" s="2" t="str">
        <f t="shared" si="50"/>
        <v>Error?</v>
      </c>
    </row>
    <row r="3300" spans="1:4" x14ac:dyDescent="0.2">
      <c r="A3300" s="5">
        <v>3239</v>
      </c>
      <c r="B3300" s="138">
        <f>'Acct Summary 7-8'!H78</f>
        <v>-243944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6189</v>
      </c>
      <c r="C3320" s="2" t="s">
        <v>573</v>
      </c>
      <c r="D3320" s="2" t="str">
        <f t="shared" si="50"/>
        <v>Error?</v>
      </c>
    </row>
    <row r="3321" spans="1:4" x14ac:dyDescent="0.2">
      <c r="A3321" s="5">
        <v>3260</v>
      </c>
      <c r="B3321" s="138">
        <f>'Acct Summary 7-8'!I79</f>
        <v>447175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453364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589014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85763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9888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684990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24320</v>
      </c>
      <c r="D3387" s="2" t="str">
        <f t="shared" si="51"/>
        <v>Error?</v>
      </c>
    </row>
    <row r="3388" spans="1:4" x14ac:dyDescent="0.2">
      <c r="A3388" s="5">
        <v>3327</v>
      </c>
      <c r="B3388" s="138">
        <f>'Expenditures 15-22'!D217</f>
        <v>33493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24320</v>
      </c>
      <c r="C3390" s="2" t="s">
        <v>573</v>
      </c>
      <c r="D3390" s="2" t="str">
        <f t="shared" si="51"/>
        <v>Error?</v>
      </c>
    </row>
    <row r="3391" spans="1:4" x14ac:dyDescent="0.2">
      <c r="A3391" s="5">
        <v>3330</v>
      </c>
      <c r="B3391" s="138">
        <f>'Expenditures 15-22'!K217</f>
        <v>33493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3086363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515133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669925</v>
      </c>
      <c r="D3417" s="2" t="str">
        <f t="shared" si="52"/>
        <v>Error?</v>
      </c>
    </row>
    <row r="3418" spans="1:4" x14ac:dyDescent="0.2">
      <c r="A3418" s="10">
        <v>3357</v>
      </c>
      <c r="D3418" s="2" t="str">
        <f t="shared" si="52"/>
        <v>OK</v>
      </c>
    </row>
    <row r="3419" spans="1:4" x14ac:dyDescent="0.2">
      <c r="A3419" s="5">
        <v>3358</v>
      </c>
      <c r="B3419" s="138">
        <f>'Assets-Liab 5-6'!F4</f>
        <v>590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338502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134411</v>
      </c>
      <c r="D3425" s="2" t="str">
        <f t="shared" si="52"/>
        <v>Error?</v>
      </c>
    </row>
    <row r="3426" spans="1:4" x14ac:dyDescent="0.2">
      <c r="A3426" s="10">
        <v>3365</v>
      </c>
      <c r="D3426" s="2" t="str">
        <f t="shared" si="52"/>
        <v>OK</v>
      </c>
    </row>
    <row r="3427" spans="1:4" x14ac:dyDescent="0.2">
      <c r="A3427" s="5">
        <v>3366</v>
      </c>
      <c r="B3427" s="138">
        <f>'Assets-Liab 5-6'!I4</f>
        <v>453364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75259</v>
      </c>
      <c r="C3446" s="2" t="s">
        <v>573</v>
      </c>
      <c r="D3446" s="2" t="str">
        <f t="shared" si="52"/>
        <v>Error?</v>
      </c>
    </row>
    <row r="3447" spans="1:4" x14ac:dyDescent="0.2">
      <c r="A3447" s="5">
        <v>3386</v>
      </c>
      <c r="B3447" s="138">
        <f>'Tax Sched 23'!D16</f>
        <v>36389</v>
      </c>
      <c r="C3447" s="2" t="s">
        <v>573</v>
      </c>
      <c r="D3447" s="2" t="str">
        <f t="shared" si="52"/>
        <v>Error?</v>
      </c>
    </row>
    <row r="3448" spans="1:4" x14ac:dyDescent="0.2">
      <c r="A3448" s="5">
        <v>3387</v>
      </c>
      <c r="B3448" s="138">
        <f>'Tax Sched 23'!C16</f>
        <v>38870</v>
      </c>
      <c r="D3448" s="2" t="str">
        <f t="shared" si="52"/>
        <v>Error?</v>
      </c>
    </row>
    <row r="3449" spans="1:4" x14ac:dyDescent="0.2">
      <c r="A3449" s="5">
        <v>3388</v>
      </c>
      <c r="B3449" s="138">
        <f>'Tax Sched 23'!F16</f>
        <v>38930</v>
      </c>
      <c r="C3449" s="2" t="s">
        <v>573</v>
      </c>
      <c r="D3449" s="2" t="str">
        <f t="shared" si="52"/>
        <v>Error?</v>
      </c>
    </row>
    <row r="3450" spans="1:4" x14ac:dyDescent="0.2">
      <c r="A3450" s="5">
        <v>3389</v>
      </c>
      <c r="B3450" s="138">
        <f>'Tax Sched 23'!E16</f>
        <v>77800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1764605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6271157</v>
      </c>
      <c r="C4122" s="2" t="s">
        <v>573</v>
      </c>
      <c r="D4122" s="2" t="str">
        <f t="shared" si="63"/>
        <v>Error?</v>
      </c>
    </row>
    <row r="4123" spans="1:4" x14ac:dyDescent="0.2">
      <c r="A4123" s="5">
        <v>4062</v>
      </c>
      <c r="B4123" s="138">
        <f>'Acct Summary 7-8'!D10</f>
        <v>621353</v>
      </c>
      <c r="C4123" s="2" t="s">
        <v>573</v>
      </c>
      <c r="D4123" s="2" t="str">
        <f t="shared" si="63"/>
        <v>Error?</v>
      </c>
    </row>
    <row r="4124" spans="1:4" x14ac:dyDescent="0.2">
      <c r="A4124" s="5">
        <v>4063</v>
      </c>
      <c r="B4124" s="138">
        <f>'Acct Summary 7-8'!E10</f>
        <v>999137</v>
      </c>
      <c r="C4124" s="2" t="s">
        <v>573</v>
      </c>
      <c r="D4124" s="2" t="str">
        <f t="shared" si="63"/>
        <v>Error?</v>
      </c>
    </row>
    <row r="4125" spans="1:4" x14ac:dyDescent="0.2">
      <c r="A4125" s="5">
        <v>4064</v>
      </c>
      <c r="B4125" s="138">
        <f>'Acct Summary 7-8'!F10</f>
        <v>77227</v>
      </c>
      <c r="C4125" s="2" t="s">
        <v>573</v>
      </c>
      <c r="D4125" s="2" t="str">
        <f t="shared" si="63"/>
        <v>Error?</v>
      </c>
    </row>
    <row r="4126" spans="1:4" x14ac:dyDescent="0.2">
      <c r="A4126" s="5">
        <v>4065</v>
      </c>
      <c r="B4126" s="138">
        <f>'Acct Summary 7-8'!G10</f>
        <v>231895</v>
      </c>
      <c r="C4126" s="2" t="s">
        <v>573</v>
      </c>
      <c r="D4126" s="2" t="str">
        <f t="shared" si="63"/>
        <v>Error?</v>
      </c>
    </row>
    <row r="4127" spans="1:4" x14ac:dyDescent="0.2">
      <c r="A4127" s="5">
        <v>4066</v>
      </c>
      <c r="B4127" s="138">
        <f>'Acct Summary 7-8'!H10</f>
        <v>34704</v>
      </c>
      <c r="C4127" s="2" t="s">
        <v>573</v>
      </c>
      <c r="D4127" s="2" t="str">
        <f t="shared" si="63"/>
        <v>Error?</v>
      </c>
    </row>
    <row r="4128" spans="1:4" x14ac:dyDescent="0.2">
      <c r="A4128" s="5">
        <v>4067</v>
      </c>
      <c r="B4128" s="138">
        <f>'Acct Summary 7-8'!I10</f>
        <v>6189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1764605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6115344</v>
      </c>
      <c r="C4136" s="2" t="s">
        <v>573</v>
      </c>
      <c r="D4136" s="2" t="str">
        <f t="shared" si="63"/>
        <v>Error?</v>
      </c>
    </row>
    <row r="4137" spans="1:4" x14ac:dyDescent="0.2">
      <c r="A4137" s="5">
        <v>4076</v>
      </c>
      <c r="B4137" s="138">
        <f>'Acct Summary 7-8'!D19</f>
        <v>569819</v>
      </c>
      <c r="C4137" s="2" t="s">
        <v>573</v>
      </c>
      <c r="D4137" s="2" t="str">
        <f t="shared" si="63"/>
        <v>Error?</v>
      </c>
    </row>
    <row r="4138" spans="1:4" x14ac:dyDescent="0.2">
      <c r="A4138" s="5">
        <v>4077</v>
      </c>
      <c r="B4138" s="138">
        <f>'Acct Summary 7-8'!E19</f>
        <v>1006152</v>
      </c>
      <c r="C4138" s="2" t="s">
        <v>573</v>
      </c>
      <c r="D4138" s="2" t="str">
        <f t="shared" si="63"/>
        <v>Error?</v>
      </c>
    </row>
    <row r="4139" spans="1:4" x14ac:dyDescent="0.2">
      <c r="A4139" s="5">
        <v>4078</v>
      </c>
      <c r="B4139" s="138">
        <f>'Acct Summary 7-8'!F19</f>
        <v>142320</v>
      </c>
      <c r="C4139" s="2" t="s">
        <v>573</v>
      </c>
      <c r="D4139" s="2" t="str">
        <f t="shared" si="63"/>
        <v>Error?</v>
      </c>
    </row>
    <row r="4140" spans="1:4" x14ac:dyDescent="0.2">
      <c r="A4140" s="5">
        <v>4079</v>
      </c>
      <c r="B4140" s="138">
        <f>'Acct Summary 7-8'!G19</f>
        <v>152922</v>
      </c>
      <c r="C4140" s="2" t="s">
        <v>573</v>
      </c>
      <c r="D4140" s="2" t="str">
        <f t="shared" si="63"/>
        <v>Error?</v>
      </c>
    </row>
    <row r="4141" spans="1:4" x14ac:dyDescent="0.2">
      <c r="A4141" s="5">
        <v>4080</v>
      </c>
      <c r="B4141" s="138">
        <f>'Acct Summary 7-8'!H19</f>
        <v>386481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2478517</v>
      </c>
      <c r="C4171" s="2" t="s">
        <v>573</v>
      </c>
      <c r="D4171" s="2" t="str">
        <f t="shared" si="64"/>
        <v>Error?</v>
      </c>
    </row>
    <row r="4172" spans="1:4" x14ac:dyDescent="0.2">
      <c r="A4172" s="5">
        <v>4111</v>
      </c>
      <c r="B4172" s="138">
        <f>'Short-Term Long-Term Debt 24'!J49</f>
        <v>1808592</v>
      </c>
      <c r="C4172" s="2" t="s">
        <v>573</v>
      </c>
      <c r="D4172" s="2" t="str">
        <f t="shared" si="64"/>
        <v>Error?</v>
      </c>
    </row>
    <row r="4173" spans="1:4" x14ac:dyDescent="0.2">
      <c r="A4173" s="5">
        <v>4112</v>
      </c>
      <c r="B4173" s="138">
        <f>'Short-Term Long-Term Debt 24'!H49</f>
        <v>253589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-12461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2109.3000000000002</v>
      </c>
      <c r="C4265" s="2" t="s">
        <v>573</v>
      </c>
      <c r="D4265" s="2" t="str">
        <f t="shared" si="65"/>
        <v>Error?</v>
      </c>
      <c r="E4265" s="128"/>
    </row>
    <row r="4266" spans="1:5" x14ac:dyDescent="0.2">
      <c r="A4266" s="12">
        <v>4205</v>
      </c>
      <c r="B4266" s="138">
        <f>('FP Info 3'!F10)*100000</f>
        <v>418.8</v>
      </c>
      <c r="C4266" s="2" t="s">
        <v>573</v>
      </c>
      <c r="D4266" s="2" t="str">
        <f t="shared" si="65"/>
        <v>Error?</v>
      </c>
      <c r="E4266" s="128"/>
    </row>
    <row r="4267" spans="1:5" x14ac:dyDescent="0.2">
      <c r="A4267" s="12">
        <v>4206</v>
      </c>
      <c r="B4267" s="138">
        <f>('FP Info 3'!H10)*100000</f>
        <v>14.3</v>
      </c>
      <c r="C4267" s="2" t="s">
        <v>573</v>
      </c>
      <c r="D4267" s="2" t="str">
        <f t="shared" si="65"/>
        <v>Error?</v>
      </c>
      <c r="E4267" s="128"/>
    </row>
    <row r="4268" spans="1:5" x14ac:dyDescent="0.2">
      <c r="A4268" s="12">
        <v>4207</v>
      </c>
      <c r="B4268" s="138">
        <f>('FP Info 3'!J10)*100000</f>
        <v>2542</v>
      </c>
      <c r="C4268" s="2" t="s">
        <v>573</v>
      </c>
      <c r="D4268" s="2" t="str">
        <f t="shared" si="65"/>
        <v>Error?</v>
      </c>
    </row>
    <row r="4269" spans="1:5" x14ac:dyDescent="0.2">
      <c r="A4269" s="12">
        <v>4208</v>
      </c>
      <c r="B4269" s="138">
        <f>'FP Info 3'!J16</f>
        <v>4055450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18179</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25641</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12555</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8226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17839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7808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151657076</v>
      </c>
      <c r="D4995" s="2" t="str">
        <f t="shared" si="77"/>
        <v>Error?</v>
      </c>
    </row>
    <row r="4996" spans="1:4" x14ac:dyDescent="0.2">
      <c r="A4996" s="12">
        <v>4935</v>
      </c>
      <c r="B4996" s="138">
        <f>'FP Info 3'!H31</f>
        <v>10464338.244000001</v>
      </c>
      <c r="D4996" s="2" t="str">
        <f t="shared" si="77"/>
        <v>Error?</v>
      </c>
    </row>
    <row r="4997" spans="1:4" x14ac:dyDescent="0.2">
      <c r="A4997" s="12">
        <v>4936</v>
      </c>
      <c r="B4997" s="138">
        <f>'FP Info 3'!H37</f>
        <v>2478517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3101492</v>
      </c>
      <c r="D5061" s="2" t="str">
        <f t="shared" si="78"/>
        <v>Error?</v>
      </c>
    </row>
    <row r="5062" spans="1:4" x14ac:dyDescent="0.2">
      <c r="A5062" s="10">
        <v>5001</v>
      </c>
      <c r="D5062" s="2" t="str">
        <f t="shared" si="78"/>
        <v>OK</v>
      </c>
    </row>
    <row r="5063" spans="1:4" x14ac:dyDescent="0.2">
      <c r="A5063" s="5">
        <v>5002</v>
      </c>
      <c r="B5063" s="138">
        <f>'Revenues 9-14'!C7</f>
        <v>530818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3632310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36103</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36103</v>
      </c>
      <c r="C5087" s="2" t="s">
        <v>573</v>
      </c>
      <c r="D5087" s="2" t="str">
        <f t="shared" si="78"/>
        <v>Error?</v>
      </c>
    </row>
    <row r="5088" spans="1:4" x14ac:dyDescent="0.2">
      <c r="A5088" s="5">
        <v>5027</v>
      </c>
      <c r="B5088" s="138">
        <f>'Revenues 9-14'!C65</f>
        <v>41258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41258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58355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58355</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174333</v>
      </c>
      <c r="D5113" s="2" t="str">
        <f t="shared" si="78"/>
        <v>Error?</v>
      </c>
    </row>
    <row r="5114" spans="1:4" x14ac:dyDescent="0.2">
      <c r="A5114" s="5">
        <v>5053</v>
      </c>
      <c r="B5114" s="138">
        <f>'Revenues 9-14'!C96</f>
        <v>48380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11868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87182</v>
      </c>
      <c r="D5119" s="2" t="str">
        <f t="shared" ref="D5119:D5182" si="79">IF(ISBLANK(B5119),"OK",IF(A5119-B5119=0,"OK","Error?"))</f>
        <v>Error?</v>
      </c>
    </row>
    <row r="5120" spans="1:4" x14ac:dyDescent="0.2">
      <c r="A5120" s="5">
        <v>5059</v>
      </c>
      <c r="B5120" s="138">
        <f>'Revenues 9-14'!C108</f>
        <v>321763</v>
      </c>
      <c r="C5120" s="2" t="s">
        <v>573</v>
      </c>
      <c r="D5120" s="2" t="str">
        <f t="shared" si="79"/>
        <v>Error?</v>
      </c>
    </row>
    <row r="5121" spans="1:4" x14ac:dyDescent="0.2">
      <c r="A5121" s="5">
        <v>5060</v>
      </c>
      <c r="B5121" s="138">
        <f>'Revenues 9-14'!C109</f>
        <v>4090789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256464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256464</v>
      </c>
      <c r="C5132" s="2" t="s">
        <v>573</v>
      </c>
      <c r="D5132" s="2" t="str">
        <f t="shared" si="79"/>
        <v>Error?</v>
      </c>
    </row>
    <row r="5133" spans="1:4" x14ac:dyDescent="0.2">
      <c r="A5133" s="5">
        <v>5072</v>
      </c>
      <c r="B5133" s="138">
        <f>'Revenues 9-14'!C125</f>
        <v>4299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5307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261771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3052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3052</v>
      </c>
      <c r="C5246" s="2" t="s">
        <v>573</v>
      </c>
      <c r="D5246" s="2" t="str">
        <f t="shared" si="80"/>
        <v>Error?</v>
      </c>
    </row>
    <row r="5247" spans="1:4" x14ac:dyDescent="0.2">
      <c r="A5247" s="5">
        <v>5186</v>
      </c>
      <c r="B5247" s="138">
        <f>'Revenues 9-14'!C200</f>
        <v>38988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7808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38988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1238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71822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73060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153992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153992</v>
      </c>
      <c r="C5326" s="2" t="s">
        <v>573</v>
      </c>
      <c r="D5326" s="2" t="str">
        <f t="shared" si="82"/>
        <v>Error?</v>
      </c>
    </row>
    <row r="5327" spans="1:5" x14ac:dyDescent="0.2">
      <c r="A5327" s="5">
        <v>5266</v>
      </c>
      <c r="B5327" s="138">
        <f>'Revenues 9-14'!C268</f>
        <v>4506552</v>
      </c>
      <c r="C5327" s="2" t="s">
        <v>573</v>
      </c>
      <c r="D5327" s="2" t="str">
        <f t="shared" si="82"/>
        <v>Error?</v>
      </c>
    </row>
    <row r="5328" spans="1:5" x14ac:dyDescent="0.2">
      <c r="A5328" s="5">
        <v>5267</v>
      </c>
      <c r="B5328" s="138">
        <f>'Revenues 9-14'!D5</f>
        <v>614661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614661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6692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621353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621353</v>
      </c>
      <c r="C5508" s="2" t="s">
        <v>573</v>
      </c>
      <c r="D5508" s="2" t="str">
        <f t="shared" si="85"/>
        <v>Error?</v>
      </c>
    </row>
    <row r="5509" spans="1:4" x14ac:dyDescent="0.2">
      <c r="A5509" s="5">
        <v>5448</v>
      </c>
      <c r="B5509" s="138">
        <f>'Revenues 9-14'!E5</f>
        <v>996248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996248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2889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2889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999137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999137</v>
      </c>
      <c r="C5552" s="2" t="s">
        <v>573</v>
      </c>
      <c r="D5552" s="2" t="str">
        <f t="shared" si="85"/>
        <v>Error?</v>
      </c>
    </row>
    <row r="5553" spans="1:4" x14ac:dyDescent="0.2">
      <c r="A5553" s="5">
        <v>5492</v>
      </c>
      <c r="B5553" s="138">
        <f>'Revenues 9-14'!F5</f>
        <v>20889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20889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21799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22000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33428</v>
      </c>
      <c r="D5617" s="2" t="str">
        <f t="shared" si="86"/>
        <v>Error?</v>
      </c>
    </row>
    <row r="5618" spans="1:5" x14ac:dyDescent="0.2">
      <c r="A5618" s="5">
        <v>5557</v>
      </c>
      <c r="B5618" s="138">
        <f>'Revenues 9-14'!F155</f>
        <v>33428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33428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55428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77227</v>
      </c>
      <c r="C5720" s="2" t="s">
        <v>573</v>
      </c>
      <c r="D5720" s="2" t="str">
        <f t="shared" si="88"/>
        <v>Error?</v>
      </c>
    </row>
    <row r="5721" spans="1:4" x14ac:dyDescent="0.2">
      <c r="A5721" s="5">
        <v>5660</v>
      </c>
      <c r="B5721" s="138">
        <f>'Revenues 9-14'!G5</f>
        <v>119327</v>
      </c>
      <c r="D5721" s="2" t="str">
        <f t="shared" si="88"/>
        <v>Error?</v>
      </c>
    </row>
    <row r="5722" spans="1:4" x14ac:dyDescent="0.2">
      <c r="A5722" s="5">
        <v>5661</v>
      </c>
      <c r="B5722" s="138">
        <f>'Revenues 9-14'!G7</f>
        <v>0</v>
      </c>
      <c r="D5722" s="2" t="str">
        <f t="shared" si="88"/>
        <v>Error?</v>
      </c>
    </row>
    <row r="5723" spans="1:4" x14ac:dyDescent="0.2">
      <c r="A5723" s="5">
        <v>5662</v>
      </c>
      <c r="B5723" s="138">
        <f>'Revenues 9-14'!G8</f>
        <v>75259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194586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33717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33717</v>
      </c>
      <c r="C5730" s="2" t="s">
        <v>573</v>
      </c>
      <c r="D5730" s="2" t="str">
        <f t="shared" si="88"/>
        <v>Error?</v>
      </c>
    </row>
    <row r="5731" spans="1:4" x14ac:dyDescent="0.2">
      <c r="A5731" s="5">
        <v>5670</v>
      </c>
      <c r="B5731" s="138">
        <f>'Revenues 9-14'!G65</f>
        <v>3592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231895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7838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7838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26866</v>
      </c>
      <c r="D5885" s="2" t="str">
        <f t="shared" si="90"/>
        <v>Error?</v>
      </c>
    </row>
    <row r="5886" spans="1:4" x14ac:dyDescent="0.2">
      <c r="A5886" s="5">
        <v>5825</v>
      </c>
      <c r="B5886" s="138">
        <f>'Revenues 9-14'!H108</f>
        <v>26866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34704</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6189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231895</v>
      </c>
      <c r="C6024" s="2" t="s">
        <v>573</v>
      </c>
      <c r="D6024" s="2" t="str">
        <f t="shared" si="93"/>
        <v>Error?</v>
      </c>
    </row>
    <row r="6025" spans="1:5" x14ac:dyDescent="0.2">
      <c r="A6025" s="5">
        <v>5964</v>
      </c>
      <c r="B6025" s="138">
        <f>'Revenues 9-14'!H109</f>
        <v>34704</v>
      </c>
      <c r="C6025" s="2" t="s">
        <v>573</v>
      </c>
      <c r="D6025" s="2" t="str">
        <f t="shared" si="93"/>
        <v>Error?</v>
      </c>
    </row>
    <row r="6026" spans="1:5" x14ac:dyDescent="0.2">
      <c r="A6026" s="5">
        <v>5965</v>
      </c>
      <c r="B6026" s="138">
        <f>'Revenues 9-14'!I109</f>
        <v>6189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265.8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93867</v>
      </c>
      <c r="D6267" s="2" t="str">
        <f t="shared" si="96"/>
        <v>Error?</v>
      </c>
      <c r="E6267" s="2" t="s">
        <v>190</v>
      </c>
    </row>
    <row r="6268" spans="1:5" x14ac:dyDescent="0.2">
      <c r="A6268">
        <v>6207</v>
      </c>
      <c r="B6268" s="138">
        <f>'Acct Summary 7-8'!D82</f>
        <v>51534</v>
      </c>
      <c r="D6268" s="2" t="str">
        <f t="shared" si="96"/>
        <v>Error?</v>
      </c>
      <c r="E6268" s="2" t="s">
        <v>190</v>
      </c>
    </row>
    <row r="6269" spans="1:5" x14ac:dyDescent="0.2">
      <c r="A6269">
        <v>6208</v>
      </c>
      <c r="B6269" s="138">
        <f>'Acct Summary 7-8'!E82</f>
        <v>4486</v>
      </c>
      <c r="D6269" s="2" t="str">
        <f t="shared" si="96"/>
        <v>Error?</v>
      </c>
      <c r="E6269" s="2" t="s">
        <v>190</v>
      </c>
    </row>
    <row r="6270" spans="1:5" x14ac:dyDescent="0.2">
      <c r="A6270">
        <v>6209</v>
      </c>
      <c r="B6270" s="138">
        <f>'Acct Summary 7-8'!F82</f>
        <v>-65093</v>
      </c>
      <c r="D6270" s="2" t="str">
        <f t="shared" si="96"/>
        <v>Error?</v>
      </c>
      <c r="E6270" s="2" t="s">
        <v>190</v>
      </c>
    </row>
    <row r="6271" spans="1:5" x14ac:dyDescent="0.2">
      <c r="A6271">
        <v>6210</v>
      </c>
      <c r="B6271" s="138">
        <f>'Acct Summary 7-8'!G82</f>
        <v>78973</v>
      </c>
      <c r="D6271" s="2" t="str">
        <f t="shared" ref="D6271:D6334" si="97">IF(ISBLANK(B6271),"OK",IF(A6271-B6271=0,"OK","Error?"))</f>
        <v>Error?</v>
      </c>
      <c r="E6271" s="2" t="s">
        <v>190</v>
      </c>
    </row>
    <row r="6272" spans="1:5" x14ac:dyDescent="0.2">
      <c r="A6272">
        <v>6211</v>
      </c>
      <c r="B6272" s="138">
        <f>'Acct Summary 7-8'!H82</f>
        <v>-243944</v>
      </c>
      <c r="D6272" s="2" t="str">
        <f t="shared" si="97"/>
        <v>Error?</v>
      </c>
      <c r="E6272" s="2" t="s">
        <v>190</v>
      </c>
    </row>
    <row r="6273" spans="1:5" x14ac:dyDescent="0.2">
      <c r="A6273">
        <v>6212</v>
      </c>
      <c r="B6273" s="138">
        <f>'Acct Summary 7-8'!I82</f>
        <v>6189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3.0413467242835661E-2</v>
      </c>
      <c r="D6276" s="2" t="str">
        <f t="shared" si="97"/>
        <v>Error?</v>
      </c>
      <c r="E6276" s="2" t="s">
        <v>190</v>
      </c>
    </row>
    <row r="6277" spans="1:5" x14ac:dyDescent="0.2">
      <c r="A6277">
        <v>6216</v>
      </c>
      <c r="B6277" s="138">
        <f>'Acct Summary 7-8'!D83</f>
        <v>0.10004018379719412</v>
      </c>
      <c r="D6277" s="2" t="str">
        <f t="shared" si="97"/>
        <v>Error?</v>
      </c>
      <c r="E6277" s="2" t="s">
        <v>190</v>
      </c>
    </row>
    <row r="6278" spans="1:5" x14ac:dyDescent="0.2">
      <c r="A6278">
        <v>6217</v>
      </c>
      <c r="B6278" s="138">
        <f>'Acct Summary 7-8'!E83</f>
        <v>6.696271970742994E-3</v>
      </c>
      <c r="D6278" s="2" t="str">
        <f t="shared" si="97"/>
        <v>Error?</v>
      </c>
      <c r="E6278" s="2" t="s">
        <v>190</v>
      </c>
    </row>
    <row r="6279" spans="1:5" x14ac:dyDescent="0.2">
      <c r="A6279">
        <v>6218</v>
      </c>
      <c r="B6279" s="138">
        <f>'Acct Summary 7-8'!F83</f>
        <v>-110.3271186440678</v>
      </c>
      <c r="D6279" s="2" t="str">
        <f t="shared" si="97"/>
        <v>Error?</v>
      </c>
      <c r="E6279" s="2" t="s">
        <v>190</v>
      </c>
    </row>
    <row r="6280" spans="1:5" x14ac:dyDescent="0.2">
      <c r="A6280">
        <v>6219</v>
      </c>
      <c r="B6280" s="138">
        <f>'Acct Summary 7-8'!G83</f>
        <v>0.23330142805655504</v>
      </c>
      <c r="D6280" s="2" t="str">
        <f t="shared" si="97"/>
        <v>Error?</v>
      </c>
      <c r="E6280" s="2" t="s">
        <v>190</v>
      </c>
    </row>
    <row r="6281" spans="1:5" x14ac:dyDescent="0.2">
      <c r="A6281">
        <v>6220</v>
      </c>
      <c r="B6281" s="138">
        <f>'Acct Summary 7-8'!H83</f>
        <v>-1.8149109819880813</v>
      </c>
      <c r="D6281" s="2" t="str">
        <f t="shared" si="97"/>
        <v>Error?</v>
      </c>
      <c r="E6281" s="2" t="s">
        <v>190</v>
      </c>
    </row>
    <row r="6282" spans="1:5" x14ac:dyDescent="0.2">
      <c r="A6282">
        <v>6221</v>
      </c>
      <c r="B6282" s="138">
        <f>'Acct Summary 7-8'!I83</f>
        <v>1.3651282413248516E-2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9043</v>
      </c>
      <c r="D6285" s="2" t="str">
        <f t="shared" si="97"/>
        <v>Error?</v>
      </c>
      <c r="E6285" s="2" t="s">
        <v>190</v>
      </c>
    </row>
    <row r="6286" spans="1:5" x14ac:dyDescent="0.2">
      <c r="A6286">
        <v>6225</v>
      </c>
      <c r="B6286" s="138">
        <f>'Acct Summary 7-8'!E38</f>
        <v>2458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107833</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4134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4134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4134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230706</v>
      </c>
      <c r="D6983" s="2" t="str">
        <f t="shared" si="108"/>
        <v>Error?</v>
      </c>
    </row>
    <row r="6984" spans="1:4" x14ac:dyDescent="0.2">
      <c r="A6984">
        <v>6923</v>
      </c>
      <c r="B6984" s="138">
        <f>'Expenditures 15-22'!K86</f>
        <v>230706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230706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4134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11104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11104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11104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11104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5654</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5654</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5654</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20892</v>
      </c>
      <c r="D7624" s="2" t="str">
        <f t="shared" si="124"/>
        <v>Error?</v>
      </c>
      <c r="E7624" s="2" t="s">
        <v>19</v>
      </c>
    </row>
    <row r="7625" spans="1:5" x14ac:dyDescent="0.2">
      <c r="A7625">
        <f t="shared" si="123"/>
        <v>7564</v>
      </c>
      <c r="B7625" s="138">
        <f>'Cap Outlay Deprec 26'!I17</f>
        <v>2089.1999999999998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433693.2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9043</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2458</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107833</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530818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140657</v>
      </c>
      <c r="D7797" s="2" t="str">
        <f t="shared" si="127"/>
        <v>Error?</v>
      </c>
      <c r="E7797" s="4" t="s">
        <v>1903</v>
      </c>
    </row>
    <row r="7798" spans="1:5" x14ac:dyDescent="0.2">
      <c r="A7798">
        <v>7737</v>
      </c>
      <c r="B7798" s="138">
        <f>'Contracts Paid in CY 29'!F141</f>
        <v>123188</v>
      </c>
      <c r="D7798" s="2" t="str">
        <f t="shared" si="127"/>
        <v>Error?</v>
      </c>
      <c r="E7798" s="4" t="s">
        <v>1903</v>
      </c>
    </row>
    <row r="7799" spans="1:5" x14ac:dyDescent="0.2">
      <c r="A7799">
        <v>7738</v>
      </c>
      <c r="B7799" s="138">
        <f>'Contracts Paid in CY 29'!G141</f>
        <v>17469</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5019</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Winfield SD 34</v>
      </c>
      <c r="B7" s="2384"/>
      <c r="C7" s="2384"/>
      <c r="D7" s="2421"/>
      <c r="E7" s="2422">
        <f>COVER!A13</f>
        <v>19022034002</v>
      </c>
      <c r="F7" s="2423"/>
      <c r="G7" s="2390" t="str">
        <f>COVER!T23</f>
        <v>066-005340</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EVANS, MARSHALL &amp; PEASE, P.C.</v>
      </c>
      <c r="H9" s="2397"/>
      <c r="I9" s="2397"/>
      <c r="J9" s="2397"/>
      <c r="K9" s="2397"/>
      <c r="L9" s="2398"/>
    </row>
    <row r="10" spans="1:29" ht="13.5" customHeight="1" x14ac:dyDescent="0.2">
      <c r="A10" s="2380" t="str">
        <f>COVER!A38</f>
        <v>DR. MATT RICH</v>
      </c>
      <c r="B10" s="2381"/>
      <c r="C10" s="2381"/>
      <c r="D10" s="2381"/>
      <c r="E10" s="2381"/>
      <c r="F10" s="2382"/>
      <c r="G10" s="2396" t="str">
        <f>COVER!T17</f>
        <v>1875 HICKS ROAD</v>
      </c>
      <c r="H10" s="2409"/>
      <c r="I10" s="2409"/>
      <c r="J10" s="2409"/>
      <c r="K10" s="2409"/>
      <c r="L10" s="2410"/>
    </row>
    <row r="11" spans="1:29" ht="13.5" customHeight="1" x14ac:dyDescent="0.2">
      <c r="A11" s="1184" t="s">
        <v>1519</v>
      </c>
      <c r="B11" s="1185"/>
      <c r="C11" s="1186"/>
      <c r="D11" s="1191"/>
      <c r="E11" s="1186"/>
      <c r="F11" s="1190"/>
      <c r="G11" s="2396" t="str">
        <f>COVER!T19</f>
        <v>ROLLING MEADOWS</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JEFF@EMPCPA.COM</v>
      </c>
      <c r="J13" s="2418"/>
      <c r="K13" s="2418"/>
      <c r="L13" s="2419"/>
    </row>
    <row r="14" spans="1:29" ht="13.5" customHeight="1" x14ac:dyDescent="0.2">
      <c r="A14" s="2396" t="str">
        <f>COVER!A19</f>
        <v xml:space="preserve">0 S. 150 WINFIELD ROAD </v>
      </c>
      <c r="B14" s="2409"/>
      <c r="C14" s="2409"/>
      <c r="D14" s="2409"/>
      <c r="E14" s="2409"/>
      <c r="F14" s="2410"/>
      <c r="G14" s="1195" t="s">
        <v>1185</v>
      </c>
      <c r="H14" s="1193"/>
      <c r="I14" s="1193"/>
      <c r="J14" s="1193"/>
      <c r="K14" s="1193"/>
      <c r="L14" s="1194"/>
    </row>
    <row r="15" spans="1:29" ht="13.5" customHeight="1" x14ac:dyDescent="0.2">
      <c r="A15" s="2396" t="str">
        <f>COVER!A21</f>
        <v xml:space="preserve">WINFIELD    </v>
      </c>
      <c r="B15" s="2409"/>
      <c r="C15" s="2409"/>
      <c r="D15" s="2409"/>
      <c r="E15" s="2409"/>
      <c r="F15" s="2410"/>
      <c r="G15" s="2406" t="str">
        <f>COVER!T15</f>
        <v>JEFFERY M. ROLLEFSON</v>
      </c>
      <c r="H15" s="2407"/>
      <c r="I15" s="2407"/>
      <c r="J15" s="2407"/>
      <c r="K15" s="2407"/>
      <c r="L15" s="2408"/>
    </row>
    <row r="16" spans="1:29" ht="12.2" customHeight="1" x14ac:dyDescent="0.2">
      <c r="A16" s="2386">
        <f>COVER!A25</f>
        <v>60190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847-221-5700</v>
      </c>
      <c r="H18" s="2384"/>
      <c r="I18" s="2384"/>
      <c r="J18" s="2384"/>
      <c r="K18" s="2383" t="str">
        <f>COVER!X21</f>
        <v>847-221-5701</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9"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Winfield SD 34</v>
      </c>
      <c r="B1" s="2420"/>
      <c r="C1" s="2420"/>
      <c r="D1" s="2420"/>
    </row>
    <row r="2" spans="1:11" s="1212" customFormat="1" ht="12.75" x14ac:dyDescent="0.2">
      <c r="A2" s="2425">
        <f>'Single Audit Cover'!E7</f>
        <v>19022034002</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Winfield SD 34</v>
      </c>
      <c r="B1" s="2428"/>
      <c r="C1" s="2428"/>
      <c r="D1" s="2428"/>
      <c r="E1" s="2428"/>
    </row>
    <row r="2" spans="1:5" x14ac:dyDescent="0.2">
      <c r="A2" s="2429">
        <f>'Single Audit Cover'!E7</f>
        <v>19022034002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153992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-17839</v>
      </c>
    </row>
    <row r="19" spans="1:4" ht="13.5" thickBot="1" x14ac:dyDescent="0.25">
      <c r="A19" s="1262" t="s">
        <v>1235</v>
      </c>
      <c r="D19" s="1263">
        <f>SUM(D10:D17)</f>
        <v>136153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136153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136153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Winfield SD 34</v>
      </c>
      <c r="C1" s="2432"/>
      <c r="D1" s="2432"/>
      <c r="E1" s="2432"/>
      <c r="F1" s="2432"/>
      <c r="G1" s="2432"/>
      <c r="H1" s="2432"/>
      <c r="I1" s="2432"/>
      <c r="J1" s="2432"/>
      <c r="K1" s="2432"/>
      <c r="L1" s="2432"/>
      <c r="M1" s="2432"/>
    </row>
    <row r="2" spans="2:14" ht="15" x14ac:dyDescent="0.2">
      <c r="B2" s="2433">
        <f>'Single Audit Cover'!E7</f>
        <v>19022034002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Winfield SD 34</v>
      </c>
      <c r="B1" s="2437"/>
      <c r="C1" s="2437"/>
      <c r="D1" s="2437"/>
      <c r="E1" s="2437"/>
      <c r="F1" s="2437"/>
    </row>
    <row r="2" spans="1:7" ht="13.5" customHeight="1" x14ac:dyDescent="0.2">
      <c r="A2" s="2433">
        <f>'Single Audit Cover'!E7</f>
        <v>19022034002</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A42" sqref="A42:C4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33512</v>
      </c>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2072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2073</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Winfield SD 34</v>
      </c>
      <c r="C1" s="2453"/>
      <c r="D1" s="2453"/>
      <c r="E1" s="2453"/>
      <c r="F1" s="2453"/>
      <c r="G1" s="2453"/>
      <c r="H1" s="2453"/>
      <c r="I1" s="2453"/>
      <c r="J1" s="1406"/>
    </row>
    <row r="2" spans="2:10" s="317" customFormat="1" ht="12.75" customHeight="1" x14ac:dyDescent="0.2">
      <c r="B2" s="2454">
        <f>'Single Audit Cover'!E7</f>
        <v>19022034002</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2063</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Winfield SD 34</v>
      </c>
      <c r="C1" s="2452"/>
      <c r="D1" s="2452"/>
      <c r="E1" s="2452"/>
      <c r="F1" s="2452"/>
      <c r="G1" s="2452"/>
      <c r="H1" s="2452"/>
      <c r="I1" s="2452"/>
      <c r="J1" s="2452"/>
      <c r="K1" s="2452"/>
      <c r="L1" s="1371"/>
      <c r="M1" s="1371"/>
    </row>
    <row r="2" spans="1:13" ht="12" customHeight="1" x14ac:dyDescent="0.2">
      <c r="B2" s="2454">
        <f>'Single Audit Cover'!E7</f>
        <v>19022034002</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Winfield SD 34</v>
      </c>
      <c r="C1" s="2479"/>
      <c r="D1" s="2479"/>
      <c r="E1" s="2479"/>
      <c r="F1" s="2479"/>
      <c r="G1" s="2479"/>
      <c r="H1" s="2479"/>
      <c r="I1" s="2479"/>
      <c r="J1" s="2479"/>
      <c r="K1" s="2479"/>
      <c r="L1" s="1449"/>
    </row>
    <row r="2" spans="1:12" ht="12.75" customHeight="1" x14ac:dyDescent="0.2">
      <c r="B2" s="2480">
        <f>'Single Audit Cover'!E7</f>
        <v>19022034002</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Winfield SD 34</v>
      </c>
      <c r="C1" s="2452"/>
      <c r="D1" s="2452"/>
      <c r="E1" s="1469"/>
    </row>
    <row r="2" spans="2:5" s="1279" customFormat="1" ht="12.75" customHeight="1" x14ac:dyDescent="0.2">
      <c r="B2" s="2454">
        <f>'Single Audit Cover'!E7</f>
        <v>19022034002</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0" colorId="8" zoomScale="130" zoomScaleNormal="130" workbookViewId="0">
      <selection activeCell="A42" sqref="A42:C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151657076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2.1093000000000001E-2</v>
      </c>
      <c r="E10" s="356" t="s">
        <v>1005</v>
      </c>
      <c r="F10" s="355">
        <v>4.1879999999999999E-3</v>
      </c>
      <c r="G10" s="356" t="s">
        <v>1005</v>
      </c>
      <c r="H10" s="355">
        <v>1.4300000000000001E-4</v>
      </c>
      <c r="I10" s="356" t="s">
        <v>1006</v>
      </c>
      <c r="J10" s="1732">
        <f>ROUND(D10+F10+H10,5)</f>
        <v>2.5420000000000002E-2</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5211321</v>
      </c>
      <c r="E16" s="356"/>
      <c r="F16" s="1733">
        <f>SUM('Acct Summary 7-8'!C17,'Acct Summary 7-8'!D17,'Acct Summary 7-8'!F17)</f>
        <v>5062878</v>
      </c>
      <c r="G16" s="356"/>
      <c r="H16" s="1733">
        <f>SUM(D16-F16)</f>
        <v>148443</v>
      </c>
      <c r="I16" s="222"/>
      <c r="J16" s="1733">
        <f>SUM('Acct Summary 7-8'!C81,'Acct Summary 7-8'!D81,'Acct Summary 7-8'!F81,'Acct Summary 7-8'!I81)</f>
        <v>4055450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10464338.244000001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2478517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2" sqref="A42:C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Winfield SD 34</v>
      </c>
      <c r="E7" s="391"/>
      <c r="G7" s="252"/>
      <c r="H7" s="387"/>
      <c r="I7" s="387"/>
      <c r="J7" s="387"/>
      <c r="K7" s="387"/>
      <c r="L7" s="329"/>
      <c r="M7" s="329"/>
      <c r="N7" s="329"/>
      <c r="O7" s="329"/>
      <c r="P7" s="329"/>
    </row>
    <row r="8" spans="1:18" ht="12.75" x14ac:dyDescent="0.2">
      <c r="A8" s="329"/>
      <c r="B8" s="329"/>
      <c r="C8" s="389" t="s">
        <v>1125</v>
      </c>
      <c r="D8" s="392">
        <f>COVER!A13</f>
        <v>19022034002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4055450</v>
      </c>
      <c r="I12" s="404"/>
      <c r="J12" s="404"/>
      <c r="K12" s="405">
        <f>TRUNC((H12/H13*100000),5)/100000</f>
        <v>0.77992122799999997</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5199820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-11501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5062878</v>
      </c>
      <c r="I17" s="404"/>
      <c r="J17" s="416"/>
      <c r="K17" s="405">
        <f>TRUNC((H17/H18*100000),5)/100000</f>
        <v>0.97366408829999995</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5199820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-11501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4055450</v>
      </c>
      <c r="I24" s="422"/>
      <c r="J24" s="422"/>
      <c r="K24" s="423">
        <f>TRUNC(((H24/H25*100000)/100000),2)</f>
        <v>288.36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14063.55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3276854.4411300002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2478517</v>
      </c>
      <c r="I32" s="420"/>
      <c r="J32" s="420"/>
      <c r="K32" s="423">
        <f>TRUNC(100-((((H32/H33*100))*100)/100),2)</f>
        <v>76.31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10464338.244000001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30" zoomScaleNormal="130" workbookViewId="0">
      <pane ySplit="2" topLeftCell="A21" activePane="bottomLeft" state="frozen"/>
      <selection activeCell="A42" sqref="A42:C42"/>
      <selection pane="bottomLeft" activeCell="A42" sqref="A42:C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3086363</v>
      </c>
      <c r="D4" s="466">
        <v>515133</v>
      </c>
      <c r="E4" s="466">
        <v>669925</v>
      </c>
      <c r="F4" s="466">
        <v>590</v>
      </c>
      <c r="G4" s="466">
        <v>338502</v>
      </c>
      <c r="H4" s="466">
        <v>134411</v>
      </c>
      <c r="I4" s="466">
        <v>453364</v>
      </c>
      <c r="J4" s="467"/>
      <c r="K4" s="466"/>
      <c r="L4" s="466">
        <v>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3086363</v>
      </c>
      <c r="D13" s="1737">
        <f t="shared" ref="D13:L13" si="0">SUM(D4:D12)</f>
        <v>515133</v>
      </c>
      <c r="E13" s="1737">
        <f t="shared" si="0"/>
        <v>669925</v>
      </c>
      <c r="F13" s="1737">
        <f t="shared" si="0"/>
        <v>590</v>
      </c>
      <c r="G13" s="1737">
        <f t="shared" si="0"/>
        <v>338502</v>
      </c>
      <c r="H13" s="1737">
        <f t="shared" si="0"/>
        <v>134411</v>
      </c>
      <c r="I13" s="1737">
        <f t="shared" si="0"/>
        <v>453364</v>
      </c>
      <c r="J13" s="1737">
        <f t="shared" si="0"/>
        <v>0</v>
      </c>
      <c r="K13" s="1737">
        <f t="shared" si="0"/>
        <v>0</v>
      </c>
      <c r="L13" s="1737">
        <f t="shared" si="0"/>
        <v>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591553</v>
      </c>
      <c r="N16" s="484"/>
    </row>
    <row r="17" spans="1:14" s="485" customFormat="1" ht="12.75" customHeight="1" x14ac:dyDescent="0.2">
      <c r="A17" s="482" t="s">
        <v>1403</v>
      </c>
      <c r="B17" s="483">
        <v>230</v>
      </c>
      <c r="C17" s="477"/>
      <c r="D17" s="477"/>
      <c r="E17" s="477"/>
      <c r="F17" s="477"/>
      <c r="G17" s="477"/>
      <c r="H17" s="477"/>
      <c r="I17" s="477"/>
      <c r="J17" s="477"/>
      <c r="K17" s="477"/>
      <c r="L17" s="477"/>
      <c r="M17" s="467">
        <v>16178037</v>
      </c>
      <c r="N17" s="484"/>
    </row>
    <row r="18" spans="1:14" s="485" customFormat="1" ht="12.75" customHeight="1" x14ac:dyDescent="0.2">
      <c r="A18" s="482" t="s">
        <v>1404</v>
      </c>
      <c r="B18" s="483">
        <v>240</v>
      </c>
      <c r="C18" s="477"/>
      <c r="D18" s="477"/>
      <c r="E18" s="477"/>
      <c r="F18" s="477"/>
      <c r="G18" s="477"/>
      <c r="H18" s="477"/>
      <c r="I18" s="477"/>
      <c r="J18" s="477"/>
      <c r="K18" s="477"/>
      <c r="L18" s="477"/>
      <c r="M18" s="467">
        <v>880676</v>
      </c>
      <c r="N18" s="484"/>
    </row>
    <row r="19" spans="1:14" s="485" customFormat="1" ht="12.75" customHeight="1" x14ac:dyDescent="0.2">
      <c r="A19" s="482" t="s">
        <v>1405</v>
      </c>
      <c r="B19" s="483">
        <v>250</v>
      </c>
      <c r="C19" s="477"/>
      <c r="D19" s="477"/>
      <c r="E19" s="477"/>
      <c r="F19" s="477"/>
      <c r="G19" s="477"/>
      <c r="H19" s="477"/>
      <c r="I19" s="477"/>
      <c r="J19" s="477"/>
      <c r="K19" s="477"/>
      <c r="L19" s="477"/>
      <c r="M19" s="467">
        <v>526494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669925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1808592</v>
      </c>
    </row>
    <row r="23" spans="1:14" ht="13.5" customHeight="1" thickBot="1" x14ac:dyDescent="0.25">
      <c r="A23" s="1736" t="s">
        <v>643</v>
      </c>
      <c r="B23" s="1741"/>
      <c r="C23" s="468"/>
      <c r="D23" s="468"/>
      <c r="E23" s="468"/>
      <c r="F23" s="468"/>
      <c r="G23" s="468"/>
      <c r="H23" s="468"/>
      <c r="I23" s="468"/>
      <c r="J23" s="468"/>
      <c r="K23" s="468"/>
      <c r="L23" s="468"/>
      <c r="M23" s="1688">
        <f>SUM(M15:M22)</f>
        <v>18176760</v>
      </c>
      <c r="N23" s="1688">
        <f>SUM(N21:N22)</f>
        <v>2478517</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2478517</v>
      </c>
    </row>
    <row r="37" spans="1:14" ht="13.5" thickBot="1" x14ac:dyDescent="0.25">
      <c r="A37" s="1736" t="s">
        <v>653</v>
      </c>
      <c r="B37" s="1741"/>
      <c r="C37" s="477"/>
      <c r="D37" s="477"/>
      <c r="E37" s="477"/>
      <c r="F37" s="477"/>
      <c r="G37" s="477"/>
      <c r="H37" s="477"/>
      <c r="I37" s="477"/>
      <c r="J37" s="477"/>
      <c r="K37" s="477"/>
      <c r="L37" s="480"/>
      <c r="M37" s="468"/>
      <c r="N37" s="1688">
        <f>SUM(N36:N36)</f>
        <v>2478517</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3086363</v>
      </c>
      <c r="D39" s="466">
        <v>515133</v>
      </c>
      <c r="E39" s="466">
        <v>669925</v>
      </c>
      <c r="F39" s="466">
        <v>590</v>
      </c>
      <c r="G39" s="466">
        <v>338502</v>
      </c>
      <c r="H39" s="466">
        <v>134411</v>
      </c>
      <c r="I39" s="466">
        <v>453364</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18176760</v>
      </c>
      <c r="N40" s="497"/>
    </row>
    <row r="41" spans="1:14" ht="13.5" customHeight="1" thickBot="1" x14ac:dyDescent="0.25">
      <c r="A41" s="1736" t="s">
        <v>655</v>
      </c>
      <c r="B41" s="1706"/>
      <c r="C41" s="1688">
        <f>(SUM(C34,C37,C38,C39))</f>
        <v>3086363</v>
      </c>
      <c r="D41" s="1688">
        <f t="shared" ref="D41:L41" si="2">SUM(D34,D37,D38:D39)</f>
        <v>515133</v>
      </c>
      <c r="E41" s="1688">
        <f t="shared" si="2"/>
        <v>669925</v>
      </c>
      <c r="F41" s="1688">
        <f t="shared" si="2"/>
        <v>590</v>
      </c>
      <c r="G41" s="1688">
        <f t="shared" si="2"/>
        <v>338502</v>
      </c>
      <c r="H41" s="1688">
        <f t="shared" si="2"/>
        <v>134411</v>
      </c>
      <c r="I41" s="1688">
        <f t="shared" si="2"/>
        <v>453364</v>
      </c>
      <c r="J41" s="1688">
        <f t="shared" si="2"/>
        <v>0</v>
      </c>
      <c r="K41" s="1688">
        <f t="shared" si="2"/>
        <v>0</v>
      </c>
      <c r="L41" s="1688">
        <f t="shared" si="2"/>
        <v>0</v>
      </c>
      <c r="M41" s="1688">
        <f>SUM(M40)</f>
        <v>18176760</v>
      </c>
      <c r="N41" s="1688">
        <f>SUM(N37)</f>
        <v>2478517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A42" sqref="A42:C42"/>
      <selection pane="bottomLeft" activeCell="A42" sqref="A42:C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4090789</v>
      </c>
      <c r="D4" s="1742">
        <f>'Revenues 9-14'!D109</f>
        <v>621353</v>
      </c>
      <c r="E4" s="1742">
        <f>'Revenues 9-14'!E109</f>
        <v>999137</v>
      </c>
      <c r="F4" s="1742">
        <f>'Revenues 9-14'!F109</f>
        <v>21799</v>
      </c>
      <c r="G4" s="1742">
        <f>'Revenues 9-14'!G109</f>
        <v>231895</v>
      </c>
      <c r="H4" s="1742">
        <f>'Revenues 9-14'!H109</f>
        <v>34704</v>
      </c>
      <c r="I4" s="1742">
        <f>'Revenues 9-14'!I109</f>
        <v>6189</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261771</v>
      </c>
      <c r="D6" s="1743">
        <f>'Revenues 9-14'!D170</f>
        <v>0</v>
      </c>
      <c r="E6" s="1743">
        <f>'Revenues 9-14'!E170</f>
        <v>0</v>
      </c>
      <c r="F6" s="1743">
        <f>'Revenues 9-14'!F170</f>
        <v>55428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153992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4506552</v>
      </c>
      <c r="D8" s="1688">
        <f t="shared" ref="D8:K8" si="0">SUM(D4:D7)</f>
        <v>621353</v>
      </c>
      <c r="E8" s="1688">
        <f t="shared" si="0"/>
        <v>999137</v>
      </c>
      <c r="F8" s="1688">
        <f t="shared" si="0"/>
        <v>77227</v>
      </c>
      <c r="G8" s="1688">
        <f t="shared" si="0"/>
        <v>231895</v>
      </c>
      <c r="H8" s="1688">
        <f t="shared" si="0"/>
        <v>34704</v>
      </c>
      <c r="I8" s="1688">
        <f t="shared" si="0"/>
        <v>6189</v>
      </c>
      <c r="J8" s="1688">
        <f t="shared" si="0"/>
        <v>0</v>
      </c>
      <c r="K8" s="1688">
        <f t="shared" si="0"/>
        <v>0</v>
      </c>
      <c r="L8" s="347"/>
    </row>
    <row r="9" spans="1:13" ht="15.75" thickTop="1" x14ac:dyDescent="0.2">
      <c r="A9" s="514" t="s">
        <v>1653</v>
      </c>
      <c r="B9" s="515">
        <v>3998</v>
      </c>
      <c r="C9" s="481">
        <v>1764605</v>
      </c>
      <c r="D9" s="516"/>
      <c r="E9" s="481"/>
      <c r="F9" s="481"/>
      <c r="G9" s="517"/>
      <c r="H9" s="481"/>
      <c r="I9" s="509" t="s">
        <v>1169</v>
      </c>
      <c r="J9" s="478"/>
      <c r="K9" s="481"/>
      <c r="L9" s="347"/>
    </row>
    <row r="10" spans="1:13" s="519" customFormat="1" ht="13.5" thickBot="1" x14ac:dyDescent="0.25">
      <c r="A10" s="1736" t="s">
        <v>1173</v>
      </c>
      <c r="B10" s="1709"/>
      <c r="C10" s="1688">
        <f>SUM(C8:C9)</f>
        <v>6271157</v>
      </c>
      <c r="D10" s="1688">
        <f t="shared" ref="D10:K10" si="1">SUM(D8:D9)</f>
        <v>621353</v>
      </c>
      <c r="E10" s="1688">
        <f t="shared" si="1"/>
        <v>999137</v>
      </c>
      <c r="F10" s="1688">
        <f t="shared" si="1"/>
        <v>77227</v>
      </c>
      <c r="G10" s="1688">
        <f t="shared" si="1"/>
        <v>231895</v>
      </c>
      <c r="H10" s="1688">
        <f t="shared" si="1"/>
        <v>34704</v>
      </c>
      <c r="I10" s="1688">
        <f t="shared" si="1"/>
        <v>6189</v>
      </c>
      <c r="J10" s="1688">
        <f t="shared" si="1"/>
        <v>0</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2795009</v>
      </c>
      <c r="D12" s="520" t="s">
        <v>1169</v>
      </c>
      <c r="E12" s="468" t="s">
        <v>1169</v>
      </c>
      <c r="F12" s="468" t="s">
        <v>1169</v>
      </c>
      <c r="G12" s="1742">
        <f>'Expenditures 15-22'!K229</f>
        <v>60662</v>
      </c>
      <c r="H12" s="521"/>
      <c r="I12" s="468" t="s">
        <v>1169</v>
      </c>
      <c r="J12" s="468" t="s">
        <v>1169</v>
      </c>
      <c r="K12" s="521" t="s">
        <v>1169</v>
      </c>
      <c r="L12" s="347"/>
    </row>
    <row r="13" spans="1:13" ht="15.75" customHeight="1" x14ac:dyDescent="0.2">
      <c r="A13" s="1576" t="s">
        <v>457</v>
      </c>
      <c r="B13" s="1578">
        <v>2000</v>
      </c>
      <c r="C13" s="1743">
        <f>'Expenditures 15-22'!K74</f>
        <v>1307838</v>
      </c>
      <c r="D13" s="1743">
        <f>'Expenditures 15-22'!K129</f>
        <v>569819</v>
      </c>
      <c r="E13" s="469" t="s">
        <v>1169</v>
      </c>
      <c r="F13" s="1743">
        <f>'Expenditures 15-22'!K184</f>
        <v>142320</v>
      </c>
      <c r="G13" s="1743">
        <f>'Expenditures 15-22'!K279</f>
        <v>92260</v>
      </c>
      <c r="H13" s="1743">
        <f>'Expenditures 15-22'!K303</f>
        <v>386481</v>
      </c>
      <c r="I13" s="468" t="s">
        <v>1169</v>
      </c>
      <c r="J13" s="1743">
        <f>'Expenditures 15-22'!K330</f>
        <v>0</v>
      </c>
      <c r="K13" s="1747">
        <f>'Expenditures 15-22'!K352</f>
        <v>0</v>
      </c>
      <c r="L13" s="347"/>
    </row>
    <row r="14" spans="1:13" ht="15.75" customHeight="1" x14ac:dyDescent="0.2">
      <c r="A14" s="1576" t="s">
        <v>449</v>
      </c>
      <c r="B14" s="1578">
        <v>3000</v>
      </c>
      <c r="C14" s="1743">
        <f>'Expenditures 15-22'!K75</f>
        <v>17186</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230706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1006152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4350739</v>
      </c>
      <c r="D17" s="1688">
        <f t="shared" si="2"/>
        <v>569819</v>
      </c>
      <c r="E17" s="1688">
        <f t="shared" si="2"/>
        <v>1006152</v>
      </c>
      <c r="F17" s="1688">
        <f t="shared" si="2"/>
        <v>142320</v>
      </c>
      <c r="G17" s="1688">
        <f t="shared" si="2"/>
        <v>152922</v>
      </c>
      <c r="H17" s="1688">
        <f t="shared" si="2"/>
        <v>386481</v>
      </c>
      <c r="I17" s="468"/>
      <c r="J17" s="1688">
        <f>SUM(J12:J16)</f>
        <v>0</v>
      </c>
      <c r="K17" s="1688">
        <f>SUM(K12:K16)</f>
        <v>0</v>
      </c>
      <c r="L17" s="347"/>
    </row>
    <row r="18" spans="1:12" ht="15" customHeight="1" thickTop="1" x14ac:dyDescent="0.2">
      <c r="A18" s="1744" t="s">
        <v>1654</v>
      </c>
      <c r="B18" s="1745">
        <v>4180</v>
      </c>
      <c r="C18" s="1742">
        <f t="shared" ref="C18:H18" si="3">C9</f>
        <v>1764605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6115344</v>
      </c>
      <c r="D19" s="1688">
        <f t="shared" si="4"/>
        <v>569819</v>
      </c>
      <c r="E19" s="1688">
        <f t="shared" si="4"/>
        <v>1006152</v>
      </c>
      <c r="F19" s="1688">
        <f t="shared" si="4"/>
        <v>142320</v>
      </c>
      <c r="G19" s="1688">
        <f t="shared" si="4"/>
        <v>152922</v>
      </c>
      <c r="H19" s="1688">
        <f t="shared" si="4"/>
        <v>386481</v>
      </c>
      <c r="I19" s="468"/>
      <c r="J19" s="1688">
        <f>SUM(J17:J18)</f>
        <v>0</v>
      </c>
      <c r="K19" s="1688">
        <f>SUM(K17:K18)</f>
        <v>0</v>
      </c>
      <c r="L19" s="347"/>
    </row>
    <row r="20" spans="1:12" ht="16.5" thickTop="1" thickBot="1" x14ac:dyDescent="0.25">
      <c r="A20" s="2125" t="s">
        <v>1655</v>
      </c>
      <c r="B20" s="2126"/>
      <c r="C20" s="1746">
        <f>C8-C17</f>
        <v>155813</v>
      </c>
      <c r="D20" s="1746">
        <f t="shared" ref="D20:K20" si="5">D8-D17</f>
        <v>51534</v>
      </c>
      <c r="E20" s="1746">
        <f t="shared" si="5"/>
        <v>-7015</v>
      </c>
      <c r="F20" s="1746">
        <f t="shared" si="5"/>
        <v>-65093</v>
      </c>
      <c r="G20" s="1746">
        <f t="shared" si="5"/>
        <v>78973</v>
      </c>
      <c r="H20" s="1746">
        <f t="shared" si="5"/>
        <v>-351777</v>
      </c>
      <c r="I20" s="1746">
        <f t="shared" si="5"/>
        <v>6189</v>
      </c>
      <c r="J20" s="1746">
        <f t="shared" si="5"/>
        <v>0</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9043</v>
      </c>
      <c r="F37" s="475"/>
      <c r="G37" s="475"/>
      <c r="H37" s="475"/>
      <c r="I37" s="477"/>
      <c r="J37" s="475"/>
      <c r="K37" s="475"/>
      <c r="L37" s="524"/>
    </row>
    <row r="38" spans="1:12" s="485" customFormat="1" x14ac:dyDescent="0.2">
      <c r="A38" s="1489" t="s">
        <v>442</v>
      </c>
      <c r="B38" s="525">
        <v>7500</v>
      </c>
      <c r="C38" s="477"/>
      <c r="D38" s="477"/>
      <c r="E38" s="1743">
        <f>SUM(C58:D61,H58:H61)</f>
        <v>2458</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107833</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57388</v>
      </c>
      <c r="D43" s="467"/>
      <c r="E43" s="467"/>
      <c r="F43" s="467"/>
      <c r="G43" s="467"/>
      <c r="H43" s="467"/>
      <c r="I43" s="467"/>
      <c r="J43" s="467"/>
      <c r="K43" s="467"/>
      <c r="L43" s="524"/>
    </row>
    <row r="44" spans="1:12" s="485" customFormat="1" ht="13.5" customHeight="1" thickBot="1" x14ac:dyDescent="0.25">
      <c r="A44" s="2139" t="s">
        <v>374</v>
      </c>
      <c r="B44" s="2140"/>
      <c r="C44" s="1703">
        <f>SUM(C24:C43)</f>
        <v>57388</v>
      </c>
      <c r="D44" s="1703">
        <f t="shared" ref="D44:K44" si="6">SUM(D24:D43)</f>
        <v>0</v>
      </c>
      <c r="E44" s="1703">
        <f t="shared" si="6"/>
        <v>11501</v>
      </c>
      <c r="F44" s="1703">
        <f t="shared" si="6"/>
        <v>0</v>
      </c>
      <c r="G44" s="1703">
        <f t="shared" si="6"/>
        <v>0</v>
      </c>
      <c r="H44" s="1703">
        <f t="shared" si="6"/>
        <v>107833</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9043</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2458</v>
      </c>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v>107833</v>
      </c>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119334</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-61946</v>
      </c>
      <c r="D77" s="1703">
        <f t="shared" si="8"/>
        <v>0</v>
      </c>
      <c r="E77" s="1703">
        <f t="shared" si="8"/>
        <v>11501</v>
      </c>
      <c r="F77" s="1703">
        <f t="shared" si="8"/>
        <v>0</v>
      </c>
      <c r="G77" s="1703">
        <f t="shared" si="8"/>
        <v>0</v>
      </c>
      <c r="H77" s="1703">
        <f t="shared" si="8"/>
        <v>107833</v>
      </c>
      <c r="I77" s="1703">
        <f t="shared" si="8"/>
        <v>0</v>
      </c>
      <c r="J77" s="1703">
        <f t="shared" si="8"/>
        <v>0</v>
      </c>
      <c r="K77" s="1703">
        <f t="shared" si="8"/>
        <v>0</v>
      </c>
      <c r="L77" s="347"/>
    </row>
    <row r="78" spans="1:12" ht="21.75" customHeight="1" thickTop="1" thickBot="1" x14ac:dyDescent="0.25">
      <c r="A78" s="2121" t="s">
        <v>597</v>
      </c>
      <c r="B78" s="2122"/>
      <c r="C78" s="1702">
        <f t="shared" ref="C78:K78" si="9">C20+C77</f>
        <v>93867</v>
      </c>
      <c r="D78" s="1702">
        <f t="shared" si="9"/>
        <v>51534</v>
      </c>
      <c r="E78" s="1702">
        <f t="shared" si="9"/>
        <v>4486</v>
      </c>
      <c r="F78" s="1702">
        <f t="shared" si="9"/>
        <v>-65093</v>
      </c>
      <c r="G78" s="1702">
        <f t="shared" si="9"/>
        <v>78973</v>
      </c>
      <c r="H78" s="1702">
        <f t="shared" si="9"/>
        <v>-243944</v>
      </c>
      <c r="I78" s="1702">
        <f t="shared" si="9"/>
        <v>6189</v>
      </c>
      <c r="J78" s="1702">
        <f t="shared" si="9"/>
        <v>0</v>
      </c>
      <c r="K78" s="1702">
        <f t="shared" si="9"/>
        <v>0</v>
      </c>
      <c r="L78" s="533"/>
    </row>
    <row r="79" spans="1:12" ht="13.5" thickTop="1" x14ac:dyDescent="0.2">
      <c r="A79" s="1494" t="s">
        <v>1948</v>
      </c>
      <c r="B79" s="534"/>
      <c r="C79" s="478">
        <v>2992496</v>
      </c>
      <c r="D79" s="535">
        <v>463599</v>
      </c>
      <c r="E79" s="535">
        <v>665439</v>
      </c>
      <c r="F79" s="535">
        <v>65683</v>
      </c>
      <c r="G79" s="535">
        <v>259529</v>
      </c>
      <c r="H79" s="535">
        <v>378355</v>
      </c>
      <c r="I79" s="535">
        <v>447175</v>
      </c>
      <c r="J79" s="535"/>
      <c r="K79" s="535"/>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3086363</v>
      </c>
      <c r="D81" s="1688">
        <f>SUM(D78:D80)</f>
        <v>515133</v>
      </c>
      <c r="E81" s="1688">
        <f t="shared" ref="E81:K81" si="10">SUM(E78:E80)</f>
        <v>669925</v>
      </c>
      <c r="F81" s="1688">
        <f t="shared" si="10"/>
        <v>590</v>
      </c>
      <c r="G81" s="1688">
        <f t="shared" si="10"/>
        <v>338502</v>
      </c>
      <c r="H81" s="1688">
        <f t="shared" si="10"/>
        <v>134411</v>
      </c>
      <c r="I81" s="1688">
        <f t="shared" si="10"/>
        <v>453364</v>
      </c>
      <c r="J81" s="1688">
        <f t="shared" si="10"/>
        <v>0</v>
      </c>
      <c r="K81" s="1688">
        <f t="shared" si="10"/>
        <v>0</v>
      </c>
      <c r="L81" s="347"/>
    </row>
    <row r="82" spans="1:12" ht="0.75" customHeight="1" thickTop="1" thickBot="1" x14ac:dyDescent="0.25">
      <c r="A82" s="536" t="s">
        <v>343</v>
      </c>
      <c r="B82" s="537"/>
      <c r="C82" s="538">
        <f>(C81-C79)</f>
        <v>93867</v>
      </c>
      <c r="D82" s="538">
        <f t="shared" ref="D82:K82" si="11">(D81-D79)</f>
        <v>51534</v>
      </c>
      <c r="E82" s="538">
        <f t="shared" si="11"/>
        <v>4486</v>
      </c>
      <c r="F82" s="538">
        <f t="shared" si="11"/>
        <v>-65093</v>
      </c>
      <c r="G82" s="538">
        <f t="shared" si="11"/>
        <v>78973</v>
      </c>
      <c r="H82" s="538">
        <f t="shared" si="11"/>
        <v>-243944</v>
      </c>
      <c r="I82" s="538">
        <f t="shared" si="11"/>
        <v>6189</v>
      </c>
      <c r="J82" s="538">
        <f t="shared" si="11"/>
        <v>0</v>
      </c>
      <c r="K82" s="538">
        <f t="shared" si="11"/>
        <v>0</v>
      </c>
    </row>
    <row r="83" spans="1:12" ht="14.25" hidden="1" thickTop="1" thickBot="1" x14ac:dyDescent="0.25">
      <c r="A83" s="539" t="s">
        <v>344</v>
      </c>
      <c r="B83" s="464"/>
      <c r="C83" s="540">
        <f>C82/C81</f>
        <v>3.0413467242835661E-2</v>
      </c>
      <c r="D83" s="540">
        <f t="shared" ref="D83:K83" si="12">D82/D81</f>
        <v>0.10004018379719412</v>
      </c>
      <c r="E83" s="540">
        <f t="shared" si="12"/>
        <v>6.696271970742994E-3</v>
      </c>
      <c r="F83" s="540">
        <f t="shared" si="12"/>
        <v>-110.3271186440678</v>
      </c>
      <c r="G83" s="540">
        <f t="shared" si="12"/>
        <v>0.23330142805655504</v>
      </c>
      <c r="H83" s="540">
        <f t="shared" si="12"/>
        <v>-1.8149109819880813</v>
      </c>
      <c r="I83" s="540">
        <f t="shared" si="12"/>
        <v>1.3651282413248516E-2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45" zoomScaleNormal="145" zoomScaleSheetLayoutView="75" workbookViewId="0">
      <pane ySplit="2" topLeftCell="A128" activePane="bottomLeft" state="frozen"/>
      <selection activeCell="A42" sqref="A42:C42"/>
      <selection pane="bottomLeft" activeCell="F153" sqref="F15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3101492</v>
      </c>
      <c r="D5" s="481">
        <v>614661</v>
      </c>
      <c r="E5" s="466">
        <v>996248</v>
      </c>
      <c r="F5" s="548">
        <v>20889</v>
      </c>
      <c r="G5" s="466">
        <v>119327</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530818</v>
      </c>
      <c r="D7" s="466"/>
      <c r="E7" s="468"/>
      <c r="F7" s="467"/>
      <c r="G7" s="467"/>
      <c r="H7" s="467"/>
      <c r="I7" s="468"/>
      <c r="J7" s="468"/>
      <c r="K7" s="468"/>
    </row>
    <row r="8" spans="1:12" x14ac:dyDescent="0.2">
      <c r="A8" s="463" t="s">
        <v>413</v>
      </c>
      <c r="B8" s="470">
        <v>1150</v>
      </c>
      <c r="C8" s="475"/>
      <c r="D8" s="475"/>
      <c r="E8" s="477"/>
      <c r="F8" s="477"/>
      <c r="G8" s="481">
        <v>75259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3632310</v>
      </c>
      <c r="D12" s="1707">
        <f t="shared" si="0"/>
        <v>614661</v>
      </c>
      <c r="E12" s="1707">
        <f t="shared" si="0"/>
        <v>996248</v>
      </c>
      <c r="F12" s="1707">
        <f t="shared" si="0"/>
        <v>20889</v>
      </c>
      <c r="G12" s="1707">
        <f t="shared" si="0"/>
        <v>194586</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1000</v>
      </c>
      <c r="D16" s="466"/>
      <c r="E16" s="466"/>
      <c r="F16" s="466"/>
      <c r="G16" s="466">
        <v>33717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1000</v>
      </c>
      <c r="D18" s="1710">
        <f t="shared" ref="D18:K18" si="1">SUM(D14:D17)</f>
        <v>0</v>
      </c>
      <c r="E18" s="1710">
        <f t="shared" si="1"/>
        <v>0</v>
      </c>
      <c r="F18" s="1710">
        <f t="shared" si="1"/>
        <v>0</v>
      </c>
      <c r="G18" s="1710">
        <f t="shared" si="1"/>
        <v>33717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v>36103</v>
      </c>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36103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41258</v>
      </c>
      <c r="D65" s="466">
        <v>6692</v>
      </c>
      <c r="E65" s="466">
        <v>2889</v>
      </c>
      <c r="F65" s="467">
        <v>910</v>
      </c>
      <c r="G65" s="466">
        <v>3592</v>
      </c>
      <c r="H65" s="466">
        <v>7838</v>
      </c>
      <c r="I65" s="466">
        <v>6189</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41258</v>
      </c>
      <c r="D67" s="1688">
        <f t="shared" ref="D67:K67" si="2">SUM(D65:D66)</f>
        <v>6692</v>
      </c>
      <c r="E67" s="1688">
        <f t="shared" si="2"/>
        <v>2889</v>
      </c>
      <c r="F67" s="1688">
        <f t="shared" si="2"/>
        <v>910</v>
      </c>
      <c r="G67" s="1688">
        <f t="shared" si="2"/>
        <v>3592</v>
      </c>
      <c r="H67" s="1688">
        <f t="shared" si="2"/>
        <v>7838</v>
      </c>
      <c r="I67" s="1688">
        <f t="shared" si="2"/>
        <v>6189</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58355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58355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174333</v>
      </c>
      <c r="D95" s="551"/>
      <c r="E95" s="521"/>
      <c r="F95" s="521"/>
      <c r="G95" s="521"/>
      <c r="H95" s="521"/>
      <c r="I95" s="521"/>
      <c r="J95" s="521"/>
      <c r="K95" s="521"/>
    </row>
    <row r="96" spans="1:11" ht="12.75" customHeight="1" x14ac:dyDescent="0.2">
      <c r="A96" s="463" t="s">
        <v>391</v>
      </c>
      <c r="B96" s="470">
        <v>1920</v>
      </c>
      <c r="C96" s="551">
        <v>48380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11868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87182</v>
      </c>
      <c r="D107" s="466"/>
      <c r="E107" s="466"/>
      <c r="F107" s="466"/>
      <c r="G107" s="466"/>
      <c r="H107" s="466">
        <v>26866</v>
      </c>
      <c r="I107" s="466"/>
      <c r="J107" s="467"/>
      <c r="K107" s="466"/>
    </row>
    <row r="108" spans="1:12" ht="12.75" customHeight="1" thickBot="1" x14ac:dyDescent="0.25">
      <c r="A108" s="1708" t="s">
        <v>487</v>
      </c>
      <c r="B108" s="1712"/>
      <c r="C108" s="1707">
        <f>SUM(C95:C107)</f>
        <v>321763</v>
      </c>
      <c r="D108" s="1707">
        <f t="shared" ref="D108:K108" si="3">SUM(D95:D107)</f>
        <v>0</v>
      </c>
      <c r="E108" s="1707">
        <f t="shared" si="3"/>
        <v>0</v>
      </c>
      <c r="F108" s="1707">
        <f t="shared" si="3"/>
        <v>0</v>
      </c>
      <c r="G108" s="1707">
        <f t="shared" si="3"/>
        <v>0</v>
      </c>
      <c r="H108" s="1707">
        <f t="shared" si="3"/>
        <v>26866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4090789</v>
      </c>
      <c r="D109" s="1715">
        <f t="shared" si="4"/>
        <v>621353</v>
      </c>
      <c r="E109" s="1715">
        <f t="shared" si="4"/>
        <v>999137</v>
      </c>
      <c r="F109" s="1715">
        <f t="shared" si="4"/>
        <v>21799</v>
      </c>
      <c r="G109" s="1715">
        <f t="shared" si="4"/>
        <v>231895</v>
      </c>
      <c r="H109" s="1715">
        <f t="shared" si="4"/>
        <v>34704</v>
      </c>
      <c r="I109" s="1715">
        <f t="shared" si="4"/>
        <v>6189</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256464</v>
      </c>
      <c r="D117" s="481"/>
      <c r="E117" s="466"/>
      <c r="F117" s="481">
        <v>22000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256464</v>
      </c>
      <c r="D122" s="1707">
        <f t="shared" si="5"/>
        <v>0</v>
      </c>
      <c r="E122" s="1707">
        <f t="shared" si="5"/>
        <v>0</v>
      </c>
      <c r="F122" s="1707">
        <f t="shared" si="5"/>
        <v>22000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4299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4299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258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33428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33428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5307</v>
      </c>
      <c r="D169" s="1722">
        <f t="shared" si="6"/>
        <v>0</v>
      </c>
      <c r="E169" s="1722">
        <f t="shared" si="6"/>
        <v>0</v>
      </c>
      <c r="F169" s="1722">
        <f t="shared" si="6"/>
        <v>33428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261771</v>
      </c>
      <c r="D170" s="1715">
        <f t="shared" si="7"/>
        <v>0</v>
      </c>
      <c r="E170" s="1715">
        <f t="shared" si="7"/>
        <v>0</v>
      </c>
      <c r="F170" s="1715">
        <f t="shared" si="7"/>
        <v>55428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3052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3052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38988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38988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7808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7808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1238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71822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73060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v>5019</v>
      </c>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8226</v>
      </c>
      <c r="D263" s="576"/>
      <c r="E263" s="468"/>
      <c r="F263" s="576"/>
      <c r="G263" s="576"/>
      <c r="H263" s="468"/>
      <c r="I263" s="468"/>
      <c r="J263" s="468"/>
      <c r="K263" s="468"/>
    </row>
    <row r="264" spans="1:11" ht="12.75" customHeight="1" thickTop="1" thickBot="1" x14ac:dyDescent="0.25">
      <c r="A264" s="463" t="s">
        <v>377</v>
      </c>
      <c r="B264" s="470">
        <v>4992</v>
      </c>
      <c r="C264" s="575">
        <v>17839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153992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153992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4506552</v>
      </c>
      <c r="D268" s="1715">
        <f t="shared" si="12"/>
        <v>621353</v>
      </c>
      <c r="E268" s="1715">
        <f t="shared" si="12"/>
        <v>999137</v>
      </c>
      <c r="F268" s="1715">
        <f t="shared" si="12"/>
        <v>77227</v>
      </c>
      <c r="G268" s="1715">
        <f t="shared" si="12"/>
        <v>231895</v>
      </c>
      <c r="H268" s="1715">
        <f t="shared" si="12"/>
        <v>34704</v>
      </c>
      <c r="I268" s="1715">
        <f t="shared" si="12"/>
        <v>6189</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45" zoomScaleNormal="145" workbookViewId="0">
      <pane ySplit="2" topLeftCell="A347" activePane="bottomLeft" state="frozen"/>
      <selection activeCell="A42" sqref="A42:C42"/>
      <selection pane="bottomLeft" activeCell="A42" sqref="A42:C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1744422</v>
      </c>
      <c r="D5" s="466">
        <v>144641</v>
      </c>
      <c r="E5" s="466">
        <v>16583</v>
      </c>
      <c r="F5" s="466">
        <v>62790</v>
      </c>
      <c r="G5" s="466">
        <v>57388</v>
      </c>
      <c r="H5" s="466"/>
      <c r="I5" s="467"/>
      <c r="J5" s="467"/>
      <c r="K5" s="1671">
        <f>SUM(C5:J5)</f>
        <v>2025824</v>
      </c>
      <c r="L5" s="466">
        <v>1941240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589014</v>
      </c>
      <c r="D8" s="466">
        <v>85763</v>
      </c>
      <c r="E8" s="466">
        <v>325</v>
      </c>
      <c r="F8" s="466">
        <v>9888</v>
      </c>
      <c r="G8" s="466"/>
      <c r="H8" s="466"/>
      <c r="I8" s="467"/>
      <c r="J8" s="467"/>
      <c r="K8" s="1671">
        <f t="shared" si="0"/>
        <v>684990</v>
      </c>
      <c r="L8" s="466">
        <v>725875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32263</v>
      </c>
      <c r="D10" s="466">
        <v>16127</v>
      </c>
      <c r="E10" s="466"/>
      <c r="F10" s="466"/>
      <c r="G10" s="466"/>
      <c r="H10" s="466"/>
      <c r="I10" s="467"/>
      <c r="J10" s="467"/>
      <c r="K10" s="1671">
        <f t="shared" si="0"/>
        <v>48390</v>
      </c>
      <c r="L10" s="466">
        <v>47768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29660</v>
      </c>
      <c r="D14" s="466">
        <v>2420</v>
      </c>
      <c r="E14" s="466">
        <v>1955</v>
      </c>
      <c r="F14" s="466">
        <v>1770</v>
      </c>
      <c r="G14" s="466"/>
      <c r="H14" s="466"/>
      <c r="I14" s="467"/>
      <c r="J14" s="467"/>
      <c r="K14" s="1671">
        <f t="shared" si="0"/>
        <v>35805</v>
      </c>
      <c r="L14" s="466">
        <v>38900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2395359</v>
      </c>
      <c r="D33" s="1670">
        <f t="shared" ref="D33:L33" si="1">SUM(D5:D32)</f>
        <v>248951</v>
      </c>
      <c r="E33" s="1670">
        <f t="shared" si="1"/>
        <v>18863</v>
      </c>
      <c r="F33" s="1670">
        <f t="shared" si="1"/>
        <v>74448</v>
      </c>
      <c r="G33" s="1670">
        <f t="shared" si="1"/>
        <v>57388</v>
      </c>
      <c r="H33" s="1670">
        <f t="shared" si="1"/>
        <v>0</v>
      </c>
      <c r="I33" s="1670">
        <f t="shared" si="1"/>
        <v>0</v>
      </c>
      <c r="J33" s="1670">
        <f t="shared" si="1"/>
        <v>0</v>
      </c>
      <c r="K33" s="1670">
        <f t="shared" si="1"/>
        <v>2795009</v>
      </c>
      <c r="L33" s="1670">
        <f t="shared" si="1"/>
        <v>2753783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8823</v>
      </c>
      <c r="F36" s="481"/>
      <c r="G36" s="481"/>
      <c r="H36" s="481"/>
      <c r="I36" s="467"/>
      <c r="J36" s="467"/>
      <c r="K36" s="1671">
        <f t="shared" ref="K36:K41" si="2">SUM(C36:J36)</f>
        <v>8823</v>
      </c>
      <c r="L36" s="466">
        <v>7031</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57055</v>
      </c>
      <c r="D38" s="466">
        <v>8010</v>
      </c>
      <c r="E38" s="466">
        <v>1899</v>
      </c>
      <c r="F38" s="466"/>
      <c r="G38" s="466"/>
      <c r="H38" s="466"/>
      <c r="I38" s="467"/>
      <c r="J38" s="467"/>
      <c r="K38" s="1671">
        <f t="shared" si="2"/>
        <v>66964</v>
      </c>
      <c r="L38" s="466">
        <v>67300</v>
      </c>
    </row>
    <row r="39" spans="1:14" x14ac:dyDescent="0.2">
      <c r="A39" s="1504" t="s">
        <v>199</v>
      </c>
      <c r="B39" s="614">
        <v>2140</v>
      </c>
      <c r="C39" s="466"/>
      <c r="D39" s="466"/>
      <c r="E39" s="466"/>
      <c r="F39" s="466">
        <v>105</v>
      </c>
      <c r="G39" s="466"/>
      <c r="H39" s="466"/>
      <c r="I39" s="467"/>
      <c r="J39" s="467"/>
      <c r="K39" s="1671">
        <f t="shared" si="2"/>
        <v>105</v>
      </c>
      <c r="L39" s="466">
        <v>105</v>
      </c>
    </row>
    <row r="40" spans="1:14" x14ac:dyDescent="0.2">
      <c r="A40" s="1504" t="s">
        <v>200</v>
      </c>
      <c r="B40" s="614">
        <v>2150</v>
      </c>
      <c r="C40" s="466"/>
      <c r="D40" s="466"/>
      <c r="E40" s="466"/>
      <c r="F40" s="466"/>
      <c r="G40" s="466"/>
      <c r="H40" s="466"/>
      <c r="I40" s="467"/>
      <c r="J40" s="467"/>
      <c r="K40" s="1671">
        <f t="shared" si="2"/>
        <v>0</v>
      </c>
      <c r="L40" s="466">
        <v>330</v>
      </c>
    </row>
    <row r="41" spans="1:14" x14ac:dyDescent="0.2">
      <c r="A41" s="1504" t="s">
        <v>1669</v>
      </c>
      <c r="B41" s="614">
        <v>2190</v>
      </c>
      <c r="C41" s="466">
        <v>48534</v>
      </c>
      <c r="D41" s="466">
        <v>3528</v>
      </c>
      <c r="E41" s="466"/>
      <c r="F41" s="466"/>
      <c r="G41" s="466"/>
      <c r="H41" s="466"/>
      <c r="I41" s="467"/>
      <c r="J41" s="467"/>
      <c r="K41" s="1671">
        <f t="shared" si="2"/>
        <v>52062</v>
      </c>
      <c r="L41" s="466">
        <v>61100</v>
      </c>
    </row>
    <row r="42" spans="1:14" ht="12.75" customHeight="1" thickBot="1" x14ac:dyDescent="0.25">
      <c r="A42" s="1668" t="s">
        <v>560</v>
      </c>
      <c r="B42" s="1669" t="s">
        <v>716</v>
      </c>
      <c r="C42" s="1670">
        <f>SUM(C36:C41)</f>
        <v>105589</v>
      </c>
      <c r="D42" s="1670">
        <f t="shared" ref="D42:L42" si="3">SUM(D36:D41)</f>
        <v>11538</v>
      </c>
      <c r="E42" s="1670">
        <f t="shared" si="3"/>
        <v>10722</v>
      </c>
      <c r="F42" s="1670">
        <f t="shared" si="3"/>
        <v>105</v>
      </c>
      <c r="G42" s="1670">
        <f t="shared" si="3"/>
        <v>0</v>
      </c>
      <c r="H42" s="1670">
        <f t="shared" si="3"/>
        <v>0</v>
      </c>
      <c r="I42" s="1670">
        <f t="shared" si="3"/>
        <v>0</v>
      </c>
      <c r="J42" s="1670">
        <f t="shared" si="3"/>
        <v>0</v>
      </c>
      <c r="K42" s="1670">
        <f t="shared" si="3"/>
        <v>127954</v>
      </c>
      <c r="L42" s="1670">
        <f t="shared" si="3"/>
        <v>135866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3558</v>
      </c>
      <c r="D44" s="481">
        <v>306</v>
      </c>
      <c r="E44" s="481">
        <v>7040</v>
      </c>
      <c r="F44" s="481">
        <v>2790</v>
      </c>
      <c r="G44" s="481"/>
      <c r="H44" s="481"/>
      <c r="I44" s="467"/>
      <c r="J44" s="467"/>
      <c r="K44" s="1672">
        <f>SUM(C44:J44)</f>
        <v>13694</v>
      </c>
      <c r="L44" s="481">
        <v>28305</v>
      </c>
    </row>
    <row r="45" spans="1:14" x14ac:dyDescent="0.2">
      <c r="A45" s="1504" t="s">
        <v>815</v>
      </c>
      <c r="B45" s="614">
        <v>2220</v>
      </c>
      <c r="C45" s="466">
        <v>30523</v>
      </c>
      <c r="D45" s="466">
        <v>12934</v>
      </c>
      <c r="E45" s="466"/>
      <c r="F45" s="466">
        <v>7965</v>
      </c>
      <c r="G45" s="466"/>
      <c r="H45" s="466"/>
      <c r="I45" s="467"/>
      <c r="J45" s="467"/>
      <c r="K45" s="1672">
        <f>SUM(C45:J45)</f>
        <v>51422</v>
      </c>
      <c r="L45" s="466">
        <v>52570</v>
      </c>
    </row>
    <row r="46" spans="1:14" x14ac:dyDescent="0.2">
      <c r="A46" s="1504" t="s">
        <v>816</v>
      </c>
      <c r="B46" s="614">
        <v>2230</v>
      </c>
      <c r="C46" s="466"/>
      <c r="D46" s="466"/>
      <c r="E46" s="466">
        <v>8781</v>
      </c>
      <c r="F46" s="466"/>
      <c r="G46" s="466"/>
      <c r="H46" s="466"/>
      <c r="I46" s="467"/>
      <c r="J46" s="467"/>
      <c r="K46" s="1672">
        <f>SUM(C46:J46)</f>
        <v>8781</v>
      </c>
      <c r="L46" s="466">
        <v>8000</v>
      </c>
    </row>
    <row r="47" spans="1:14" ht="12.75" customHeight="1" thickBot="1" x14ac:dyDescent="0.25">
      <c r="A47" s="1668" t="s">
        <v>561</v>
      </c>
      <c r="B47" s="1669" t="s">
        <v>32</v>
      </c>
      <c r="C47" s="1670">
        <f>SUM(C44:C46)</f>
        <v>34081</v>
      </c>
      <c r="D47" s="1670">
        <f t="shared" ref="D47:K47" si="4">SUM(D44:D46)</f>
        <v>13240</v>
      </c>
      <c r="E47" s="1670">
        <f t="shared" si="4"/>
        <v>15821</v>
      </c>
      <c r="F47" s="1670">
        <f t="shared" si="4"/>
        <v>10755</v>
      </c>
      <c r="G47" s="1670">
        <f t="shared" si="4"/>
        <v>0</v>
      </c>
      <c r="H47" s="1670">
        <f t="shared" si="4"/>
        <v>0</v>
      </c>
      <c r="I47" s="1670">
        <f t="shared" si="4"/>
        <v>0</v>
      </c>
      <c r="J47" s="1670">
        <f t="shared" si="4"/>
        <v>0</v>
      </c>
      <c r="K47" s="1670">
        <f t="shared" si="4"/>
        <v>73897</v>
      </c>
      <c r="L47" s="1670">
        <f>SUM(L44:L46)</f>
        <v>88875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12</v>
      </c>
      <c r="E49" s="481">
        <v>77844</v>
      </c>
      <c r="F49" s="481">
        <v>787</v>
      </c>
      <c r="G49" s="481"/>
      <c r="H49" s="481">
        <v>6453</v>
      </c>
      <c r="I49" s="467"/>
      <c r="J49" s="467"/>
      <c r="K49" s="1672">
        <f>SUM(C49:J49)</f>
        <v>85096</v>
      </c>
      <c r="L49" s="481">
        <v>70750</v>
      </c>
    </row>
    <row r="50" spans="1:14" x14ac:dyDescent="0.2">
      <c r="A50" s="1504" t="s">
        <v>818</v>
      </c>
      <c r="B50" s="614">
        <v>2320</v>
      </c>
      <c r="C50" s="466">
        <v>222391</v>
      </c>
      <c r="D50" s="466">
        <v>46744</v>
      </c>
      <c r="E50" s="466">
        <v>3471</v>
      </c>
      <c r="F50" s="466"/>
      <c r="G50" s="466"/>
      <c r="H50" s="466">
        <v>1468</v>
      </c>
      <c r="I50" s="467"/>
      <c r="J50" s="467"/>
      <c r="K50" s="1672">
        <f>SUM(C50:J50)</f>
        <v>274074</v>
      </c>
      <c r="L50" s="466">
        <v>281350</v>
      </c>
    </row>
    <row r="51" spans="1:14" x14ac:dyDescent="0.2">
      <c r="A51" s="1504" t="s">
        <v>42</v>
      </c>
      <c r="B51" s="614">
        <v>2330</v>
      </c>
      <c r="C51" s="466">
        <v>64920</v>
      </c>
      <c r="D51" s="466"/>
      <c r="E51" s="466"/>
      <c r="F51" s="466"/>
      <c r="G51" s="466"/>
      <c r="H51" s="466"/>
      <c r="I51" s="467"/>
      <c r="J51" s="467"/>
      <c r="K51" s="1672">
        <f>SUM(C51:J51)</f>
        <v>64920</v>
      </c>
      <c r="L51" s="466">
        <v>65500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287311</v>
      </c>
      <c r="D53" s="1670">
        <f t="shared" ref="D53:L53" si="5">SUM(D49:D52)</f>
        <v>46756</v>
      </c>
      <c r="E53" s="1670">
        <f t="shared" si="5"/>
        <v>81315</v>
      </c>
      <c r="F53" s="1670">
        <f t="shared" si="5"/>
        <v>787</v>
      </c>
      <c r="G53" s="1670">
        <f t="shared" si="5"/>
        <v>0</v>
      </c>
      <c r="H53" s="1670">
        <f t="shared" si="5"/>
        <v>7921</v>
      </c>
      <c r="I53" s="1670">
        <f t="shared" si="5"/>
        <v>0</v>
      </c>
      <c r="J53" s="1670">
        <f t="shared" si="5"/>
        <v>0</v>
      </c>
      <c r="K53" s="1670">
        <f t="shared" si="5"/>
        <v>424090</v>
      </c>
      <c r="L53" s="1670">
        <f t="shared" si="5"/>
        <v>417600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209253</v>
      </c>
      <c r="D55" s="481">
        <v>25741</v>
      </c>
      <c r="E55" s="481">
        <v>48</v>
      </c>
      <c r="F55" s="481">
        <v>395</v>
      </c>
      <c r="G55" s="481"/>
      <c r="H55" s="481"/>
      <c r="I55" s="467"/>
      <c r="J55" s="467"/>
      <c r="K55" s="1672">
        <f>SUM(C55:J55)</f>
        <v>235437</v>
      </c>
      <c r="L55" s="481">
        <v>241900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209253</v>
      </c>
      <c r="D57" s="1674">
        <f t="shared" ref="D57:K57" si="6">SUM(D55:D56)</f>
        <v>25741</v>
      </c>
      <c r="E57" s="1674">
        <f t="shared" si="6"/>
        <v>48</v>
      </c>
      <c r="F57" s="1674">
        <f t="shared" si="6"/>
        <v>395</v>
      </c>
      <c r="G57" s="1674">
        <f t="shared" si="6"/>
        <v>0</v>
      </c>
      <c r="H57" s="1674">
        <f t="shared" si="6"/>
        <v>0</v>
      </c>
      <c r="I57" s="1674">
        <f t="shared" si="6"/>
        <v>0</v>
      </c>
      <c r="J57" s="1674">
        <f t="shared" si="6"/>
        <v>0</v>
      </c>
      <c r="K57" s="1674">
        <f t="shared" si="6"/>
        <v>235437</v>
      </c>
      <c r="L57" s="1670">
        <f>SUM(L55:L56)</f>
        <v>241900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41002</v>
      </c>
      <c r="D59" s="481">
        <v>5000</v>
      </c>
      <c r="E59" s="481"/>
      <c r="F59" s="481"/>
      <c r="G59" s="481"/>
      <c r="H59" s="481"/>
      <c r="I59" s="467"/>
      <c r="J59" s="467"/>
      <c r="K59" s="1672">
        <f t="shared" ref="K59:K64" si="7">SUM(C59:J59)</f>
        <v>46002</v>
      </c>
      <c r="L59" s="481">
        <v>46600</v>
      </c>
      <c r="M59" s="609"/>
      <c r="N59" s="609"/>
    </row>
    <row r="60" spans="1:14" s="343" customFormat="1" x14ac:dyDescent="0.2">
      <c r="A60" s="1504" t="s">
        <v>463</v>
      </c>
      <c r="B60" s="614">
        <v>2520</v>
      </c>
      <c r="C60" s="466">
        <v>105588</v>
      </c>
      <c r="D60" s="466">
        <v>20352</v>
      </c>
      <c r="E60" s="466">
        <v>6250</v>
      </c>
      <c r="F60" s="466"/>
      <c r="G60" s="466"/>
      <c r="H60" s="466"/>
      <c r="I60" s="467"/>
      <c r="J60" s="467"/>
      <c r="K60" s="1672">
        <f t="shared" si="7"/>
        <v>132190</v>
      </c>
      <c r="L60" s="466">
        <v>137150</v>
      </c>
      <c r="M60" s="609"/>
      <c r="N60" s="609"/>
    </row>
    <row r="61" spans="1:14" s="343" customFormat="1" x14ac:dyDescent="0.2">
      <c r="A61" s="1504" t="s">
        <v>197</v>
      </c>
      <c r="B61" s="614">
        <v>2540</v>
      </c>
      <c r="C61" s="466"/>
      <c r="D61" s="466"/>
      <c r="E61" s="466">
        <v>14992</v>
      </c>
      <c r="F61" s="466">
        <v>13102</v>
      </c>
      <c r="G61" s="466"/>
      <c r="H61" s="466"/>
      <c r="I61" s="467"/>
      <c r="J61" s="467"/>
      <c r="K61" s="1672">
        <f t="shared" si="7"/>
        <v>28094</v>
      </c>
      <c r="L61" s="466">
        <v>44000</v>
      </c>
      <c r="M61" s="609"/>
      <c r="N61" s="609"/>
    </row>
    <row r="62" spans="1:14" s="343" customFormat="1" x14ac:dyDescent="0.2">
      <c r="A62" s="1504" t="s">
        <v>953</v>
      </c>
      <c r="B62" s="614">
        <v>2550</v>
      </c>
      <c r="C62" s="466"/>
      <c r="D62" s="466"/>
      <c r="E62" s="466">
        <v>8750</v>
      </c>
      <c r="F62" s="466"/>
      <c r="G62" s="466"/>
      <c r="H62" s="466"/>
      <c r="I62" s="467"/>
      <c r="J62" s="467"/>
      <c r="K62" s="1672">
        <f t="shared" si="7"/>
        <v>8750</v>
      </c>
      <c r="L62" s="466">
        <v>5000</v>
      </c>
      <c r="M62" s="609"/>
      <c r="N62" s="609"/>
    </row>
    <row r="63" spans="1:14" s="609" customFormat="1" x14ac:dyDescent="0.2">
      <c r="A63" s="1504" t="s">
        <v>100</v>
      </c>
      <c r="B63" s="614">
        <v>2560</v>
      </c>
      <c r="C63" s="466"/>
      <c r="D63" s="466"/>
      <c r="E63" s="466">
        <v>13742</v>
      </c>
      <c r="F63" s="466"/>
      <c r="G63" s="466"/>
      <c r="H63" s="466"/>
      <c r="I63" s="467"/>
      <c r="J63" s="467"/>
      <c r="K63" s="1672">
        <f t="shared" si="7"/>
        <v>13742</v>
      </c>
      <c r="L63" s="466">
        <v>16000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146590</v>
      </c>
      <c r="D65" s="1670">
        <f t="shared" ref="D65:L65" si="8">SUM(D59:D64)</f>
        <v>25352</v>
      </c>
      <c r="E65" s="1670">
        <f t="shared" si="8"/>
        <v>43734</v>
      </c>
      <c r="F65" s="1670">
        <f t="shared" si="8"/>
        <v>13102</v>
      </c>
      <c r="G65" s="1670">
        <f t="shared" si="8"/>
        <v>0</v>
      </c>
      <c r="H65" s="1670">
        <f t="shared" si="8"/>
        <v>0</v>
      </c>
      <c r="I65" s="1670">
        <f t="shared" si="8"/>
        <v>0</v>
      </c>
      <c r="J65" s="1670">
        <f t="shared" si="8"/>
        <v>0</v>
      </c>
      <c r="K65" s="1670">
        <f t="shared" si="8"/>
        <v>228778</v>
      </c>
      <c r="L65" s="1670">
        <f t="shared" si="8"/>
        <v>248750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7070</v>
      </c>
      <c r="F69" s="466"/>
      <c r="G69" s="466"/>
      <c r="H69" s="466"/>
      <c r="I69" s="467"/>
      <c r="J69" s="467"/>
      <c r="K69" s="1672">
        <f>SUM(C69:J69)</f>
        <v>7070</v>
      </c>
      <c r="L69" s="466">
        <v>7600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205056</v>
      </c>
      <c r="F71" s="466">
        <v>1422</v>
      </c>
      <c r="G71" s="466"/>
      <c r="H71" s="466"/>
      <c r="I71" s="467">
        <v>4134</v>
      </c>
      <c r="J71" s="467"/>
      <c r="K71" s="1672">
        <f>SUM(C71:J71)</f>
        <v>210612</v>
      </c>
      <c r="L71" s="466">
        <v>170000</v>
      </c>
      <c r="M71" s="609"/>
      <c r="N71" s="609"/>
    </row>
    <row r="72" spans="1:14" s="343" customFormat="1" ht="12.75" customHeight="1" thickBot="1" x14ac:dyDescent="0.25">
      <c r="A72" s="1668" t="s">
        <v>37</v>
      </c>
      <c r="B72" s="1675" t="s">
        <v>36</v>
      </c>
      <c r="C72" s="1670">
        <f>SUM(C67:C71)</f>
        <v>0</v>
      </c>
      <c r="D72" s="1670">
        <f t="shared" ref="D72:K72" si="9">SUM(D67:D71)</f>
        <v>0</v>
      </c>
      <c r="E72" s="1670">
        <f t="shared" si="9"/>
        <v>212126</v>
      </c>
      <c r="F72" s="1670">
        <f t="shared" si="9"/>
        <v>1422</v>
      </c>
      <c r="G72" s="1670">
        <f t="shared" si="9"/>
        <v>0</v>
      </c>
      <c r="H72" s="1670">
        <f t="shared" si="9"/>
        <v>0</v>
      </c>
      <c r="I72" s="1670">
        <f t="shared" si="9"/>
        <v>4134</v>
      </c>
      <c r="J72" s="1670">
        <f t="shared" si="9"/>
        <v>0</v>
      </c>
      <c r="K72" s="1670">
        <f t="shared" si="9"/>
        <v>217682</v>
      </c>
      <c r="L72" s="1670">
        <f>SUM(L67:L71)</f>
        <v>177600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782824</v>
      </c>
      <c r="D74" s="1677">
        <f t="shared" ref="D74:K74" si="10">SUM(D42,D47,D53,D57,D65,D72,D73)</f>
        <v>122627</v>
      </c>
      <c r="E74" s="1677">
        <f t="shared" si="10"/>
        <v>363766</v>
      </c>
      <c r="F74" s="1677">
        <f t="shared" si="10"/>
        <v>26566</v>
      </c>
      <c r="G74" s="1677">
        <f t="shared" si="10"/>
        <v>0</v>
      </c>
      <c r="H74" s="1677">
        <f t="shared" si="10"/>
        <v>7921</v>
      </c>
      <c r="I74" s="1677">
        <f t="shared" si="10"/>
        <v>4134</v>
      </c>
      <c r="J74" s="1677">
        <f t="shared" si="10"/>
        <v>0</v>
      </c>
      <c r="K74" s="1677">
        <f t="shared" si="10"/>
        <v>1307838</v>
      </c>
      <c r="L74" s="1677">
        <f>SUM(L42,L47,L53,L57,L65,L72,L73)</f>
        <v>1310591</v>
      </c>
    </row>
    <row r="75" spans="1:14" s="259" customFormat="1" ht="15.75" customHeight="1" thickTop="1" thickBot="1" x14ac:dyDescent="0.25">
      <c r="A75" s="1610" t="s">
        <v>47</v>
      </c>
      <c r="B75" s="1611" t="s">
        <v>575</v>
      </c>
      <c r="C75" s="573"/>
      <c r="D75" s="573"/>
      <c r="E75" s="573">
        <v>17186</v>
      </c>
      <c r="F75" s="573"/>
      <c r="G75" s="573"/>
      <c r="H75" s="573"/>
      <c r="I75" s="531"/>
      <c r="J75" s="531"/>
      <c r="K75" s="1670">
        <f>SUM(C75:J75)</f>
        <v>17186</v>
      </c>
      <c r="L75" s="576">
        <v>10198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230706</v>
      </c>
      <c r="I86" s="477"/>
      <c r="J86" s="477"/>
      <c r="K86" s="1677">
        <f t="shared" ref="K86:K98" si="12">H86</f>
        <v>230706</v>
      </c>
      <c r="L86" s="530">
        <v>264638</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230706</v>
      </c>
      <c r="I92" s="477"/>
      <c r="J92" s="477"/>
      <c r="K92" s="1677">
        <f t="shared" si="12"/>
        <v>230706</v>
      </c>
      <c r="L92" s="1670">
        <f>SUM(L85:L91)</f>
        <v>264638</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230706</v>
      </c>
      <c r="I102" s="477"/>
      <c r="J102" s="477"/>
      <c r="K102" s="1677">
        <f>SUM(K84,K92,K100,K101)</f>
        <v>230706</v>
      </c>
      <c r="L102" s="1677">
        <f>SUM(L84,L92,L100,L101)</f>
        <v>264638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3178183</v>
      </c>
      <c r="D114" s="1670">
        <f t="shared" ref="D114:K114" si="13">SUM(D33,D74,D75,D102,D112,D113)</f>
        <v>371578</v>
      </c>
      <c r="E114" s="1670">
        <f t="shared" si="13"/>
        <v>399815</v>
      </c>
      <c r="F114" s="1670">
        <f t="shared" si="13"/>
        <v>101014</v>
      </c>
      <c r="G114" s="1670">
        <f t="shared" si="13"/>
        <v>57388</v>
      </c>
      <c r="H114" s="1670">
        <f>SUM(H33,H74,H75,H102,H112,H113)</f>
        <v>238627</v>
      </c>
      <c r="I114" s="1670">
        <f t="shared" si="13"/>
        <v>4134</v>
      </c>
      <c r="J114" s="1670">
        <f t="shared" si="13"/>
        <v>0</v>
      </c>
      <c r="K114" s="1670">
        <f t="shared" si="13"/>
        <v>4350739</v>
      </c>
      <c r="L114" s="1670">
        <f>SUM(L33,L74,L75,L102,L112,L113)</f>
        <v>4339210</v>
      </c>
    </row>
    <row r="115" spans="1:14" ht="13.5" thickTop="1" x14ac:dyDescent="0.2">
      <c r="A115" s="2155" t="s">
        <v>996</v>
      </c>
      <c r="B115" s="2156"/>
      <c r="C115" s="618"/>
      <c r="D115" s="618"/>
      <c r="E115" s="618"/>
      <c r="F115" s="618"/>
      <c r="G115" s="618"/>
      <c r="H115" s="618"/>
      <c r="I115" s="618"/>
      <c r="J115" s="618"/>
      <c r="K115" s="1684">
        <f>'Revenues 9-14'!C268-'Expenditures 15-22'!K114</f>
        <v>155813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177164</v>
      </c>
      <c r="D124" s="466">
        <v>28777</v>
      </c>
      <c r="E124" s="466">
        <v>177688</v>
      </c>
      <c r="F124" s="466">
        <v>143056</v>
      </c>
      <c r="G124" s="466">
        <v>32030</v>
      </c>
      <c r="H124" s="466"/>
      <c r="I124" s="467">
        <v>11104</v>
      </c>
      <c r="J124" s="467"/>
      <c r="K124" s="1670">
        <f>SUM(C124:J124)</f>
        <v>569819</v>
      </c>
      <c r="L124" s="466">
        <v>535600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177164</v>
      </c>
      <c r="D127" s="1670">
        <f t="shared" ref="D127:L127" si="14">SUM(D122:D126)</f>
        <v>28777</v>
      </c>
      <c r="E127" s="1670">
        <f t="shared" si="14"/>
        <v>177688</v>
      </c>
      <c r="F127" s="1670">
        <f t="shared" si="14"/>
        <v>143056</v>
      </c>
      <c r="G127" s="1670">
        <f t="shared" si="14"/>
        <v>32030</v>
      </c>
      <c r="H127" s="1670">
        <f t="shared" si="14"/>
        <v>0</v>
      </c>
      <c r="I127" s="1670">
        <f t="shared" si="14"/>
        <v>11104</v>
      </c>
      <c r="J127" s="1670">
        <f t="shared" si="14"/>
        <v>0</v>
      </c>
      <c r="K127" s="1670">
        <f t="shared" si="14"/>
        <v>569819</v>
      </c>
      <c r="L127" s="1670">
        <f t="shared" si="14"/>
        <v>535600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177164</v>
      </c>
      <c r="D129" s="1677">
        <f t="shared" ref="D129:L129" si="15">SUM(D120,D127,D128)</f>
        <v>28777</v>
      </c>
      <c r="E129" s="1677">
        <f t="shared" si="15"/>
        <v>177688</v>
      </c>
      <c r="F129" s="1677">
        <f t="shared" si="15"/>
        <v>143056</v>
      </c>
      <c r="G129" s="1677">
        <f t="shared" si="15"/>
        <v>32030</v>
      </c>
      <c r="H129" s="1677">
        <f t="shared" si="15"/>
        <v>0</v>
      </c>
      <c r="I129" s="1677">
        <f t="shared" si="15"/>
        <v>11104</v>
      </c>
      <c r="J129" s="1677">
        <f t="shared" si="15"/>
        <v>0</v>
      </c>
      <c r="K129" s="1677">
        <f t="shared" si="15"/>
        <v>569819</v>
      </c>
      <c r="L129" s="1677">
        <f t="shared" si="15"/>
        <v>535600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177164</v>
      </c>
      <c r="D151" s="1670">
        <f t="shared" ref="D151:K151" si="16">SUM(D129,D130,D139,D149,D150)</f>
        <v>28777</v>
      </c>
      <c r="E151" s="1670">
        <f t="shared" si="16"/>
        <v>177688</v>
      </c>
      <c r="F151" s="1670">
        <f t="shared" si="16"/>
        <v>143056</v>
      </c>
      <c r="G151" s="1670">
        <f t="shared" si="16"/>
        <v>32030</v>
      </c>
      <c r="H151" s="1670">
        <f t="shared" si="16"/>
        <v>0</v>
      </c>
      <c r="I151" s="1670">
        <f t="shared" si="16"/>
        <v>11104</v>
      </c>
      <c r="J151" s="1670">
        <f t="shared" si="16"/>
        <v>0</v>
      </c>
      <c r="K151" s="1670">
        <f t="shared" si="16"/>
        <v>569819</v>
      </c>
      <c r="L151" s="1670">
        <f>SUM(L129,L130,L139,L149,L150)</f>
        <v>535600</v>
      </c>
    </row>
    <row r="152" spans="1:14" ht="12.75" customHeight="1" thickTop="1" x14ac:dyDescent="0.2">
      <c r="A152" s="2175" t="s">
        <v>1178</v>
      </c>
      <c r="B152" s="2176"/>
      <c r="C152" s="618"/>
      <c r="D152" s="618"/>
      <c r="E152" s="618"/>
      <c r="F152" s="618"/>
      <c r="G152" s="618"/>
      <c r="H152" s="618"/>
      <c r="I152" s="618"/>
      <c r="J152" s="616"/>
      <c r="K152" s="1684">
        <f>'Revenues 9-14'!D268-'Expenditures 15-22'!K151</f>
        <v>51534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752563</v>
      </c>
      <c r="I169" s="616"/>
      <c r="J169" s="616"/>
      <c r="K169" s="1671">
        <f>SUM(C169:H169)</f>
        <v>752563</v>
      </c>
      <c r="L169" s="656">
        <v>750300</v>
      </c>
    </row>
    <row r="170" spans="1:14" ht="33.75" customHeight="1" x14ac:dyDescent="0.2">
      <c r="A170" s="669" t="s">
        <v>1670</v>
      </c>
      <c r="B170" s="671" t="s">
        <v>31</v>
      </c>
      <c r="C170" s="616"/>
      <c r="D170" s="616"/>
      <c r="E170" s="616"/>
      <c r="F170" s="616"/>
      <c r="G170" s="616"/>
      <c r="H170" s="569">
        <v>253589</v>
      </c>
      <c r="I170" s="616"/>
      <c r="J170" s="616"/>
      <c r="K170" s="1671">
        <f>SUM(C170:J170)</f>
        <v>253589</v>
      </c>
      <c r="L170" s="569">
        <v>244600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1006152</v>
      </c>
      <c r="I172" s="638"/>
      <c r="J172" s="616"/>
      <c r="K172" s="1677">
        <f>SUM(K168,K169,K170,K171)</f>
        <v>1006152</v>
      </c>
      <c r="L172" s="1677">
        <f>SUM(L168,L169,L170,L171)</f>
        <v>994900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1006152</v>
      </c>
      <c r="I174" s="638"/>
      <c r="J174" s="616"/>
      <c r="K174" s="1677">
        <f>SUM(K160,K172,K173)</f>
        <v>1006152</v>
      </c>
      <c r="L174" s="1677">
        <f>SUM(L160,L172,L173)</f>
        <v>994900</v>
      </c>
    </row>
    <row r="175" spans="1:14" ht="13.5" thickTop="1" x14ac:dyDescent="0.2">
      <c r="A175" s="2155" t="s">
        <v>996</v>
      </c>
      <c r="B175" s="2156"/>
      <c r="C175" s="616"/>
      <c r="D175" s="616"/>
      <c r="E175" s="616"/>
      <c r="F175" s="616"/>
      <c r="G175" s="616"/>
      <c r="H175" s="618"/>
      <c r="I175" s="616"/>
      <c r="J175" s="616"/>
      <c r="K175" s="1684">
        <f>'Revenues 9-14'!E268-'Expenditures 15-22'!K174</f>
        <v>-7015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142320</v>
      </c>
      <c r="F182" s="466"/>
      <c r="G182" s="466"/>
      <c r="H182" s="466"/>
      <c r="I182" s="467"/>
      <c r="J182" s="467"/>
      <c r="K182" s="1671">
        <f>SUM(C182:J182)</f>
        <v>142320</v>
      </c>
      <c r="L182" s="466">
        <v>79847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142320</v>
      </c>
      <c r="F184" s="1677">
        <f t="shared" si="17"/>
        <v>0</v>
      </c>
      <c r="G184" s="1677">
        <f t="shared" si="17"/>
        <v>0</v>
      </c>
      <c r="H184" s="1677">
        <f t="shared" si="17"/>
        <v>0</v>
      </c>
      <c r="I184" s="1677">
        <f t="shared" si="17"/>
        <v>0</v>
      </c>
      <c r="J184" s="1677">
        <f t="shared" si="17"/>
        <v>0</v>
      </c>
      <c r="K184" s="1677">
        <f>SUM(K180,K182,K183)</f>
        <v>142320</v>
      </c>
      <c r="L184" s="1677">
        <f>SUM(L180, L182:L183)</f>
        <v>79847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142320</v>
      </c>
      <c r="F210" s="1670">
        <f>SUM(F184,F185)</f>
        <v>0</v>
      </c>
      <c r="G210" s="1670">
        <f>SUM(G184,G185)</f>
        <v>0</v>
      </c>
      <c r="H210" s="1670">
        <f>SUM(H184,H185,H196,H208,H209)</f>
        <v>0</v>
      </c>
      <c r="I210" s="1670">
        <f>SUM(I184,I185)</f>
        <v>0</v>
      </c>
      <c r="J210" s="1670">
        <f>SUM(J184,J185)</f>
        <v>0</v>
      </c>
      <c r="K210" s="1671">
        <f>SUM(K184,K185,K196,K208,K209)</f>
        <v>142320</v>
      </c>
      <c r="L210" s="1670">
        <f>SUM(L184,L185,L196,L208,L209)</f>
        <v>79847</v>
      </c>
    </row>
    <row r="211" spans="1:14" ht="13.5" thickTop="1" x14ac:dyDescent="0.2">
      <c r="A211" s="2155" t="s">
        <v>996</v>
      </c>
      <c r="B211" s="2156"/>
      <c r="C211" s="618"/>
      <c r="D211" s="618"/>
      <c r="E211" s="618"/>
      <c r="F211" s="618"/>
      <c r="G211" s="618"/>
      <c r="H211" s="618"/>
      <c r="I211" s="616"/>
      <c r="J211" s="616"/>
      <c r="K211" s="1684">
        <f>'Revenues 9-14'!F268-'Expenditures 15-22'!K210</f>
        <v>-65093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24320</v>
      </c>
      <c r="E215" s="616"/>
      <c r="F215" s="616"/>
      <c r="G215" s="616"/>
      <c r="H215" s="616"/>
      <c r="I215" s="616"/>
      <c r="J215" s="616"/>
      <c r="K215" s="1671">
        <f>D215</f>
        <v>24320</v>
      </c>
      <c r="L215" s="466">
        <v>27410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33493</v>
      </c>
      <c r="E217" s="616"/>
      <c r="F217" s="616"/>
      <c r="G217" s="616"/>
      <c r="H217" s="616"/>
      <c r="I217" s="616"/>
      <c r="J217" s="616"/>
      <c r="K217" s="1671">
        <f t="shared" si="19"/>
        <v>33493</v>
      </c>
      <c r="L217" s="466">
        <v>45820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2299</v>
      </c>
      <c r="E219" s="616"/>
      <c r="F219" s="616"/>
      <c r="G219" s="616"/>
      <c r="H219" s="616"/>
      <c r="I219" s="616"/>
      <c r="J219" s="616"/>
      <c r="K219" s="1671">
        <f t="shared" si="19"/>
        <v>2299</v>
      </c>
      <c r="L219" s="466">
        <v>20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550</v>
      </c>
      <c r="E223" s="616"/>
      <c r="F223" s="616"/>
      <c r="G223" s="616"/>
      <c r="H223" s="616"/>
      <c r="I223" s="616"/>
      <c r="J223" s="616"/>
      <c r="K223" s="1671">
        <f t="shared" si="19"/>
        <v>550</v>
      </c>
      <c r="L223" s="466">
        <v>900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60662</v>
      </c>
      <c r="E229" s="616"/>
      <c r="F229" s="616"/>
      <c r="G229" s="616"/>
      <c r="H229" s="616"/>
      <c r="I229" s="616"/>
      <c r="J229" s="616"/>
      <c r="K229" s="1670">
        <f>SUM(K215:K228)</f>
        <v>60662</v>
      </c>
      <c r="L229" s="1670">
        <f>SUM(L215:L228)</f>
        <v>74150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828</v>
      </c>
      <c r="E234" s="616"/>
      <c r="F234" s="616"/>
      <c r="G234" s="616"/>
      <c r="H234" s="616"/>
      <c r="I234" s="616"/>
      <c r="J234" s="616"/>
      <c r="K234" s="1671">
        <f t="shared" si="20"/>
        <v>828</v>
      </c>
      <c r="L234" s="466">
        <v>900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2349</v>
      </c>
      <c r="E237" s="616"/>
      <c r="F237" s="616"/>
      <c r="G237" s="616"/>
      <c r="H237" s="616"/>
      <c r="I237" s="616"/>
      <c r="J237" s="616"/>
      <c r="K237" s="1671">
        <f t="shared" si="20"/>
        <v>2349</v>
      </c>
      <c r="L237" s="466">
        <v>5400</v>
      </c>
    </row>
    <row r="238" spans="1:12" ht="12.75" customHeight="1" thickBot="1" x14ac:dyDescent="0.25">
      <c r="A238" s="1668" t="s">
        <v>560</v>
      </c>
      <c r="B238" s="1675" t="s">
        <v>716</v>
      </c>
      <c r="C238" s="616"/>
      <c r="D238" s="1670">
        <f>SUM(D232:D237)</f>
        <v>3177</v>
      </c>
      <c r="E238" s="616"/>
      <c r="F238" s="616"/>
      <c r="G238" s="616"/>
      <c r="H238" s="616"/>
      <c r="I238" s="616"/>
      <c r="J238" s="616"/>
      <c r="K238" s="1670">
        <f>SUM(K232:K237)</f>
        <v>3177</v>
      </c>
      <c r="L238" s="1670">
        <f>SUM(L232:L237)</f>
        <v>6300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57</v>
      </c>
      <c r="E240" s="616"/>
      <c r="F240" s="616"/>
      <c r="G240" s="616"/>
      <c r="H240" s="616"/>
      <c r="I240" s="616"/>
      <c r="J240" s="616"/>
      <c r="K240" s="1672">
        <f>D240</f>
        <v>57</v>
      </c>
      <c r="L240" s="481">
        <v>330</v>
      </c>
    </row>
    <row r="241" spans="1:12" x14ac:dyDescent="0.2">
      <c r="A241" s="1504" t="s">
        <v>815</v>
      </c>
      <c r="B241" s="614">
        <v>2220</v>
      </c>
      <c r="C241" s="616"/>
      <c r="D241" s="466">
        <v>5190</v>
      </c>
      <c r="E241" s="616"/>
      <c r="F241" s="616"/>
      <c r="G241" s="616"/>
      <c r="H241" s="616"/>
      <c r="I241" s="616"/>
      <c r="J241" s="616"/>
      <c r="K241" s="1672">
        <f>D241</f>
        <v>5190</v>
      </c>
      <c r="L241" s="466">
        <v>6100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5247</v>
      </c>
      <c r="E243" s="616"/>
      <c r="F243" s="616"/>
      <c r="G243" s="616"/>
      <c r="H243" s="616"/>
      <c r="I243" s="616"/>
      <c r="J243" s="616"/>
      <c r="K243" s="1670">
        <f>SUM(K240:K242)</f>
        <v>5247</v>
      </c>
      <c r="L243" s="1670">
        <f>SUM(L240:L242)</f>
        <v>6430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12584</v>
      </c>
      <c r="E246" s="616"/>
      <c r="F246" s="616"/>
      <c r="G246" s="616"/>
      <c r="H246" s="616"/>
      <c r="I246" s="616"/>
      <c r="J246" s="616"/>
      <c r="K246" s="1672">
        <f t="shared" ref="K246:K256" si="21">D246</f>
        <v>12584</v>
      </c>
      <c r="L246" s="466">
        <v>14000</v>
      </c>
    </row>
    <row r="247" spans="1:12" x14ac:dyDescent="0.2">
      <c r="A247" s="1504" t="s">
        <v>819</v>
      </c>
      <c r="B247" s="614">
        <v>2330</v>
      </c>
      <c r="C247" s="616"/>
      <c r="D247" s="466">
        <v>941</v>
      </c>
      <c r="E247" s="616"/>
      <c r="F247" s="616"/>
      <c r="G247" s="616"/>
      <c r="H247" s="616"/>
      <c r="I247" s="616"/>
      <c r="J247" s="616"/>
      <c r="K247" s="1672">
        <f t="shared" si="21"/>
        <v>941</v>
      </c>
      <c r="L247" s="466">
        <v>1000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13525</v>
      </c>
      <c r="E257" s="616"/>
      <c r="F257" s="616"/>
      <c r="G257" s="616"/>
      <c r="H257" s="616"/>
      <c r="I257" s="616"/>
      <c r="J257" s="616"/>
      <c r="K257" s="1670">
        <f>SUM(K245:K256)</f>
        <v>13525</v>
      </c>
      <c r="L257" s="1670">
        <f>SUM(L245:L256)</f>
        <v>15000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15587</v>
      </c>
      <c r="E259" s="616"/>
      <c r="F259" s="616"/>
      <c r="G259" s="616"/>
      <c r="H259" s="616"/>
      <c r="I259" s="616"/>
      <c r="J259" s="616"/>
      <c r="K259" s="1672">
        <f>D259</f>
        <v>15587</v>
      </c>
      <c r="L259" s="481">
        <v>16400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15587</v>
      </c>
      <c r="E261" s="616"/>
      <c r="F261" s="616"/>
      <c r="G261" s="616"/>
      <c r="H261" s="616"/>
      <c r="I261" s="616"/>
      <c r="J261" s="616"/>
      <c r="K261" s="1670">
        <f>SUM(K259:K260)</f>
        <v>15587</v>
      </c>
      <c r="L261" s="1670">
        <f>SUM(L259:L260)</f>
        <v>16400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3137</v>
      </c>
      <c r="E263" s="616"/>
      <c r="F263" s="616"/>
      <c r="G263" s="616"/>
      <c r="H263" s="616"/>
      <c r="I263" s="616"/>
      <c r="J263" s="616"/>
      <c r="K263" s="1672">
        <f>D263</f>
        <v>3137</v>
      </c>
      <c r="L263" s="481">
        <v>2900</v>
      </c>
    </row>
    <row r="264" spans="1:14" x14ac:dyDescent="0.2">
      <c r="A264" s="1504" t="s">
        <v>463</v>
      </c>
      <c r="B264" s="685">
        <v>2520</v>
      </c>
      <c r="C264" s="616"/>
      <c r="D264" s="466">
        <v>18861</v>
      </c>
      <c r="E264" s="616"/>
      <c r="F264" s="616"/>
      <c r="G264" s="616"/>
      <c r="H264" s="616"/>
      <c r="I264" s="616"/>
      <c r="J264" s="616"/>
      <c r="K264" s="1672">
        <f t="shared" ref="K264:K269" si="22">D264</f>
        <v>18861</v>
      </c>
      <c r="L264" s="466">
        <v>24000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32726</v>
      </c>
      <c r="E266" s="616"/>
      <c r="F266" s="616"/>
      <c r="G266" s="616"/>
      <c r="H266" s="616"/>
      <c r="I266" s="616"/>
      <c r="J266" s="616"/>
      <c r="K266" s="1672">
        <f t="shared" si="22"/>
        <v>32726</v>
      </c>
      <c r="L266" s="466">
        <v>37600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54724</v>
      </c>
      <c r="E270" s="616"/>
      <c r="F270" s="616"/>
      <c r="G270" s="616"/>
      <c r="H270" s="616"/>
      <c r="I270" s="616"/>
      <c r="J270" s="616"/>
      <c r="K270" s="1670">
        <f>SUM(K263:K269)</f>
        <v>54724</v>
      </c>
      <c r="L270" s="1670">
        <f>SUM(L263:L269)</f>
        <v>64500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92260</v>
      </c>
      <c r="E279" s="616"/>
      <c r="F279" s="616"/>
      <c r="G279" s="616"/>
      <c r="H279" s="616"/>
      <c r="I279" s="616"/>
      <c r="J279" s="616"/>
      <c r="K279" s="1677">
        <f>SUM(K238,K243,K257,K261,K270,K277,K278)</f>
        <v>92260</v>
      </c>
      <c r="L279" s="1677">
        <f>SUM(L238,L243,L257,L261,L270,L277,L278)</f>
        <v>108630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152922</v>
      </c>
      <c r="E295" s="616"/>
      <c r="F295" s="616"/>
      <c r="G295" s="616"/>
      <c r="H295" s="1670">
        <f>H293</f>
        <v>0</v>
      </c>
      <c r="I295" s="616"/>
      <c r="J295" s="616"/>
      <c r="K295" s="1670">
        <f>SUM(K229,K279,K280,K285,K293,K294)</f>
        <v>152922</v>
      </c>
      <c r="L295" s="1670">
        <f>SUM(L229,L279,L280,L285,L293,L294)</f>
        <v>182780</v>
      </c>
    </row>
    <row r="296" spans="1:14" ht="13.5" thickTop="1" x14ac:dyDescent="0.2">
      <c r="A296" s="2155" t="s">
        <v>996</v>
      </c>
      <c r="B296" s="2156"/>
      <c r="C296" s="616"/>
      <c r="D296" s="618"/>
      <c r="E296" s="616"/>
      <c r="F296" s="616"/>
      <c r="G296" s="616"/>
      <c r="H296" s="687"/>
      <c r="I296" s="616"/>
      <c r="J296" s="616"/>
      <c r="K296" s="1684">
        <f>'Revenues 9-14'!G268-'Expenditures 15-22'!K295</f>
        <v>78973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12530</v>
      </c>
      <c r="F301" s="466">
        <v>2602</v>
      </c>
      <c r="G301" s="466">
        <v>365695</v>
      </c>
      <c r="H301" s="466"/>
      <c r="I301" s="467">
        <v>5654</v>
      </c>
      <c r="J301" s="467"/>
      <c r="K301" s="1671">
        <f>SUM(C301:J301)</f>
        <v>386481</v>
      </c>
      <c r="L301" s="467">
        <v>347000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12530</v>
      </c>
      <c r="F303" s="1677">
        <f t="shared" si="23"/>
        <v>2602</v>
      </c>
      <c r="G303" s="1677">
        <f t="shared" si="23"/>
        <v>365695</v>
      </c>
      <c r="H303" s="1677">
        <f t="shared" si="23"/>
        <v>0</v>
      </c>
      <c r="I303" s="1677">
        <f t="shared" si="23"/>
        <v>5654</v>
      </c>
      <c r="J303" s="1677">
        <f t="shared" si="23"/>
        <v>0</v>
      </c>
      <c r="K303" s="1677">
        <f t="shared" si="23"/>
        <v>386481</v>
      </c>
      <c r="L303" s="1677">
        <f t="shared" si="23"/>
        <v>347000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12530</v>
      </c>
      <c r="F312" s="1670">
        <f>SUM(F303)</f>
        <v>2602</v>
      </c>
      <c r="G312" s="1670">
        <f>SUM(G303)</f>
        <v>365695</v>
      </c>
      <c r="H312" s="1670">
        <f>SUM(H303,H310)</f>
        <v>0</v>
      </c>
      <c r="I312" s="1670">
        <f>SUM(I303)</f>
        <v>5654</v>
      </c>
      <c r="J312" s="1670">
        <f>SUM(J303)</f>
        <v>0</v>
      </c>
      <c r="K312" s="1670">
        <f>SUM(K303,K310,K311)</f>
        <v>386481</v>
      </c>
      <c r="L312" s="1670">
        <f>SUM(L303,L310,L311)</f>
        <v>347000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-351777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4d435f69-8686-490b-bd6d-b153bf22ab50"/>
    <ds:schemaRef ds:uri="http://schemas.microsoft.com/office/infopath/2007/PartnerControls"/>
    <ds:schemaRef ds:uri="http://purl.org/dc/elements/1.1/"/>
    <ds:schemaRef ds:uri="http://schemas.microsoft.com/sharepoint/v3"/>
    <ds:schemaRef ds:uri="http://purl.org/dc/terms/"/>
    <ds:schemaRef ds:uri="http://schemas.openxmlformats.org/package/2006/metadata/core-properties"/>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2019-10-08T15:56:26Z</cp:lastPrinted>
  <dcterms:created xsi:type="dcterms:W3CDTF">2003-10-29T19:06:34Z</dcterms:created>
  <dcterms:modified xsi:type="dcterms:W3CDTF">2019-12-02T20:19:46Z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130</vt:lpwstr>
  </property>
  <property fmtid="{D5CDD505-2E9C-101B-9397-08002B2CF9AE}" pid="6" name="workpaperIndex">
    <vt:lpwstr/>
  </property>
</Properties>
</file>