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920BD7C-C777-41E0-A1E2-8EB42658716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813" i="106" l="1"/>
  <c r="D7813" i="106" s="1"/>
  <c r="F167" i="34"/>
  <c r="D17" i="171"/>
  <c r="B7816" i="106"/>
  <c r="D7816" i="106" s="1"/>
  <c r="F29" i="34"/>
  <c r="B7814" i="106"/>
  <c r="D7814" i="106" s="1"/>
  <c r="B7803" i="106"/>
  <c r="D7803" i="106" s="1"/>
  <c r="B7811" i="106"/>
  <c r="D7811" i="106" s="1"/>
  <c r="B15" i="7"/>
  <c r="B7812" i="106"/>
  <c r="D7812" i="106" s="1"/>
  <c r="B7808" i="106"/>
  <c r="D7808" i="106" s="1"/>
  <c r="B7801" i="106"/>
  <c r="D7801" i="106" s="1"/>
  <c r="B5196" i="106"/>
  <c r="B7804" i="106"/>
  <c r="D7804" i="106" s="1"/>
  <c r="B7805" i="106"/>
  <c r="D7805" i="106" s="1"/>
  <c r="F166" i="34"/>
  <c r="B7809" i="106"/>
  <c r="D7809" i="106" s="1"/>
  <c r="B7806" i="106"/>
  <c r="D7806" i="106" s="1"/>
  <c r="B7815" i="106"/>
  <c r="D7815" i="106" s="1"/>
  <c r="B7810" i="106"/>
  <c r="D7810" i="106" s="1"/>
  <c r="B7807" i="106"/>
  <c r="D7807" i="106" s="1"/>
  <c r="N21" i="3"/>
  <c r="D12" i="171"/>
  <c r="B7802" i="106"/>
  <c r="D7802" i="106" s="1"/>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l="1"/>
  <c r="F64" i="34"/>
  <c r="F69" i="34"/>
  <c r="E35" i="108"/>
  <c r="D68" i="36"/>
  <c r="G34" i="108"/>
  <c r="F38" i="34"/>
  <c r="F70" i="34"/>
  <c r="G35" i="108"/>
  <c r="G33" i="108"/>
  <c r="B7076" i="106"/>
  <c r="D7076" i="106" s="1"/>
  <c r="B7727" i="106"/>
  <c r="D7727" i="106" s="1"/>
  <c r="L22" i="37"/>
  <c r="D69" i="36"/>
  <c r="F26" i="108"/>
  <c r="D36" i="108"/>
  <c r="F36" i="108"/>
  <c r="J210" i="29"/>
  <c r="B7072" i="106" s="1"/>
  <c r="D7072" i="106" s="1"/>
  <c r="N22" i="3"/>
  <c r="B283" i="106" s="1"/>
  <c r="D283" i="106" s="1"/>
  <c r="D22" i="37"/>
  <c r="I210" i="29"/>
  <c r="B7071" i="106" s="1"/>
  <c r="D7071" i="106" s="1"/>
  <c r="F71" i="34"/>
  <c r="G14" i="4"/>
  <c r="B2609" i="106" s="1"/>
  <c r="D2609" i="106" s="1"/>
  <c r="F37" i="108"/>
  <c r="F72" i="34"/>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F66" i="34"/>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<sst xmlns="http://schemas.openxmlformats.org/spreadsheetml/2006/main" count="5083" uniqueCount="2101">
  <si>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</si>
  <si>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</si>
  <si>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</si>
  <si>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</si>
  <si>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</si>
  <si>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</si>
  <si>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</si>
  <si>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</si>
  <si>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</si>
  <si>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</si>
  <si>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</si>
  <si>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</si>
  <si>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</si>
  <si>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</si>
  <si>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</si>
  <si>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</si>
  <si>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</si>
  <si>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</si>
  <si>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</si>
  <si>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</si>
  <si>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</si>
  <si>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</si>
  <si>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</si>
  <si>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</si>
  <si>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</si>
  <si>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</si>
  <si>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</si>
  <si>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</si>
  <si>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</si>
  <si>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</si>
  <si>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</si>
  <si>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</si>
  <si>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</si>
  <si>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</si>
  <si>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</si>
  <si>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</si>
  <si>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</si>
  <si>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</si>
  <si>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</si>
  <si>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</si>
  <si>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</si>
  <si>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</si>
  <si>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</si>
  <si>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</si>
  <si>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</si>
  <si>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</si>
  <si>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</si>
  <si>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</si>
  <si>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</si>
  <si>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</si>
  <si>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</si>
  <si>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</si>
  <si>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</si>
  <si>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</si>
  <si>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</si>
  <si>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</si>
  <si>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</si>
  <si>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</si>
  <si>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</si>
  <si>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</si>
  <si>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</si>
  <si>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</si>
  <si>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</si>
  <si>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</si>
  <si>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</si>
  <si>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</si>
  <si>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</si>
  <si>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</si>
  <si>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</si>
  <si>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</si>
  <si>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</si>
  <si>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</si>
  <si>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</si>
  <si>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</si>
  <si>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</si>
  <si>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</si>
  <si>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</si>
  <si>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</si>
  <si>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</si>
  <si>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</si>
  <si>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</si>
  <si>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</si>
  <si>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</si>
  <si>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</si>
  <si>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</si>
  <si>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</si>
  <si>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</si>
  <si>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</si>
  <si>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</si>
  <si>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</si>
  <si>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</si>
  <si>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</si>
  <si>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</si>
  <si>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</si>
  <si>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</si>
  <si>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</si>
  <si>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</si>
  <si>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</si>
  <si>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</si>
  <si>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</si>
  <si>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</si>
  <si>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</si>
  <si>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</si>
  <si>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</si>
  <si>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</si>
  <si>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</si>
  <si>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</si>
  <si>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</si>
  <si>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</si>
  <si>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</si>
  <si>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</si>
  <si>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</si>
  <si>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</si>
  <si>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</si>
  <si>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</si>
  <si>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</si>
  <si>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</si>
  <si>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</si>
  <si>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</si>
  <si>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</si>
  <si>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</si>
  <si>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</si>
  <si>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</si>
  <si>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</si>
  <si>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</si>
  <si>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</si>
  <si>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</si>
  <si>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</si>
  <si>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</si>
  <si>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</si>
  <si>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</si>
  <si>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</si>
  <si>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</si>
  <si>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</si>
  <si>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</si>
  <si>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</si>
  <si>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</si>
  <si>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</si>
  <si>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</si>
  <si>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</si>
  <si>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</si>
  <si>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</si>
  <si>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</si>
  <si>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</si>
  <si>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</si>
  <si>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</si>
  <si>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</si>
  <si>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</si>
  <si>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</si>
  <si>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</si>
  <si>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</si>
  <si>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</si>
  <si>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</si>
  <si>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</si>
  <si>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</si>
  <si>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</si>
  <si>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</si>
  <si>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</si>
  <si>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</si>
  <si>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</si>
  <si>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</si>
  <si>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</si>
  <si>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</si>
  <si>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</si>
  <si>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</si>
  <si>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</si>
  <si>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</si>
  <si>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</si>
  <si>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</si>
  <si>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</si>
  <si>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</si>
  <si>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</si>
  <si>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</si>
  <si>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</si>
  <si>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</si>
  <si>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</si>
  <si>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</si>
  <si>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</si>
  <si>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</si>
  <si>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</si>
  <si>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</si>
  <si>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</si>
  <si>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</si>
  <si>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</si>
  <si>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</si>
  <si>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</si>
  <si>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</si>
  <si>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</si>
  <si>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</si>
  <si>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</si>
  <si>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</si>
  <si>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</si>
  <si>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</si>
  <si>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</si>
  <si>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</si>
  <si>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</si>
  <si>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</si>
  <si>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</si>
  <si>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</si>
  <si>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</si>
  <si>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</si>
  <si>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</si>
  <si>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</si>
  <si>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</si>
  <si>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</si>
  <si>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</si>
  <si>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</si>
  <si>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</si>
  <si>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</si>
  <si>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</si>
  <si>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</si>
  <si>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</si>
  <si>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</si>
  <si>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</si>
  <si>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</si>
  <si>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</si>
  <si>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</si>
  <si>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</si>
  <si>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</si>
  <si>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</si>
  <si>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</si>
  <si>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</si>
  <si>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</si>
  <si>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</si>
  <si>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</si>
  <si>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</si>
  <si>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</si>
  <si>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</si>
  <si>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</si>
  <si>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</si>
  <si>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</si>
  <si>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</si>
  <si>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</si>
  <si>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</si>
  <si>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</si>
  <si>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</si>
  <si>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</si>
  <si>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</si>
  <si>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</si>
  <si>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</si>
  <si>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</si>
  <si>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</si>
  <si>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</si>
  <si>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</si>
  <si>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</si>
  <si>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</si>
  <si>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</si>
  <si>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</si>
  <si>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</si>
  <si>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</si>
  <si>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</si>
  <si>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</si>
  <si>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</si>
  <si>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</si>
  <si>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</si>
  <si>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</si>
  <si>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</si>
  <si>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</si>
  <si>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</si>
  <si>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</si>
  <si>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</si>
  <si>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</si>
  <si>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</si>
  <si>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</si>
  <si>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</si>
  <si>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</si>
  <si>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</si>
  <si>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</si>
  <si>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</si>
  <si>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</si>
  <si>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</si>
  <si>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</si>
  <si>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</si>
  <si>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</si>
  <si>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</si>
  <si>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</si>
  <si>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</si>
  <si>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</si>
  <si>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</si>
  <si>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</si>
  <si>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</si>
  <si>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</si>
  <si>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</si>
  <si>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</si>
  <si>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</si>
  <si>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</si>
  <si>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</si>
  <si>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</si>
  <si>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</si>
  <si>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</si>
  <si>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</si>
  <si>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</si>
  <si>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</si>
  <si>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</si>
  <si>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</si>
  <si>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</si>
  <si>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</si>
  <si>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</si>
  <si>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</si>
  <si>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</si>
  <si>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</si>
  <si>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</si>
  <si>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</si>
  <si>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</si>
  <si>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</si>
  <si>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</si>
  <si>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</si>
  <si>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</si>
  <si>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</si>
  <si>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</si>
  <si>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</si>
  <si>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</si>
  <si>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</si>
  <si>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</si>
  <si>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</si>
  <si>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</si>
  <si>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</si>
  <si>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</si>
  <si>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</si>
  <si>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</si>
  <si>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</si>
  <si>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</si>
  <si>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</si>
  <si>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</si>
  <si>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</si>
  <si>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</si>
  <si>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</si>
  <si>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</si>
  <si>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</si>
  <si>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</si>
  <si>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</si>
  <si>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</si>
  <si>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</si>
  <si>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</si>
  <si>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</si>
  <si>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</si>
  <si>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</si>
  <si>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</si>
  <si>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</si>
  <si>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</si>
  <si>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</si>
  <si>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</si>
  <si>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</si>
  <si>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</si>
  <si>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</si>
  <si>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</si>
  <si>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</si>
  <si>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</si>
  <si>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</si>
  <si>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</si>
  <si>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</si>
  <si>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</si>
  <si>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</si>
  <si>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</si>
  <si>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</si>
  <si>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</si>
  <si>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</si>
  <si>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</si>
  <si>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</si>
  <si>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</si>
  <si>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</si>
  <si>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</si>
  <si>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</si>
  <si>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</si>
  <si>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</si>
  <si>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</si>
  <si>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</si>
  <si>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</si>
  <si>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</si>
  <si>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</si>
  <si>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</si>
  <si>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</si>
  <si>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</si>
  <si>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</si>
  <si>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</si>
  <si>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</si>
  <si>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</si>
  <si>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</si>
  <si>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</si>
  <si>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</si>
  <si>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</si>
  <si>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</si>
  <si>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</si>
  <si>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</si>
  <si>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</si>
  <si>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</si>
  <si>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</si>
  <si>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</si>
  <si>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</si>
  <si>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</si>
  <si>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</si>
  <si>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</si>
  <si>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</si>
  <si>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</si>
  <si>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</si>
  <si>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</si>
  <si>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</si>
  <si>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</si>
  <si>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</si>
  <si>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</si>
  <si>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</si>
  <si>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</si>
  <si>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</si>
  <si>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</si>
  <si>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</si>
  <si>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</si>
  <si>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</si>
  <si>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</si>
  <si>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</si>
  <si>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</si>
  <si>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</si>
  <si>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</si>
  <si>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</si>
  <si>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</si>
  <si>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</si>
  <si>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</si>
  <si>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</si>
  <si>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</si>
  <si>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</si>
  <si>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</si>
  <si>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</si>
  <si>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</si>
  <si>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</si>
  <si>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</si>
  <si>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</si>
  <si>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</si>
  <si>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</si>
  <si>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</si>
  <si>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</si>
  <si>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</si>
  <si>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</si>
  <si>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</si>
  <si>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</si>
  <si>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</si>
  <si>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</si>
  <si>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</si>
  <si>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</si>
  <si>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</si>
  <si>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</si>
  <si>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</si>
  <si>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</si>
  <si>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</si>
  <si>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</si>
  <si>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</si>
  <si>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</si>
  <si>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</si>
  <si>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</si>
  <si>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</si>
  <si>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</si>
  <si>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</si>
  <si>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</si>
  <si>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</si>
  <si>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</si>
  <si>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</si>
  <si>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</si>
  <si>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</si>
  <si>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</si>
  <si>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</si>
  <si>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</si>
  <si>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</si>
  <si>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</si>
  <si>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</si>
  <si>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</si>
  <si>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</si>
  <si>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</si>
  <si>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</si>
  <si>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</si>
  <si>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</si>
  <si>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</si>
  <si>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</si>
  <si>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</si>
  <si>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</si>
  <si>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</si>
  <si>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</si>
  <si>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</si>
  <si>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</si>
  <si>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</si>
  <si>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</si>
  <si>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</si>
  <si>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</si>
  <si>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</si>
  <si>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</si>
  <si>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</si>
  <si>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</si>
  <si>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</si>
  <si>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</si>
  <si>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</si>
  <si>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</si>
  <si>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</si>
  <si>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</si>
  <si>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</si>
  <si>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</si>
  <si>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</si>
  <si>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</si>
  <si>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</si>
  <si>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</si>
  <si>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</si>
  <si>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</si>
  <si>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</si>
  <si>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</si>
  <si>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</si>
  <si>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</si>
  <si>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</si>
  <si>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</si>
  <si>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</si>
  <si>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</si>
  <si>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</si>
  <si>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</si>
  <si>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</si>
  <si>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</si>
  <si>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</si>
  <si>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</si>
  <si>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</si>
  <si>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</si>
  <si>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</si>
  <si>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</si>
  <si>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</si>
  <si>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</si>
  <si>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</si>
  <si>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</si>
  <si>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</si>
  <si>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</si>
  <si>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</si>
  <si>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</si>
  <si>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</si>
  <si>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</si>
  <si>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</si>
  <si>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</si>
  <si>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</si>
  <si>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</si>
  <si>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</si>
  <si>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</si>
  <si>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</si>
  <si>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</si>
  <si>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</si>
  <si>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</si>
  <si>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</si>
  <si>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</si>
  <si>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</si>
  <si>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</si>
  <si>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</si>
  <si>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</si>
  <si>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</si>
  <si>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</si>
  <si>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</si>
  <si>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</si>
  <si>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</si>
  <si>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</si>
  <si>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</si>
  <si>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</si>
  <si>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</si>
  <si>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</si>
  <si>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</si>
  <si>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</si>
  <si>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</si>
  <si>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</si>
  <si>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</si>
  <si>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</si>
  <si>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</si>
  <si>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</si>
  <si>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</si>
  <si>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</si>
  <si>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</si>
  <si>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</si>
  <si>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</si>
  <si>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</si>
  <si>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</si>
  <si>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</si>
  <si>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</si>
  <si>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</si>
  <si>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</si>
  <si>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</si>
  <si>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</si>
  <si>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</si>
  <si>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</si>
  <si>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</si>
  <si>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</si>
  <si>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</si>
  <si>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</si>
  <si>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</si>
  <si>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</si>
  <si>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</si>
  <si>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</si>
  <si>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</si>
  <si>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</si>
  <si>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</si>
  <si>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</si>
  <si>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</si>
  <si>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</si>
  <si>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</si>
  <si>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</si>
  <si>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</si>
  <si>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</si>
  <si>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</si>
  <si>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</si>
  <si>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</si>
  <si>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</si>
  <si>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</si>
  <si>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</si>
  <si>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</si>
  <si>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</si>
  <si>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</si>
  <si>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</si>
  <si>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</si>
  <si>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</si>
  <si>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</si>
  <si>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</si>
  <si>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</si>
  <si>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</si>
  <si>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</si>
  <si>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</si>
  <si>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</si>
  <si>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</si>
  <si>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</si>
  <si>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</si>
  <si>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</si>
  <si>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</si>
  <si>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</si>
  <si>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</si>
  <si>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</si>
  <si>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</si>
  <si>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</si>
  <si>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</si>
  <si>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</si>
  <si>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</si>
  <si>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</si>
  <si>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</si>
  <si>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</si>
  <si>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</si>
  <si>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</si>
  <si>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</si>
  <si>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</si>
  <si>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</si>
  <si>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</si>
  <si>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</si>
  <si>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</si>
  <si>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</si>
  <si>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</si>
  <si>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</si>
  <si>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</si>
  <si>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</si>
  <si>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</si>
  <si>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</si>
  <si>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</si>
  <si>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</si>
  <si>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</si>
  <si>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</si>
  <si>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</si>
  <si>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</si>
  <si>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</si>
  <si>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</si>
  <si>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</si>
  <si>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</si>
  <si>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</si>
  <si>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</si>
  <si>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</si>
  <si>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</si>
  <si>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</si>
  <si>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</si>
  <si>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</si>
  <si>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</si>
  <si>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</si>
  <si>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</si>
  <si>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</si>
  <si>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</si>
  <si>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</si>
  <si>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</si>
  <si>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</si>
  <si>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</si>
  <si>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</si>
  <si>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</si>
  <si>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</si>
  <si>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</si>
  <si>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</si>
  <si>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</si>
  <si>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</si>
  <si>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</si>
  <si>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</si>
  <si>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</si>
  <si>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</si>
  <si>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</si>
  <si>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</si>
  <si>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</si>
  <si>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</si>
  <si>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</si>
  <si>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</si>
  <si>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</si>
  <si>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</si>
  <si>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</si>
  <si>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</si>
  <si>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</si>
  <si>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</si>
  <si>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</si>
  <si>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</si>
  <si>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</si>
  <si>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</si>
  <si>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</si>
  <si>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</si>
  <si>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</si>
  <si>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</si>
  <si>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</si>
  <si>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</si>
  <si>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</si>
  <si>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</si>
  <si>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</si>
  <si>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</si>
  <si>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</si>
  <si>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</si>
  <si>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</si>
  <si>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</si>
  <si>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</si>
  <si>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</si>
  <si>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</si>
  <si>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</si>
  <si>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</si>
  <si>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</si>
  <si>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</si>
  <si>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</si>
  <si>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</si>
  <si>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</si>
  <si>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</si>
  <si>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</si>
  <si>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</si>
  <si>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</si>
  <si>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</si>
  <si>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</si>
  <si>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</si>
  <si>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</si>
  <si>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</si>
  <si>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</si>
  <si>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</si>
  <si>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</si>
  <si>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</si>
  <si>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</si>
  <si>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</si>
  <si>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</si>
  <si>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</si>
  <si>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</si>
  <si>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</si>
  <si>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</si>
  <si>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</si>
  <si>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</si>
  <si>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</si>
  <si>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</si>
  <si>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</si>
  <si>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</si>
  <si>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</si>
  <si>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</si>
  <si>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</si>
  <si>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</si>
  <si>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</si>
  <si>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</si>
  <si>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</si>
  <si>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</si>
  <si>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</si>
  <si>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</si>
  <si>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</si>
  <si>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</si>
  <si>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</si>
  <si>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</si>
  <si>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</si>
  <si>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</si>
  <si>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</si>
  <si>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</si>
  <si>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</si>
  <si>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</si>
  <si>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</si>
  <si>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</si>
  <si>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</si>
  <si>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</si>
  <si>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</si>
  <si>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</si>
  <si>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</si>
  <si>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</si>
  <si>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</si>
  <si>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</si>
  <si>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</si>
  <si>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</si>
  <si>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</si>
  <si>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</si>
  <si>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</si>
  <si>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</si>
  <si>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</si>
  <si>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</si>
  <si>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</si>
  <si>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</si>
  <si>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</si>
  <si>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</si>
  <si>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</si>
  <si>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</si>
  <si>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</si>
  <si>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</si>
  <si>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</si>
  <si>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</si>
  <si>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</si>
  <si>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</si>
  <si>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</si>
  <si>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</si>
  <si>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</si>
  <si>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</si>
  <si>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</si>
  <si>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</si>
  <si>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</si>
  <si>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</si>
  <si>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</si>
  <si>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</si>
  <si>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</si>
  <si>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</si>
  <si>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</si>
  <si>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</si>
  <si>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</si>
  <si>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</si>
  <si>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</si>
  <si>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</si>
  <si>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</si>
  <si>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</si>
  <si>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</si>
  <si>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</si>
  <si>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</si>
  <si>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</si>
  <si>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</si>
  <si>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</si>
  <si>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</si>
  <si>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</si>
  <si>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</si>
  <si>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</si>
  <si>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</si>
  <si>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</si>
  <si>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</si>
  <si>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</si>
  <si>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</si>
  <si>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</si>
  <si>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</si>
  <si>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</si>
  <si>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</si>
  <si>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</si>
  <si>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</si>
  <si>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</si>
  <si>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</si>
  <si>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</si>
  <si>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</si>
  <si>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</si>
  <si>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</si>
  <si>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</si>
  <si>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</si>
  <si>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</si>
  <si>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</si>
  <si>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</si>
  <si>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</si>
  <si>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</si>
  <si>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</si>
  <si>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</si>
  <si>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</si>
  <si>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</si>
  <si>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</si>
  <si>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</si>
  <si>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</si>
  <si>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</si>
  <si>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</si>
  <si>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</si>
  <si>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</si>
  <si>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</si>
  <si>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</si>
  <si>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</si>
  <si>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</si>
  <si>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</si>
  <si>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</si>
  <si>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</si>
  <si>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</si>
  <si>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</si>
  <si>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</si>
  <si>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</si>
  <si>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</si>
  <si>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</si>
  <si>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</si>
  <si>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</si>
  <si>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</si>
  <si>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</si>
  <si>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</si>
  <si>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</si>
  <si>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</si>
  <si>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</si>
  <si>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</si>
  <si>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</si>
  <si>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</si>
  <si>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</si>
  <si>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</si>
  <si>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</si>
  <si>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</si>
  <si>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</si>
  <si>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</si>
  <si>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</si>
  <si>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</si>
  <si>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</si>
  <si>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</si>
  <si>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</si>
  <si>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</si>
  <si>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</si>
  <si>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</si>
  <si>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</si>
  <si>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</si>
  <si>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</si>
  <si>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</si>
  <si>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</si>
  <si>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</si>
  <si>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</si>
  <si>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</si>
  <si>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</si>
  <si>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</si>
  <si>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</si>
  <si>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</si>
  <si>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</si>
  <si>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</si>
  <si>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</si>
  <si>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</si>
  <si>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</si>
  <si>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</si>
  <si>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</si>
  <si>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</si>
  <si>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</si>
  <si>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</si>
  <si>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</si>
  <si>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</si>
  <si>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</si>
  <si>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</si>
  <si>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</si>
  <si>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</si>
  <si>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</si>
  <si>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</si>
  <si>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</si>
  <si>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</si>
  <si>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</si>
  <si>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</si>
  <si>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</si>
  <si>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</si>
  <si>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</si>
  <si>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</si>
  <si>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</si>
  <si>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</si>
  <si>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</si>
  <si>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</si>
  <si>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</si>
  <si>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</si>
  <si>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</si>
  <si>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</si>
  <si>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</si>
  <si>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</si>
  <si>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</si>
  <si>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</si>
  <si>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</si>
  <si>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</si>
  <si>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</si>
  <si>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</si>
  <si>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</si>
  <si>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</si>
  <si>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</si>
  <si>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</si>
  <si>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</si>
  <si>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</si>
  <si>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</si>
  <si>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</si>
  <si>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</si>
  <si>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</si>
  <si>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</si>
  <si>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</si>
  <si>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</si>
  <si>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</si>
  <si>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</si>
  <si>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</si>
  <si>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</si>
  <si>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</si>
  <si>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</si>
  <si>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</si>
  <si>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</si>
  <si>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</si>
  <si>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</si>
  <si>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</si>
  <si>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</si>
  <si>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</si>
  <si>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</si>
  <si>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</si>
  <si>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</si>
  <si>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</si>
  <si>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</si>
  <si>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</si>
  <si>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</si>
  <si>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</si>
  <si>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</si>
  <si>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</si>
  <si>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</si>
  <si>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</si>
  <si>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</si>
  <si>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</si>
  <si>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</si>
  <si>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</si>
  <si>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</si>
  <si>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</si>
  <si>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</si>
  <si>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</si>
  <si>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</si>
  <si>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</si>
  <si>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</si>
  <si>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</si>
  <si>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</si>
  <si>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</si>
  <si>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</si>
  <si>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</si>
  <si>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</si>
  <si>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</si>
  <si>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</si>
  <si>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</si>
  <si>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</si>
  <si>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</si>
  <si>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</si>
  <si>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</si>
  <si>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</si>
  <si>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</si>
  <si>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</si>
  <si>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</si>
  <si>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</si>
  <si>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</si>
  <si>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</si>
  <si>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</si>
  <si>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</si>
  <si>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</si>
  <si>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</si>
  <si>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</si>
  <si>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</si>
  <si>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</si>
  <si>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</si>
  <si>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</si>
  <si>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</si>
  <si>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</si>
  <si>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</si>
  <si>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</si>
  <si>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</si>
  <si>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</si>
  <si>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</si>
  <si>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</si>
  <si>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</si>
  <si>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</si>
  <si>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</si>
  <si>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</si>
  <si>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</si>
  <si>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</si>
  <si>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</si>
  <si>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</si>
  <si>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</si>
  <si>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</si>
  <si>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</si>
  <si>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</si>
  <si>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</si>
  <si>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</si>
  <si>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</si>
  <si>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</si>
  <si>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</si>
  <si>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</si>
  <si>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</si>
  <si>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</si>
  <si>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</si>
  <si>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</si>
  <si>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</si>
  <si>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</si>
  <si>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</si>
  <si>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</si>
  <si>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</si>
  <si>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</si>
  <si>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</si>
  <si>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</si>
  <si>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</si>
  <si>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</si>
  <si>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</si>
  <si>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</si>
  <si>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</si>
  <si>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</si>
  <si>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</si>
  <si>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</si>
  <si>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</si>
  <si>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</si>
  <si>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</si>
  <si>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</si>
  <si>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</si>
  <si>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</si>
  <si>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</si>
  <si>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</si>
  <si>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</si>
  <si>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</si>
  <si>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</si>
  <si>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</si>
  <si>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</si>
  <si>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</si>
  <si>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</si>
  <si>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</si>
  <si>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</si>
  <si>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</si>
  <si>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</si>
  <si>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</si>
  <si>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</si>
  <si>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</si>
  <si>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</si>
  <si>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</si>
  <si>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</si>
  <si>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</si>
  <si>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</si>
  <si>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</si>
  <si>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</si>
  <si>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</si>
  <si>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</si>
  <si>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</si>
  <si>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</si>
  <si>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</si>
  <si>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</si>
  <si>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</si>
  <si>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</si>
  <si>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</si>
  <si>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</si>
  <si>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</si>
  <si>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</si>
  <si>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</si>
  <si>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</si>
  <si>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</si>
  <si>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</si>
  <si>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</si>
  <si>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</si>
  <si>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</si>
  <si>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</si>
  <si>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</si>
  <si>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</si>
  <si>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</si>
  <si>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</si>
  <si>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</si>
  <si>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</si>
  <si>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</si>
  <si>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</si>
  <si>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</si>
  <si>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</si>
  <si>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</si>
  <si>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</si>
  <si>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</si>
  <si>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</si>
  <si>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</si>
  <si>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</si>
  <si>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</si>
  <si>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</si>
  <si>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</si>
  <si>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</si>
  <si>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</si>
  <si>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</si>
  <si>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</si>
  <si>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</si>
  <si>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</si>
  <si>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</si>
  <si>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</si>
  <si>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</si>
  <si>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</si>
  <si>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</si>
  <si>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</si>
  <si>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</si>
  <si>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</si>
  <si>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</si>
  <si>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</si>
  <si>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</si>
  <si>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</si>
  <si>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</si>
  <si>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</si>
  <si>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</si>
  <si>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</si>
  <si>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</si>
  <si>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</si>
  <si>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</si>
  <si>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</si>
  <si>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</si>
  <si>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</si>
  <si>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</si>
  <si>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</si>
  <si>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</si>
  <si>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</si>
  <si>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</si>
  <si>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</si>
  <si>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</si>
  <si>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</si>
  <si>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</si>
  <si>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</si>
  <si>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</si>
  <si>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</si>
  <si>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</si>
  <si>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</si>
  <si>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</si>
  <si>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</si>
  <si>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</si>
  <si>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</si>
  <si>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</si>
  <si>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</si>
  <si>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</si>
  <si>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</si>
  <si>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</si>
  <si>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</si>
  <si>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</si>
  <si>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</si>
  <si>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</si>
  <si>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</si>
  <si>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</si>
  <si>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</si>
  <si>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</si>
  <si>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</si>
  <si>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</si>
  <si>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</si>
  <si>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</si>
  <si>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</si>
  <si>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</si>
  <si>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</si>
  <si>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</si>
  <si>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</si>
  <si>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</si>
  <si>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</si>
  <si>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</si>
  <si>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</si>
  <si>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</si>
  <si>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</si>
  <si>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</si>
  <si>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</si>
  <si>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</si>
  <si>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</si>
  <si>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</si>
  <si>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</si>
  <si>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</si>
  <si>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</si>
  <si>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</si>
  <si>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</si>
  <si>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</si>
  <si>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</si>
  <si>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</si>
  <si>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</si>
  <si>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</si>
  <si>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</si>
  <si>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</si>
  <si>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</si>
  <si>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</si>
  <si>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</si>
  <si>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</si>
  <si>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</si>
  <si>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</si>
  <si>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</si>
  <si>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</si>
  <si>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</si>
  <si>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</si>
  <si>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</si>
  <si>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</si>
  <si>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</si>
  <si>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</si>
  <si>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</si>
  <si>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</si>
  <si>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</si>
  <si>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</si>
  <si>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</si>
  <si>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</si>
  <si>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</si>
  <si>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</si>
  <si>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</si>
  <si>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</si>
  <si>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</si>
  <si>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</si>
  <si>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</si>
  <si>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</si>
  <si>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</si>
  <si>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</si>
  <si>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</si>
  <si>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</si>
  <si>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</si>
  <si>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</si>
  <si>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</si>
  <si>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</si>
  <si>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</si>
  <si>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</si>
  <si>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</si>
  <si>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</si>
  <si>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</si>
  <si>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</si>
  <si>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</si>
  <si>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</si>
  <si>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</si>
  <si>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</si>
  <si>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</si>
  <si>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</si>
  <si>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</si>
  <si>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</si>
  <si>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</si>
  <si>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</si>
  <si>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</si>
  <si>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</si>
  <si>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</si>
  <si>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</si>
  <si>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</si>
  <si>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</si>
  <si>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</si>
  <si>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</si>
  <si>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</si>
  <si>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</si>
  <si>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</si>
  <si>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</si>
  <si>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</si>
  <si>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</si>
  <si>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</si>
  <si>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</si>
  <si>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</si>
  <si>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</si>
  <si>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</si>
  <si>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</si>
  <si>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</si>
  <si>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</si>
  <si>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</si>
  <si>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</si>
  <si>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</si>
  <si>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</si>
  <si>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</si>
  <si>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</si>
  <si>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</si>
  <si>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</si>
  <si>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</si>
  <si>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</si>
  <si>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</si>
  <si>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</si>
  <si>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</si>
  <si>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</si>
  <si>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</si>
  <si>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</si>
  <si>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</si>
  <si>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</si>
  <si>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</si>
  <si>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</si>
  <si>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</si>
  <si>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</si>
  <si>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</si>
  <si>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</si>
  <si>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</si>
  <si>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</si>
  <si>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</si>
  <si>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</si>
  <si>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</si>
  <si>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</si>
  <si>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</si>
  <si>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</si>
  <si>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</si>
  <si>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</si>
  <si>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</si>
  <si>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</si>
  <si>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</si>
  <si>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</si>
  <si>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</si>
  <si>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</si>
  <si>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</si>
  <si>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</si>
  <si>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</si>
  <si>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</si>
  <si>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</si>
  <si>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</si>
  <si>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</si>
  <si>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</si>
  <si>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</si>
  <si>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</si>
  <si>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</si>
  <si>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</si>
  <si>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</si>
  <si>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</si>
  <si>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</si>
  <si>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</si>
  <si>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</si>
  <si>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</si>
  <si>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</si>
  <si>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</si>
  <si>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</si>
  <si>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</si>
  <si>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</si>
  <si>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</si>
  <si>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</si>
  <si>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</si>
  <si>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</si>
  <si>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</si>
  <si>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</si>
  <si>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</si>
  <si>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</si>
  <si>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</si>
  <si>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</si>
  <si>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</si>
  <si>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</si>
  <si>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</si>
  <si>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</si>
  <si>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</si>
  <si>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</si>
  <si>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</si>
  <si>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</si>
  <si>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</si>
  <si>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</si>
  <si>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</si>
  <si>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</si>
  <si>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</si>
  <si>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</si>
  <si>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</si>
  <si>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</si>
  <si>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</si>
  <si>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</si>
  <si>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</si>
  <si>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</si>
  <si>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</si>
  <si>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</si>
  <si>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</si>
  <si>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</si>
  <si>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</si>
  <si>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</si>
  <si>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</si>
  <si>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</si>
  <si>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</si>
  <si>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</si>
  <si>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</si>
  <si>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</si>
  <si>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</si>
  <si>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</si>
  <si>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</si>
  <si>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</si>
  <si>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</si>
  <si>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</si>
  <si>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</si>
  <si>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</si>
  <si>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</si>
  <si>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</si>
  <si>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</si>
  <si>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</si>
  <si>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</si>
  <si>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</si>
  <si>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</si>
  <si>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</si>
  <si>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</si>
  <si>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</si>
  <si>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</si>
  <si>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</si>
  <si>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</si>
  <si>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</si>
  <si>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</si>
  <si>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</si>
  <si>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</si>
  <si>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</si>
  <si>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</si>
  <si>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</si>
  <si>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</si>
  <si>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</si>
  <si>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</si>
  <si>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</si>
  <si>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</si>
  <si>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</si>
  <si>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</si>
  <si>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</si>
  <si>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</si>
  <si>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</si>
  <si>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</si>
  <si>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</si>
  <si>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</si>
  <si>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</si>
  <si>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</si>
  <si>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</si>
  <si>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</si>
  <si>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</si>
  <si>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</si>
  <si>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</si>
  <si>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</si>
  <si>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</si>
  <si>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</si>
  <si>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</si>
  <si>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</si>
  <si>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</si>
  <si>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</si>
  <si>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</si>
  <si>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</si>
  <si>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</si>
  <si>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</si>
  <si>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</si>
  <si>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</si>
  <si>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</si>
  <si>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</si>
  <si>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</si>
  <si>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</si>
  <si>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</si>
  <si>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</si>
  <si>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</si>
  <si>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</si>
  <si>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</si>
  <si>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</si>
  <si>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</si>
  <si>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</si>
  <si>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</si>
  <si>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</si>
  <si>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</si>
  <si>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</si>
  <si>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</si>
  <si>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</si>
  <si>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</si>
  <si>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</si>
  <si>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</si>
  <si>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</si>
  <si>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</si>
  <si>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</si>
  <si>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</si>
  <si>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</si>
  <si>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</si>
  <si>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</si>
  <si>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</si>
  <si>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</si>
  <si>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</si>
  <si>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</si>
  <si>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</si>
  <si>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</si>
  <si>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</si>
  <si>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</si>
  <si>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</si>
  <si>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</si>
  <si>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</si>
  <si>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</si>
  <si>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</si>
  <si>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</si>
  <si>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</si>
  <si>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</si>
  <si>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</si>
  <si>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</si>
  <si>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</si>
  <si>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</si>
  <si>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</si>
  <si>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</si>
  <si>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</si>
  <si>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</si>
  <si>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</si>
  <si>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</si>
  <si>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</si>
  <si>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</si>
  <si>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</si>
  <si>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</si>
  <si>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</si>
  <si>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</si>
  <si>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</si>
  <si>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</si>
  <si>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</si>
  <si>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</si>
  <si>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</si>
  <si>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</si>
  <si>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</si>
  <si>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</si>
  <si>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</si>
  <si>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</si>
  <si>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</si>
  <si>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</si>
  <si>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</si>
  <si>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</si>
  <si>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</si>
  <si>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</si>
  <si>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</si>
  <si>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</si>
  <si>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</si>
  <si>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</si>
  <si>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</si>
  <si>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</si>
  <si>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</si>
  <si>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</si>
  <si>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</si>
  <si>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</si>
  <si>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</si>
  <si>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</si>
  <si>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</si>
  <si>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</si>
  <si>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</si>
  <si>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</si>
  <si>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</si>
  <si>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</si>
  <si>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</si>
  <si>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</si>
  <si>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</si>
  <si>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</si>
  <si>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</si>
  <si>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</si>
  <si>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</si>
  <si>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</si>
  <si>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</si>
  <si>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</si>
  <si>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</si>
  <si>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</si>
  <si>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</si>
  <si>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</si>
  <si>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</si>
  <si>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</si>
  <si>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</si>
  <si>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</si>
  <si>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</si>
  <si>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</si>
  <si>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</si>
  <si>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</si>
  <si>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</si>
  <si>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</si>
  <si>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</si>
  <si>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</si>
  <si>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</si>
  <si>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</si>
  <si>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</si>
  <si>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</si>
  <si>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</si>
  <si>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</si>
  <si>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</si>
  <si>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</si>
  <si>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</si>
  <si>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</si>
  <si>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</si>
  <si>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</si>
  <si>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</si>
  <si>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</si>
  <si>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</si>
  <si>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</si>
  <si>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</si>
  <si>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</si>
  <si>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</si>
  <si>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</si>
  <si>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</si>
  <si>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</si>
  <si>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</si>
  <si>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</si>
  <si>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</si>
  <si>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</si>
  <si>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</si>
  <si>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</si>
  <si>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</si>
  <si>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</si>
  <si>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</si>
  <si>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</si>
  <si>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</si>
  <si>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</si>
  <si>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</si>
  <si>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</si>
  <si>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</si>
  <si>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</si>
  <si>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</si>
  <si>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</si>
  <si>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</si>
  <si>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</si>
  <si>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</si>
  <si>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</si>
  <si>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</si>
  <si>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</si>
  <si>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</si>
  <si>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</si>
  <si>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</si>
  <si>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</si>
  <si>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</si>
  <si>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</si>
  <si>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</si>
  <si>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</si>
  <si>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</si>
  <si>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</si>
  <si>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</si>
  <si>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</si>
  <si>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</si>
  <si>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</si>
  <si>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</si>
  <si>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</si>
  <si>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</si>
  <si>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</si>
  <si>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</si>
  <si>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</si>
  <si>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</si>
  <si>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</si>
  <si>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</si>
  <si>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</si>
  <si>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</si>
  <si>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</si>
  <si>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</si>
  <si>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</si>
  <si>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</si>
  <si>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</si>
  <si>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</si>
  <si>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</si>
  <si>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</si>
  <si>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</si>
  <si>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</si>
  <si>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</si>
  <si>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</si>
  <si>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</si>
  <si>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</si>
  <si>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</si>
  <si>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</si>
  <si>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</si>
  <si>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</si>
  <si>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</si>
  <si>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</si>
  <si>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</si>
  <si>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</si>
  <si>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</si>
  <si>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</si>
  <si>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</si>
  <si>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</si>
  <si>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</si>
  <si>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</si>
  <si>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</si>
  <si>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</si>
  <si>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</si>
  <si>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</si>
  <si>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</si>
  <si>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</si>
  <si>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</si>
  <si>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</si>
  <si>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</si>
  <si>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</si>
  <si>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</si>
  <si>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</si>
  <si>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</si>
  <si>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</si>
  <si>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</si>
  <si>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</si>
  <si>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</si>
  <si>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</si>
  <si>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</si>
  <si>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</si>
  <si>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</si>
  <si>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</si>
  <si>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</si>
  <si>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</si>
  <si>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</si>
  <si>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</si>
  <si>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</si>
  <si>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</si>
  <si>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</si>
  <si>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</si>
  <si>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</si>
  <si>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</si>
  <si>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</si>
  <si>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</si>
  <si>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</si>
  <si>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</si>
  <si>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</si>
  <si>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</si>
  <si>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</si>
  <si>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</si>
  <si>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</si>
  <si>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</si>
  <si>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</si>
  <si>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</si>
  <si>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</si>
  <si>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</si>
  <si>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</si>
  <si>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</si>
  <si>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</si>
  <si>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</si>
  <si>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</si>
  <si>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</si>
  <si>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</si>
  <si>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</si>
  <si>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</si>
  <si>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</si>
  <si>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</si>
  <si>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</si>
  <si>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</si>
  <si>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</si>
  <si>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</si>
  <si>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</si>
  <si>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</si>
  <si>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</si>
  <si>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</si>
  <si>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</si>
  <si>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</si>
  <si>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</si>
  <si>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</si>
  <si>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</si>
  <si>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</si>
  <si>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</si>
  <si>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</si>
  <si>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</si>
  <si>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</si>
  <si>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</si>
  <si>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</si>
  <si>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</si>
  <si>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</si>
  <si>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</si>
  <si>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</si>
  <si>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</si>
  <si>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</si>
  <si>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</si>
  <si>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</si>
  <si>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</si>
  <si>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</si>
  <si>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</si>
  <si>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</si>
  <si>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</si>
  <si>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</si>
  <si>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</si>
  <si>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</si>
  <si>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</si>
  <si>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</si>
  <si>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</si>
  <si>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</si>
  <si>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</si>
  <si>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</si>
  <si>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</si>
  <si>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</si>
  <si>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</si>
  <si>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</si>
  <si>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</si>
  <si>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</si>
  <si>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</si>
  <si>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</si>
  <si>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</si>
  <si>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</si>
  <si>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</si>
  <si>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</si>
  <si>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</si>
  <si>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</si>
  <si>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</si>
  <si>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</si>
  <si>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</si>
  <si>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</si>
  <si>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</si>
  <si>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</si>
  <si>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</si>
  <si>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</si>
  <si>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</si>
  <si>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</si>
  <si>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</si>
  <si>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</si>
  <si>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</si>
  <si>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</si>
  <si>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</si>
  <si>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</si>
  <si>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</si>
  <si>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</si>
  <si>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</si>
  <si>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</si>
  <si>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</si>
  <si>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</si>
  <si>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</si>
  <si>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</si>
  <si>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</si>
  <si>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</si>
  <si>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</si>
  <si>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</si>
  <si>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</si>
  <si>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</si>
  <si>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</si>
  <si>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</si>
  <si>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</si>
  <si>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</si>
  <si>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</si>
  <si>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</si>
  <si>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</si>
  <si>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</si>
  <si>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</si>
  <si>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</si>
  <si>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</si>
  <si>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</si>
  <si>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</si>
  <si>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</si>
  <si>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</si>
  <si>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</si>
  <si>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</si>
  <si>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</si>
  <si>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</si>
  <si>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</si>
  <si>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</si>
  <si>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</si>
  <si>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</si>
  <si>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</si>
  <si>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</si>
  <si>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</si>
  <si>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</si>
  <si>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</si>
  <si>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</si>
  <si>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</si>
  <si>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</si>
  <si>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</si>
  <si>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</si>
  <si>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</si>
  <si>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</si>
  <si>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</si>
  <si>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</si>
  <si>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</si>
  <si>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</si>
  <si>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</si>
  <si>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</si>
  <si>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</si>
  <si>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</si>
  <si>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</si>
  <si>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</si>
  <si>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</si>
  <si>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</si>
  <si>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</si>
  <si>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</si>
  <si>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</si>
  <si>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</si>
  <si>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</si>
  <si>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</si>
  <si>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</si>
  <si>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</si>
  <si>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</si>
  <si>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</si>
  <si>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</si>
  <si>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</si>
  <si>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</si>
  <si>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</si>
  <si>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</si>
  <si>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</si>
  <si>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</si>
  <si>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</si>
  <si>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</si>
  <si>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</si>
  <si>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</si>
  <si>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</si>
  <si>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</si>
  <si>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</si>
  <si>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</si>
  <si>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</si>
  <si>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</si>
  <si>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</si>
  <si>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</si>
  <si>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</si>
  <si>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</si>
  <si>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</si>
  <si>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</si>
  <si>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</si>
  <si>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</si>
  <si>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</si>
  <si>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</si>
  <si>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</si>
  <si>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</si>
  <si>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</si>
  <si>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</si>
  <si>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</si>
  <si>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</si>
  <si>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</si>
  <si>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</si>
  <si>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</si>
  <si>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</si>
  <si>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</si>
  <si>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</si>
  <si>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</si>
  <si>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</si>
  <si>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</si>
  <si>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</si>
  <si>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</si>
  <si>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</si>
  <si>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</si>
  <si>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</si>
  <si>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</si>
  <si>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</si>
  <si>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</si>
  <si>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</si>
  <si>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</si>
  <si>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</si>
  <si>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</si>
  <si>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</si>
  <si>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</si>
  <si>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</si>
  <si>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</si>
  <si>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</si>
  <si>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</si>
  <si>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</si>
  <si>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</si>
  <si>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</si>
  <si>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</si>
  <si>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</si>
  <si>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</si>
  <si>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</si>
  <si>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</si>
  <si>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</si>
  <si>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</si>
  <si>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</si>
  <si>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</si>
  <si>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</si>
  <si>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</si>
  <si>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</si>
  <si>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</si>
  <si>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</si>
  <si>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</si>
  <si>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</si>
  <si>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</si>
  <si>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</si>
  <si>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</si>
  <si>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</si>
  <si>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</si>
  <si>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</si>
  <si>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</si>
  <si>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</si>
  <si>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</si>
  <si>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</si>
  <si>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</si>
  <si>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</si>
  <si>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</si>
  <si>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</si>
  <si>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</si>
  <si>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</si>
  <si>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</si>
  <si>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</si>
  <si>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</si>
  <si>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</si>
  <si>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</si>
  <si>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</si>
  <si>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</si>
  <si>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</si>
  <si>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</si>
  <si>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</si>
  <si>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</si>
  <si>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</si>
  <si>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</si>
  <si>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</si>
  <si>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</si>
  <si>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</si>
  <si>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</si>
  <si>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</si>
  <si>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</si>
  <si>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</si>
  <si>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</si>
  <si>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</si>
  <si>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</si>
  <si>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</si>
  <si>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</si>
  <si>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</si>
  <si>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</si>
  <si>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</si>
  <si>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</si>
  <si>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</si>
  <si>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</si>
  <si>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</si>
  <si>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</si>
  <si>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</si>
  <si>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</si>
  <si>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</si>
  <si>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</si>
  <si>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</si>
  <si>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</si>
  <si>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</si>
  <si>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</si>
  <si>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</si>
  <si>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</si>
  <si>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</si>
  <si>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</si>
  <si>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</si>
  <si>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</si>
  <si>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</si>
  <si>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</si>
  <si>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</si>
  <si>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</si>
  <si>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</si>
  <si>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</si>
  <si>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</si>
  <si>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</si>
  <si>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</si>
  <si>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</si>
  <si>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</si>
  <si>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</si>
  <si>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</si>
  <si>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</si>
  <si>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</si>
  <si>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</si>
  <si>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</si>
  <si>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</si>
  <si>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</si>
  <si>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</si>
  <si>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</si>
  <si>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</si>
  <si>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</si>
  <si>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</si>
  <si>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</si>
  <si>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</si>
  <si>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</si>
  <si>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</si>
  <si>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</si>
  <si>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Benjamin SD 25</t>
  </si>
  <si>
    <t>25W250 St. Charles Road</t>
  </si>
  <si>
    <t>West Chicago</t>
  </si>
  <si>
    <t>Mathieson, Moyski, Austin &amp; Co. LLP</t>
  </si>
  <si>
    <t>Michael Moyski</t>
  </si>
  <si>
    <t>211 South Wheaton Avenue, Suite 400</t>
  </si>
  <si>
    <t>Wheaton</t>
  </si>
  <si>
    <t>IL</t>
  </si>
  <si>
    <t>630-653-1616</t>
  </si>
  <si>
    <t>630-653-1735</t>
  </si>
  <si>
    <t>Series 2012 A Limited School Bonds</t>
  </si>
  <si>
    <t>Series 2012 B Refunding Bonds</t>
  </si>
  <si>
    <t>Series 2017 Limited Bonds</t>
  </si>
  <si>
    <t>Capital Lease</t>
  </si>
  <si>
    <t>Series 2018 Limited Bonds</t>
  </si>
  <si>
    <t>Illinois Gas and Electric Cooperative</t>
  </si>
  <si>
    <t>Collective Liability Insurance Cooperative (CLIC)</t>
  </si>
  <si>
    <t>School Association Special Education District Dupage County</t>
  </si>
  <si>
    <t>Dupage County Regional Office of Education</t>
  </si>
  <si>
    <t>West Chicago Feeder Schools - Payroll/Custodial Supplies</t>
  </si>
  <si>
    <t>40-2550-300</t>
  </si>
  <si>
    <t>Comcast</t>
  </si>
  <si>
    <t>mmoyski@mmaadvisors.com</t>
  </si>
  <si>
    <t>Ed-Support Services-Purchased Services</t>
  </si>
  <si>
    <t>10-2560-300</t>
  </si>
  <si>
    <t>Geneva CUSD #304</t>
  </si>
  <si>
    <t>Netrix</t>
  </si>
  <si>
    <t>O&amp;M-Support Services-Purchased Services</t>
  </si>
  <si>
    <t>Harvard Maintenance Inc</t>
  </si>
  <si>
    <t>TR-Support Services-Purchased Services</t>
  </si>
  <si>
    <t>Illinois Central School Bus</t>
  </si>
  <si>
    <t>Sunrise Transportation</t>
  </si>
  <si>
    <t>10-2200-300</t>
  </si>
  <si>
    <t>20-2540-300</t>
  </si>
  <si>
    <t>Scariano, Himes, and Petrarca, CHTD.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</si>
</sst>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7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4" xfId="12" applyNumberFormat="1" applyFont="1" applyBorder="1" applyAlignment="1" applyProtection="1">
      <alignment horizontal="right" vertical="center"/>
    </xf>
    <xf numFmtId="0" fontId="12" fillId="0" borderId="124" xfId="12" applyFont="1" applyBorder="1" applyAlignment="1" applyProtection="1">
      <alignment vertical="center"/>
    </xf>
    <xf numFmtId="0" fontId="15" fillId="0" borderId="127" xfId="12" applyFont="1" applyBorder="1" applyAlignment="1" applyProtection="1">
      <alignment vertical="center"/>
    </xf>
    <xf numFmtId="0" fontId="15" fillId="0" borderId="125" xfId="12" applyFont="1" applyBorder="1" applyAlignment="1" applyProtection="1">
      <alignment vertical="center"/>
    </xf>
    <xf numFmtId="1" fontId="11" fillId="0" borderId="0" xfId="0" applyNumberFormat="1" applyFont="1" applyAlignment="1">
      <alignment horizontal="center" vertical="center"/>
    </xf>
    <xf numFmtId="0" fontId="12" fillId="0" borderId="134"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6" xfId="0" applyNumberFormat="1" applyFont="1" applyBorder="1" applyAlignment="1" applyProtection="1">
      <alignment horizontal="center" vertical="center"/>
    </xf>
    <xf numFmtId="38" fontId="56" fillId="0" borderId="126" xfId="0" applyNumberFormat="1" applyFont="1" applyBorder="1" applyAlignment="1" applyProtection="1">
      <alignment horizontal="right"/>
      <protection locked="0"/>
    </xf>
    <xf numFmtId="38" fontId="56" fillId="3" borderId="126"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29"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6"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6"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4"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6" xfId="0" applyFont="1" applyFill="1" applyBorder="1" applyAlignment="1">
      <alignment horizontal="center" vertical="center"/>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4"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5" xfId="0" applyNumberFormat="1" applyFont="1" applyFill="1" applyBorder="1" applyAlignment="1">
      <alignment horizontal="center" vertical="center"/>
    </xf>
    <xf numFmtId="49" fontId="63" fillId="0" borderId="126"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6"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4"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2" xfId="3" applyNumberFormat="1" applyFont="1" applyBorder="1" applyAlignment="1">
      <alignment horizontal="center" vertical="center"/>
    </xf>
    <xf numFmtId="0" fontId="58" fillId="0" borderId="132"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2"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1" xfId="0" applyFont="1" applyBorder="1"/>
    <xf numFmtId="0" fontId="56" fillId="0" borderId="13" xfId="0" applyFont="1" applyBorder="1"/>
    <xf numFmtId="0" fontId="56" fillId="0" borderId="124" xfId="0" applyFont="1" applyBorder="1" applyAlignment="1">
      <alignment horizontal="left" vertical="top"/>
    </xf>
    <xf numFmtId="164" fontId="114" fillId="0" borderId="127" xfId="0" applyNumberFormat="1" applyFont="1" applyBorder="1" applyAlignment="1">
      <alignment horizontal="right" vertical="top"/>
    </xf>
    <xf numFmtId="0" fontId="56" fillId="0" borderId="127" xfId="0" applyNumberFormat="1" applyFont="1" applyBorder="1" applyAlignment="1">
      <alignment horizontal="left" vertical="center" wrapText="1" indent="1"/>
    </xf>
    <xf numFmtId="0" fontId="86" fillId="0" borderId="126" xfId="0" applyFont="1" applyBorder="1" applyAlignment="1">
      <alignment horizontal="left" vertical="center" wrapText="1"/>
    </xf>
    <xf numFmtId="0" fontId="56" fillId="0" borderId="127" xfId="0" applyFont="1" applyBorder="1" applyAlignment="1">
      <alignment horizontal="left" vertical="top"/>
    </xf>
    <xf numFmtId="0" fontId="56" fillId="0" borderId="0" xfId="0" applyFont="1" applyBorder="1" applyAlignment="1">
      <alignment vertical="top"/>
    </xf>
    <xf numFmtId="0" fontId="116" fillId="0" borderId="127" xfId="0" applyNumberFormat="1" applyFont="1" applyBorder="1" applyAlignment="1">
      <alignment horizontal="left" vertical="center"/>
    </xf>
    <xf numFmtId="0" fontId="114" fillId="0" borderId="127" xfId="0" applyFont="1" applyBorder="1" applyAlignment="1">
      <alignment vertical="top"/>
    </xf>
    <xf numFmtId="0" fontId="114" fillId="0" borderId="127" xfId="0" applyFont="1" applyBorder="1" applyAlignment="1">
      <alignment horizontal="left" vertical="top"/>
    </xf>
    <xf numFmtId="0" fontId="56" fillId="0" borderId="124" xfId="0" applyFont="1" applyBorder="1" applyAlignment="1"/>
    <xf numFmtId="164" fontId="114" fillId="0" borderId="127" xfId="0" applyNumberFormat="1" applyFont="1" applyBorder="1" applyAlignment="1"/>
    <xf numFmtId="0" fontId="56" fillId="0" borderId="127" xfId="0" applyFont="1" applyBorder="1" applyAlignment="1"/>
    <xf numFmtId="0" fontId="63" fillId="0" borderId="125"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3"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4" xfId="0" applyFont="1" applyFill="1" applyBorder="1" applyAlignment="1"/>
    <xf numFmtId="0" fontId="55" fillId="0" borderId="127" xfId="0" applyFont="1" applyFill="1" applyBorder="1" applyAlignment="1">
      <alignment horizontal="left" vertical="top"/>
    </xf>
    <xf numFmtId="0" fontId="55" fillId="0" borderId="125"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5"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2" xfId="3" quotePrefix="1" applyNumberFormat="1" applyFont="1" applyBorder="1" applyAlignment="1" applyProtection="1">
      <alignment horizontal="left"/>
    </xf>
    <xf numFmtId="0" fontId="63" fillId="0" borderId="143" xfId="3" applyNumberFormat="1" applyFont="1" applyBorder="1" applyAlignment="1" applyProtection="1">
      <alignment horizontal="center"/>
    </xf>
    <xf numFmtId="0" fontId="63" fillId="0" borderId="143" xfId="3" applyNumberFormat="1" applyFont="1" applyBorder="1" applyProtection="1"/>
    <xf numFmtId="0" fontId="56" fillId="0" borderId="142" xfId="3" applyNumberFormat="1" applyFont="1" applyBorder="1" applyAlignment="1" applyProtection="1"/>
    <xf numFmtId="0" fontId="63" fillId="0" borderId="144" xfId="3" applyNumberFormat="1" applyFont="1" applyBorder="1" applyAlignment="1" applyProtection="1">
      <alignment horizontal="centerContinuous"/>
    </xf>
    <xf numFmtId="0" fontId="56" fillId="0" borderId="142" xfId="3" applyNumberFormat="1" applyFont="1" applyBorder="1" applyAlignment="1" applyProtection="1">
      <alignment horizontal="left"/>
    </xf>
    <xf numFmtId="0" fontId="63" fillId="0" borderId="144" xfId="3" applyNumberFormat="1" applyFont="1" applyBorder="1" applyProtection="1"/>
    <xf numFmtId="0" fontId="63" fillId="0" borderId="143"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2"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6"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3"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7"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5" xfId="3" applyFont="1" applyBorder="1" applyProtection="1"/>
    <xf numFmtId="0" fontId="56" fillId="0" borderId="146" xfId="3" applyFont="1" applyBorder="1" applyProtection="1">
      <protection locked="0"/>
    </xf>
    <xf numFmtId="0" fontId="56" fillId="0" borderId="145"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4" xfId="3" applyNumberFormat="1" applyFont="1" applyBorder="1" applyAlignment="1" applyProtection="1">
      <alignment horizontal="center"/>
    </xf>
    <xf numFmtId="0" fontId="65" fillId="0" borderId="143" xfId="3" applyFont="1" applyBorder="1" applyAlignment="1" applyProtection="1">
      <alignment horizontal="centerContinuous"/>
    </xf>
    <xf numFmtId="0" fontId="65" fillId="0" borderId="144"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4"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3" xfId="3" applyFont="1" applyBorder="1" applyProtection="1"/>
    <xf numFmtId="0" fontId="58" fillId="0" borderId="143" xfId="3" applyFont="1" applyBorder="1" applyProtection="1"/>
    <xf numFmtId="0" fontId="58" fillId="0" borderId="143"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3" xfId="3" quotePrefix="1" applyFont="1" applyBorder="1" applyAlignment="1" applyProtection="1">
      <alignment horizontal="left"/>
    </xf>
    <xf numFmtId="0" fontId="56" fillId="0" borderId="143" xfId="3" applyFont="1" applyBorder="1" applyProtection="1"/>
    <xf numFmtId="0" fontId="56" fillId="0" borderId="143"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3" xfId="3" applyFont="1" applyBorder="1" applyProtection="1"/>
    <xf numFmtId="0" fontId="58" fillId="0" borderId="0" xfId="3" applyFont="1" applyBorder="1" applyAlignment="1" applyProtection="1">
      <alignment horizontal="left"/>
    </xf>
    <xf numFmtId="0" fontId="65" fillId="0" borderId="143"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3"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8"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0" xfId="3" applyFont="1" applyBorder="1" applyAlignment="1" applyProtection="1">
      <alignment horizontal="left"/>
    </xf>
    <xf numFmtId="0" fontId="58" fillId="0" borderId="150" xfId="3" applyFont="1" applyBorder="1" applyProtection="1"/>
    <xf numFmtId="0" fontId="58" fillId="0" borderId="150"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7"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8"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6" xfId="0" applyNumberFormat="1" applyFont="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6" xfId="0" applyNumberFormat="1" applyFont="1" applyFill="1" applyBorder="1" applyAlignment="1" applyProtection="1">
      <alignment horizontal="right" vertical="center"/>
      <protection locked="0"/>
    </xf>
    <xf numFmtId="38" fontId="55" fillId="6" borderId="154" xfId="0" applyNumberFormat="1" applyFont="1" applyFill="1" applyBorder="1" applyAlignment="1">
      <alignment horizontal="center" vertical="center" wrapText="1"/>
    </xf>
    <xf numFmtId="38" fontId="55" fillId="6" borderId="154" xfId="0" applyNumberFormat="1" applyFont="1" applyFill="1" applyBorder="1" applyAlignment="1">
      <alignment horizontal="center" vertical="top" wrapText="1"/>
    </xf>
    <xf numFmtId="38" fontId="65" fillId="6" borderId="154"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39" xfId="17" applyFont="1" applyBorder="1" applyAlignment="1">
      <alignment horizontal="left" vertical="top"/>
    </xf>
    <xf numFmtId="0" fontId="127" fillId="0" borderId="140" xfId="17" applyFont="1" applyBorder="1" applyAlignment="1">
      <alignment horizontal="center" vertical="top"/>
    </xf>
    <xf numFmtId="0" fontId="127" fillId="0" borderId="141"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6" xfId="17" applyNumberFormat="1" applyFill="1" applyBorder="1" applyAlignment="1">
      <alignment horizontal="right" vertical="top"/>
    </xf>
    <xf numFmtId="38" fontId="8" fillId="22" borderId="157"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5" xfId="17" applyFont="1" applyFill="1" applyBorder="1" applyAlignment="1">
      <alignment horizontal="center" vertical="center" wrapText="1"/>
    </xf>
    <xf numFmtId="38" fontId="126" fillId="23" borderId="155" xfId="17" applyNumberFormat="1" applyFont="1" applyFill="1" applyBorder="1" applyAlignment="1">
      <alignment horizontal="center" vertical="center" wrapText="1"/>
    </xf>
    <xf numFmtId="3" fontId="56" fillId="23" borderId="130" xfId="0" applyNumberFormat="1" applyFont="1" applyFill="1" applyBorder="1" applyAlignment="1">
      <alignment horizontal="center"/>
    </xf>
    <xf numFmtId="3" fontId="56" fillId="23" borderId="130" xfId="0" applyNumberFormat="1" applyFont="1" applyFill="1" applyBorder="1" applyAlignment="1">
      <alignment horizontal="right"/>
    </xf>
    <xf numFmtId="3" fontId="56" fillId="23" borderId="131"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4"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6"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4" xfId="0" applyNumberFormat="1" applyFont="1" applyFill="1" applyBorder="1" applyAlignment="1">
      <alignment horizontal="left" vertical="center" wrapText="1"/>
    </xf>
    <xf numFmtId="49" fontId="65" fillId="17" borderId="126"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4"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6" xfId="0" applyFont="1" applyFill="1" applyBorder="1" applyAlignment="1">
      <alignment horizontal="left" vertical="center" wrapText="1"/>
    </xf>
    <xf numFmtId="3" fontId="65" fillId="17" borderId="126"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8" xfId="0" applyFont="1" applyBorder="1" applyAlignment="1">
      <alignment horizontal="centerContinuous" vertical="center"/>
    </xf>
    <xf numFmtId="0" fontId="56" fillId="0" borderId="159" xfId="0" applyFont="1" applyBorder="1" applyAlignment="1">
      <alignment horizontal="centerContinuous" vertical="center"/>
    </xf>
    <xf numFmtId="0" fontId="58" fillId="0" borderId="159"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6" xfId="17" applyFont="1" applyFill="1" applyBorder="1" applyAlignment="1" applyProtection="1">
      <alignment horizontal="left" vertical="top" wrapText="1"/>
    </xf>
    <xf numFmtId="49" fontId="128" fillId="20" borderId="156" xfId="17" applyNumberFormat="1" applyFont="1" applyFill="1" applyBorder="1" applyAlignment="1" applyProtection="1">
      <alignment horizontal="center" vertical="top"/>
    </xf>
    <xf numFmtId="0" fontId="128" fillId="20" borderId="156" xfId="17" applyFont="1" applyFill="1" applyBorder="1" applyAlignment="1" applyProtection="1">
      <alignment vertical="top"/>
    </xf>
    <xf numFmtId="38" fontId="128" fillId="20" borderId="156" xfId="17" applyNumberFormat="1" applyFont="1" applyFill="1" applyBorder="1" applyAlignment="1" applyProtection="1">
      <alignment horizontal="right" vertical="top"/>
    </xf>
    <xf numFmtId="38" fontId="128" fillId="20" borderId="156" xfId="17" applyNumberFormat="1" applyFont="1" applyFill="1" applyBorder="1" applyAlignment="1" applyProtection="1">
      <alignment vertical="top"/>
    </xf>
    <xf numFmtId="0" fontId="8" fillId="0" borderId="156" xfId="17" applyBorder="1" applyAlignment="1" applyProtection="1">
      <alignment horizontal="left" vertical="top" wrapText="1"/>
      <protection locked="0"/>
    </xf>
    <xf numFmtId="0" fontId="8" fillId="0" borderId="156" xfId="17" applyBorder="1" applyAlignment="1" applyProtection="1">
      <alignment vertical="top"/>
      <protection locked="0"/>
    </xf>
    <xf numFmtId="0" fontId="7" fillId="0" borderId="156" xfId="17" applyFont="1" applyBorder="1" applyAlignment="1" applyProtection="1">
      <alignment horizontal="left" vertical="top" wrapText="1"/>
      <protection locked="0"/>
    </xf>
    <xf numFmtId="0" fontId="7" fillId="0" borderId="156"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6" xfId="17" applyNumberFormat="1" applyBorder="1" applyAlignment="1" applyProtection="1">
      <alignment horizontal="center" vertical="center"/>
      <protection locked="0"/>
    </xf>
    <xf numFmtId="49" fontId="6" fillId="0" borderId="156"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6"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6"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6" xfId="17" applyNumberFormat="1" applyFill="1" applyBorder="1" applyAlignment="1" applyProtection="1">
      <alignment vertical="top"/>
    </xf>
    <xf numFmtId="38" fontId="8" fillId="16" borderId="157" xfId="17" applyNumberFormat="1" applyFill="1" applyBorder="1" applyAlignment="1" applyProtection="1">
      <alignment horizontal="right" vertical="top"/>
    </xf>
    <xf numFmtId="38" fontId="8" fillId="16" borderId="157" xfId="17" applyNumberFormat="1" applyFill="1" applyBorder="1" applyAlignment="1" applyProtection="1">
      <alignment vertical="top"/>
    </xf>
    <xf numFmtId="0" fontId="8" fillId="16" borderId="157" xfId="17" applyFill="1" applyBorder="1" applyAlignment="1" applyProtection="1">
      <alignment horizontal="left" vertical="top" wrapText="1"/>
    </xf>
    <xf numFmtId="49" fontId="8" fillId="16" borderId="157" xfId="17" applyNumberFormat="1" applyFill="1" applyBorder="1" applyAlignment="1" applyProtection="1">
      <alignment vertical="top"/>
    </xf>
    <xf numFmtId="0" fontId="8" fillId="16" borderId="157" xfId="17" applyFill="1" applyBorder="1" applyAlignment="1" applyProtection="1">
      <alignment vertical="top"/>
    </xf>
    <xf numFmtId="0" fontId="56" fillId="16" borderId="125" xfId="0" applyFont="1" applyFill="1" applyBorder="1"/>
    <xf numFmtId="37" fontId="56" fillId="16" borderId="125" xfId="0" applyNumberFormat="1" applyFont="1" applyFill="1" applyBorder="1"/>
    <xf numFmtId="37" fontId="56" fillId="16" borderId="127"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6"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6"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0"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6"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6"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1"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3"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8" xfId="18" applyFont="1" applyBorder="1" applyAlignment="1">
      <alignment horizontal="left" vertical="center" wrapText="1"/>
    </xf>
    <xf numFmtId="0" fontId="105" fillId="0" borderId="159"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1"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39" xfId="18" applyFont="1" applyBorder="1" applyAlignment="1">
      <alignment vertical="top"/>
    </xf>
    <xf numFmtId="0" fontId="49" fillId="0" borderId="140" xfId="18" applyFont="1" applyBorder="1" applyAlignment="1">
      <alignment vertical="top"/>
    </xf>
    <xf numFmtId="0" fontId="50" fillId="15" borderId="76" xfId="18" applyFont="1" applyFill="1" applyBorder="1" applyAlignment="1">
      <alignment vertical="top"/>
    </xf>
    <xf numFmtId="0" fontId="49" fillId="0" borderId="139" xfId="18" applyFont="1" applyBorder="1" applyAlignment="1">
      <alignment vertical="top" wrapText="1"/>
    </xf>
    <xf numFmtId="0" fontId="49" fillId="0" borderId="140"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7" xfId="18" applyFont="1" applyFill="1" applyBorder="1" applyAlignment="1">
      <alignment horizontal="center" vertical="center" wrapText="1"/>
    </xf>
    <xf numFmtId="0" fontId="105" fillId="23" borderId="162" xfId="18" applyFont="1" applyFill="1" applyBorder="1" applyAlignment="1">
      <alignment horizontal="center" vertical="center" wrapText="1"/>
    </xf>
    <xf numFmtId="0" fontId="105" fillId="17" borderId="138"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8"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6"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6"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6" xfId="17" applyNumberFormat="1" applyFont="1" applyFill="1" applyBorder="1" applyAlignment="1" applyProtection="1">
      <alignment horizontal="right" vertical="top"/>
    </xf>
    <xf numFmtId="38" fontId="4" fillId="16" borderId="157" xfId="17" applyNumberFormat="1" applyFont="1" applyFill="1" applyBorder="1" applyAlignment="1" applyProtection="1">
      <alignment horizontal="right" vertical="top"/>
    </xf>
    <xf numFmtId="49" fontId="4" fillId="0" borderId="156" xfId="17" applyNumberFormat="1" applyFont="1" applyBorder="1" applyAlignment="1" applyProtection="1">
      <alignment horizontal="center" vertical="top"/>
      <protection locked="0"/>
    </xf>
    <xf numFmtId="49" fontId="4" fillId="0" borderId="156"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49" fontId="3"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horizontal="left" vertical="top" wrapText="1"/>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49" fontId="1" fillId="0" borderId="156" xfId="17" applyNumberFormat="1" applyFont="1" applyBorder="1" applyAlignment="1" applyProtection="1">
      <alignment horizontal="center" vertical="top"/>
      <protection locked="0"/>
    </xf>
    <xf numFmtId="0" fontId="1" fillId="0" borderId="156" xfId="17" applyFont="1" applyBorder="1" applyAlignment="1" applyProtection="1">
      <alignment horizontal="left" vertical="top" wrapText="1"/>
      <protection locked="0"/>
    </xf>
    <xf numFmtId="0" fontId="1" fillId="0" borderId="156" xfId="17" applyFont="1" applyBorder="1" applyAlignment="1" applyProtection="1">
      <alignment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4"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5"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5" fillId="0" borderId="133"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5"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5"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0"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5"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3" borderId="146" xfId="0" applyFont="1" applyFill="1" applyBorder="1" applyAlignment="1" applyProtection="1">
      <alignment horizontal="left" vertical="center"/>
    </xf>
    <xf numFmtId="0" fontId="65" fillId="3" borderId="147"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6" xfId="0" applyFont="1" applyBorder="1" applyAlignment="1" applyProtection="1">
      <alignment horizontal="left" vertical="center" wrapText="1" indent="1"/>
    </xf>
    <xf numFmtId="0" fontId="63" fillId="0" borderId="147"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5" xfId="0" applyFont="1" applyFill="1" applyBorder="1" applyAlignment="1" applyProtection="1">
      <alignment horizontal="left" vertical="center"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39" xfId="17" applyFont="1" applyFill="1" applyBorder="1" applyAlignment="1">
      <alignment horizontal="center" vertical="center"/>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6"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0" xfId="18" applyFont="1" applyBorder="1" applyAlignment="1" applyProtection="1">
      <alignment horizontal="center" vertical="top" wrapText="1"/>
      <protection locked="0"/>
    </xf>
    <xf numFmtId="0" fontId="5" fillId="0" borderId="141"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0" xfId="18" applyFont="1" applyBorder="1" applyAlignment="1" applyProtection="1">
      <alignment horizontal="center" vertical="top" wrapText="1"/>
      <protection locked="0"/>
    </xf>
    <xf numFmtId="0" fontId="50" fillId="0" borderId="141"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2" xfId="3" applyFont="1" applyBorder="1" applyAlignment="1">
      <alignment horizontal="center" vertical="center" wrapText="1"/>
    </xf>
    <xf numFmtId="0" fontId="74" fillId="0" borderId="132" xfId="3" applyNumberFormat="1" applyFont="1" applyBorder="1" applyAlignment="1">
      <alignment horizontal="center"/>
    </xf>
    <xf numFmtId="0" fontId="58" fillId="0" borderId="133" xfId="3" applyNumberFormat="1" applyFont="1" applyBorder="1" applyAlignment="1" applyProtection="1">
      <alignment horizontal="center"/>
      <protection locked="0"/>
    </xf>
    <xf numFmtId="171" fontId="58" fillId="0" borderId="133" xfId="3" applyNumberFormat="1" applyFont="1" applyBorder="1" applyAlignment="1" applyProtection="1">
      <alignment horizontal="center"/>
      <protection locked="0"/>
    </xf>
    <xf numFmtId="0" fontId="58" fillId="0" borderId="133"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4" xfId="0" applyFont="1" applyFill="1" applyBorder="1" applyAlignment="1">
      <alignment horizontal="center" vertical="center"/>
    </xf>
    <xf numFmtId="0" fontId="113" fillId="12" borderId="127" xfId="0" applyFont="1" applyFill="1" applyBorder="1" applyAlignment="1">
      <alignment horizontal="center" vertical="center"/>
    </xf>
    <xf numFmtId="0" fontId="113" fillId="12" borderId="152"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4" xfId="0" applyNumberFormat="1" applyFont="1" applyFill="1" applyBorder="1" applyAlignment="1">
      <alignment horizontal="center" vertical="top"/>
    </xf>
    <xf numFmtId="164" fontId="114" fillId="12" borderId="127" xfId="0" applyNumberFormat="1" applyFont="1" applyFill="1" applyBorder="1" applyAlignment="1">
      <alignment horizontal="center" vertical="top"/>
    </xf>
    <xf numFmtId="164" fontId="114" fillId="12" borderId="152"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7" xfId="0" applyNumberFormat="1" applyFont="1" applyBorder="1" applyAlignment="1">
      <alignment horizontal="left" vertical="center" wrapText="1"/>
    </xf>
    <xf numFmtId="0" fontId="58" fillId="0" borderId="125"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5" xfId="3" applyNumberFormat="1" applyFont="1" applyBorder="1" applyProtection="1"/>
    <xf numFmtId="0" fontId="56" fillId="0" borderId="146"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6" xfId="3" applyNumberFormat="1"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8" xfId="3" applyNumberFormat="1" applyFont="1" applyBorder="1" applyAlignment="1" applyProtection="1">
      <protection locked="0"/>
    </xf>
    <xf numFmtId="0" fontId="66" fillId="0" borderId="149"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8"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9"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8" xfId="3" applyNumberFormat="1" applyFont="1" applyBorder="1" applyProtection="1">
      <protection locked="0"/>
    </xf>
    <xf numFmtId="6" fontId="63" fillId="0" borderId="149"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8"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9"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8" xfId="3" applyFont="1" applyBorder="1" applyAlignment="1" applyProtection="1">
      <alignment horizontal="center"/>
    </xf>
    <xf numFmtId="0" fontId="63" fillId="0" borderId="76" xfId="3" applyFont="1" applyBorder="1" applyAlignment="1" applyProtection="1">
      <alignment horizontal="center"/>
    </xf>
    <xf numFmtId="0" fontId="63" fillId="0" borderId="149" xfId="3" applyFont="1" applyBorder="1" applyAlignment="1" applyProtection="1">
      <alignment horizontal="center"/>
    </xf>
    <xf numFmtId="38" fontId="63" fillId="0" borderId="148"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9"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3"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3</xdr:row>
          <xdr:rowOff>9525</xdr:rowOff>
        </xdr:from>
        <xdr:to>
          <xdr:col>1</xdr:col>
          <xdr:colOff>1952625</xdr:colOff>
          <xdr:row>7</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2105025</xdr:colOff>
          <xdr:row>3</xdr:row>
          <xdr:rowOff>19050</xdr:rowOff>
        </xdr:from>
        <xdr:to>
          <xdr:col>1</xdr:col>
          <xdr:colOff>3019425</xdr:colOff>
          <xdr:row>7</xdr:row>
          <xdr:rowOff>57150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3209925</xdr:colOff>
          <xdr:row>3</xdr:row>
          <xdr:rowOff>19050</xdr:rowOff>
        </xdr:from>
        <xdr:to>
          <xdr:col>2</xdr:col>
          <xdr:colOff>142875</xdr:colOff>
          <xdr:row>7</xdr:row>
          <xdr:rowOff>57150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6" t="s">
        <v>405</v>
      </c>
      <c r="J1" s="2007"/>
      <c r="K1" s="2007"/>
      <c r="L1" s="2007"/>
      <c r="M1" s="2007"/>
      <c r="N1" s="2007"/>
      <c r="O1" s="2007"/>
      <c r="P1" s="2007"/>
      <c r="Q1" s="2007"/>
      <c r="R1" s="2007"/>
      <c r="S1" s="2007"/>
    </row>
    <row r="2" spans="1:28" ht="12" customHeight="1" x14ac:dyDescent="0.2">
      <c r="A2" s="47" t="s">
        <v>1993</v>
      </c>
      <c r="D2" s="48"/>
      <c r="I2" s="2008" t="s">
        <v>979</v>
      </c>
      <c r="J2" s="2007"/>
      <c r="K2" s="2007"/>
      <c r="L2" s="2007"/>
      <c r="M2" s="2007"/>
      <c r="N2" s="2007"/>
      <c r="O2" s="2007"/>
      <c r="P2" s="2007"/>
      <c r="Q2" s="2007"/>
      <c r="R2" s="2007"/>
      <c r="S2" s="2007"/>
    </row>
    <row r="3" spans="1:28" ht="12" customHeight="1" x14ac:dyDescent="0.2">
      <c r="A3" s="155" t="s">
        <v>1945</v>
      </c>
      <c r="B3" s="156"/>
      <c r="C3" s="156"/>
      <c r="D3" s="157"/>
      <c r="I3" s="2008" t="s">
        <v>52</v>
      </c>
      <c r="J3" s="2007"/>
      <c r="K3" s="2007"/>
      <c r="L3" s="2007"/>
      <c r="M3" s="2007"/>
      <c r="N3" s="2007"/>
      <c r="O3" s="2007"/>
      <c r="P3" s="2007"/>
      <c r="Q3" s="2007"/>
      <c r="R3" s="2007"/>
      <c r="S3" s="2007"/>
    </row>
    <row r="4" spans="1:28" ht="12" customHeight="1" x14ac:dyDescent="0.2">
      <c r="A4" s="37"/>
      <c r="I4" s="2008" t="s">
        <v>524</v>
      </c>
      <c r="J4" s="2007"/>
      <c r="K4" s="2007"/>
      <c r="L4" s="2007"/>
      <c r="M4" s="2007"/>
      <c r="N4" s="2007"/>
      <c r="O4" s="2007"/>
      <c r="P4" s="2007"/>
      <c r="Q4" s="2007"/>
      <c r="R4" s="2007"/>
      <c r="S4" s="2007"/>
    </row>
    <row r="5" spans="1:28" ht="14.1" customHeight="1" x14ac:dyDescent="0.2">
      <c r="B5" s="104" t="s">
        <v>2064</v>
      </c>
      <c r="C5" s="26" t="s">
        <v>910</v>
      </c>
      <c r="D5" s="84"/>
      <c r="E5" s="84"/>
      <c r="H5" s="38"/>
      <c r="I5" s="2015" t="s">
        <v>680</v>
      </c>
      <c r="J5" s="1960"/>
      <c r="K5" s="1960"/>
      <c r="L5" s="1960"/>
      <c r="M5" s="1960"/>
      <c r="N5" s="1960"/>
      <c r="O5" s="1960"/>
      <c r="P5" s="1960"/>
      <c r="Q5" s="1960"/>
      <c r="R5" s="1960"/>
      <c r="S5" s="1960"/>
    </row>
    <row r="6" spans="1:28" ht="14.1" customHeight="1" x14ac:dyDescent="0.2">
      <c r="B6" s="104"/>
      <c r="C6" s="26" t="s">
        <v>911</v>
      </c>
      <c r="D6" s="84"/>
      <c r="E6" s="84"/>
      <c r="I6" s="2014" t="s">
        <v>883</v>
      </c>
      <c r="J6" s="1960"/>
      <c r="K6" s="1960"/>
      <c r="L6" s="1960"/>
      <c r="M6" s="1960"/>
      <c r="N6" s="1960"/>
      <c r="O6" s="1960"/>
      <c r="P6" s="1960"/>
      <c r="Q6" s="1960"/>
      <c r="R6" s="1960"/>
      <c r="S6" s="1960"/>
    </row>
    <row r="7" spans="1:28" ht="12.2" customHeight="1" x14ac:dyDescent="0.2">
      <c r="I7" s="2009">
        <v>43646</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674</v>
      </c>
      <c r="J9" s="2012"/>
      <c r="K9" s="2012"/>
      <c r="L9" s="2012"/>
      <c r="M9" s="2012"/>
      <c r="N9" s="2012"/>
      <c r="O9" s="2012"/>
      <c r="P9" s="2012"/>
      <c r="Q9" s="2012"/>
      <c r="R9" s="2012"/>
      <c r="S9" s="2013"/>
      <c r="T9" s="1956" t="s">
        <v>533</v>
      </c>
      <c r="U9" s="1957"/>
      <c r="V9" s="1957"/>
      <c r="W9" s="1957"/>
      <c r="X9" s="1957"/>
      <c r="Y9" s="1957"/>
      <c r="Z9" s="1957"/>
      <c r="AA9" s="1958"/>
    </row>
    <row r="10" spans="1:28" ht="13.5" customHeight="1" x14ac:dyDescent="0.2">
      <c r="A10" s="1965" t="s">
        <v>675</v>
      </c>
      <c r="B10" s="1966"/>
      <c r="C10" s="1966"/>
      <c r="D10" s="1966"/>
      <c r="E10" s="1966"/>
      <c r="F10" s="1966"/>
      <c r="G10" s="1966"/>
      <c r="H10" s="1967"/>
      <c r="I10" s="29"/>
      <c r="J10" s="30"/>
      <c r="K10" s="28"/>
      <c r="R10" s="30"/>
      <c r="S10" s="30"/>
      <c r="T10" s="1959"/>
      <c r="U10" s="1960"/>
      <c r="V10" s="1960"/>
      <c r="W10" s="1960"/>
      <c r="X10" s="1960"/>
      <c r="Y10" s="1960"/>
      <c r="Z10" s="1960"/>
      <c r="AA10" s="1961"/>
    </row>
    <row r="11" spans="1:28" ht="14.25" customHeight="1" x14ac:dyDescent="0.2">
      <c r="A11" s="1968" t="s">
        <v>955</v>
      </c>
      <c r="B11" s="1969"/>
      <c r="C11" s="1969"/>
      <c r="D11" s="1969"/>
      <c r="E11" s="1969"/>
      <c r="F11" s="1969"/>
      <c r="G11" s="1969"/>
      <c r="H11" s="1970"/>
      <c r="I11" s="27"/>
      <c r="J11" s="74"/>
      <c r="K11" s="27"/>
      <c r="O11" s="148" t="s">
        <v>2064</v>
      </c>
      <c r="P11" s="100" t="s">
        <v>201</v>
      </c>
      <c r="Q11" s="30"/>
      <c r="R11" s="28"/>
      <c r="S11" s="27"/>
      <c r="T11" s="1962"/>
      <c r="U11" s="1963"/>
      <c r="V11" s="1963"/>
      <c r="W11" s="1963"/>
      <c r="X11" s="1963"/>
      <c r="Y11" s="1963"/>
      <c r="Z11" s="1963"/>
      <c r="AA11" s="196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76">
        <v>19022025002</v>
      </c>
      <c r="B13" s="1977"/>
      <c r="C13" s="1977"/>
      <c r="D13" s="1977"/>
      <c r="E13" s="1977"/>
      <c r="F13" s="1977"/>
      <c r="G13" s="1977"/>
      <c r="H13" s="1978"/>
      <c r="I13" s="31"/>
      <c r="J13" s="30"/>
      <c r="K13" s="28"/>
      <c r="L13" s="30"/>
      <c r="M13" s="30"/>
      <c r="N13" s="30"/>
      <c r="O13" s="30"/>
      <c r="P13" s="30"/>
      <c r="Q13" s="30"/>
      <c r="R13" s="30"/>
      <c r="S13" s="30"/>
      <c r="T13" s="1981" t="s">
        <v>2069</v>
      </c>
      <c r="U13" s="1982"/>
      <c r="V13" s="1982"/>
      <c r="W13" s="1982"/>
      <c r="X13" s="1982"/>
      <c r="Y13" s="1983"/>
      <c r="Z13" s="1983"/>
      <c r="AA13" s="198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4" t="s">
        <v>2065</v>
      </c>
      <c r="B15" s="1979"/>
      <c r="C15" s="1979"/>
      <c r="D15" s="1979"/>
      <c r="E15" s="1979"/>
      <c r="F15" s="1979"/>
      <c r="G15" s="1979"/>
      <c r="H15" s="1980"/>
      <c r="T15" s="1942" t="s">
        <v>2070</v>
      </c>
      <c r="U15" s="1943"/>
      <c r="V15" s="1943"/>
      <c r="W15" s="1943"/>
      <c r="X15" s="1943"/>
      <c r="Y15" s="1985"/>
      <c r="Z15" s="1985"/>
      <c r="AA15" s="1986"/>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4" t="s">
        <v>2066</v>
      </c>
      <c r="B17" s="2004"/>
      <c r="C17" s="2004"/>
      <c r="D17" s="2004"/>
      <c r="E17" s="2004"/>
      <c r="F17" s="2004"/>
      <c r="G17" s="2004"/>
      <c r="H17" s="2005"/>
      <c r="T17" s="1991" t="s">
        <v>2071</v>
      </c>
      <c r="U17" s="1992"/>
      <c r="V17" s="1992"/>
      <c r="W17" s="1992"/>
      <c r="X17" s="1992"/>
      <c r="Y17" s="1992"/>
      <c r="Z17" s="1992"/>
      <c r="AA17" s="1993"/>
    </row>
    <row r="18" spans="1:27" ht="13.5" customHeight="1" x14ac:dyDescent="0.2">
      <c r="A18" s="85" t="s">
        <v>530</v>
      </c>
      <c r="B18" s="76"/>
      <c r="C18" s="72"/>
      <c r="D18" s="76"/>
      <c r="E18" s="76"/>
      <c r="F18" s="76"/>
      <c r="G18" s="76"/>
      <c r="H18" s="56"/>
      <c r="I18" s="2001" t="s">
        <v>676</v>
      </c>
      <c r="J18" s="2002"/>
      <c r="K18" s="2002"/>
      <c r="L18" s="2002"/>
      <c r="M18" s="2002"/>
      <c r="N18" s="2002"/>
      <c r="O18" s="2002"/>
      <c r="P18" s="2002"/>
      <c r="Q18" s="2002"/>
      <c r="R18" s="2002"/>
      <c r="S18" s="2003"/>
      <c r="T18" s="85" t="s">
        <v>711</v>
      </c>
      <c r="U18" s="51"/>
      <c r="V18" s="72"/>
      <c r="W18" s="50"/>
      <c r="X18" s="85" t="s">
        <v>266</v>
      </c>
      <c r="Y18" s="81"/>
      <c r="Z18" s="159" t="s">
        <v>677</v>
      </c>
      <c r="AA18" s="46"/>
    </row>
    <row r="19" spans="1:27" ht="13.5" customHeight="1" x14ac:dyDescent="0.2">
      <c r="A19" s="1974" t="s">
        <v>2067</v>
      </c>
      <c r="B19" s="1975"/>
      <c r="C19" s="1975"/>
      <c r="D19" s="1975"/>
      <c r="E19" s="1975"/>
      <c r="F19" s="1975"/>
      <c r="G19" s="1975"/>
      <c r="H19" s="1973"/>
      <c r="I19" s="30"/>
      <c r="J19" s="99"/>
      <c r="K19" s="40"/>
      <c r="L19" s="38"/>
      <c r="M19" s="112" t="s">
        <v>315</v>
      </c>
      <c r="P19" s="27"/>
      <c r="Q19" s="27"/>
      <c r="R19" s="27"/>
      <c r="S19" s="31"/>
      <c r="T19" s="1974" t="s">
        <v>2072</v>
      </c>
      <c r="U19" s="1972"/>
      <c r="V19" s="1972"/>
      <c r="W19" s="1973"/>
      <c r="X19" s="1989" t="s">
        <v>2073</v>
      </c>
      <c r="Y19" s="1990"/>
      <c r="Z19" s="1987">
        <v>60187</v>
      </c>
      <c r="AA19" s="1988"/>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1" t="s">
        <v>2068</v>
      </c>
      <c r="B21" s="1972"/>
      <c r="C21" s="1972"/>
      <c r="D21" s="1972"/>
      <c r="E21" s="1972"/>
      <c r="F21" s="1972"/>
      <c r="G21" s="1972"/>
      <c r="H21" s="1973"/>
      <c r="I21" s="1997" t="s">
        <v>678</v>
      </c>
      <c r="J21" s="1960"/>
      <c r="K21" s="1960"/>
      <c r="L21" s="1960"/>
      <c r="M21" s="1960"/>
      <c r="N21" s="1960"/>
      <c r="O21" s="1960"/>
      <c r="P21" s="1960"/>
      <c r="Q21" s="1960"/>
      <c r="R21" s="1960"/>
      <c r="S21" s="1961"/>
      <c r="T21" s="1939" t="s">
        <v>2074</v>
      </c>
      <c r="U21" s="1940"/>
      <c r="V21" s="1940"/>
      <c r="W21" s="1940"/>
      <c r="X21" s="1953" t="s">
        <v>2075</v>
      </c>
      <c r="Y21" s="1954"/>
      <c r="Z21" s="1954"/>
      <c r="AA21" s="1955"/>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4"/>
      <c r="B23" s="1995"/>
      <c r="C23" s="1995"/>
      <c r="D23" s="1995"/>
      <c r="E23" s="1995"/>
      <c r="F23" s="1995"/>
      <c r="G23" s="1995"/>
      <c r="H23" s="1996"/>
      <c r="T23" s="1934">
        <v>66003412</v>
      </c>
      <c r="U23" s="1935"/>
      <c r="V23" s="1935"/>
      <c r="W23" s="1935"/>
      <c r="X23" s="1950">
        <v>44530</v>
      </c>
      <c r="Y23" s="1951"/>
      <c r="Z23" s="1951"/>
      <c r="AA23" s="1952"/>
    </row>
    <row r="24" spans="1:27" ht="14.1" customHeight="1" x14ac:dyDescent="0.2">
      <c r="A24" s="88" t="s">
        <v>677</v>
      </c>
      <c r="B24" s="49"/>
      <c r="C24" s="49"/>
      <c r="D24" s="49"/>
      <c r="E24" s="49"/>
      <c r="F24" s="49"/>
      <c r="G24" s="49"/>
      <c r="H24" s="61"/>
      <c r="J24" s="2036">
        <f>IF(B5="x",IF(AUDITCHECK!D29="AFR form Incomplete.","",IF(AUDITCHECK!D29="Deficit reduction plan is required.","School District must complete a deficit reduction plan in the 2019-2020 Budget",)),"")</f>
        <v>0</v>
      </c>
      <c r="K24" s="2036"/>
      <c r="L24" s="2036"/>
      <c r="M24" s="2036"/>
      <c r="N24" s="2036"/>
      <c r="O24" s="2036"/>
      <c r="P24" s="2036"/>
      <c r="Q24" s="2036"/>
      <c r="R24" s="2036"/>
      <c r="S24" s="2037"/>
      <c r="T24" s="105" t="s">
        <v>531</v>
      </c>
      <c r="U24" s="106"/>
      <c r="V24" s="106"/>
      <c r="W24" s="106"/>
      <c r="X24" s="107"/>
      <c r="Y24" s="107"/>
      <c r="Z24" s="107"/>
      <c r="AA24" s="108"/>
    </row>
    <row r="25" spans="1:27" ht="14.1" customHeight="1" x14ac:dyDescent="0.2">
      <c r="A25" s="1971">
        <v>60185</v>
      </c>
      <c r="B25" s="1972"/>
      <c r="C25" s="1972"/>
      <c r="D25" s="1972"/>
      <c r="E25" s="1972"/>
      <c r="F25" s="1972"/>
      <c r="G25" s="1972"/>
      <c r="H25" s="1973"/>
      <c r="I25" s="113"/>
      <c r="J25" s="2038"/>
      <c r="K25" s="2038"/>
      <c r="L25" s="2038"/>
      <c r="M25" s="2038"/>
      <c r="N25" s="2038"/>
      <c r="O25" s="2038"/>
      <c r="P25" s="2038"/>
      <c r="Q25" s="2038"/>
      <c r="R25" s="2038"/>
      <c r="S25" s="2039"/>
      <c r="T25" s="1931" t="s">
        <v>2088</v>
      </c>
      <c r="U25" s="1932"/>
      <c r="V25" s="1932"/>
      <c r="W25" s="1932"/>
      <c r="X25" s="1932"/>
      <c r="Y25" s="1932"/>
      <c r="Z25" s="1932"/>
      <c r="AA25" s="19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9" t="s">
        <v>1511</v>
      </c>
      <c r="J27" s="2002"/>
      <c r="K27" s="2002"/>
      <c r="L27" s="2002"/>
      <c r="M27" s="2002"/>
      <c r="N27" s="2002"/>
      <c r="O27" s="2002"/>
      <c r="P27" s="2002"/>
      <c r="Q27" s="2002"/>
      <c r="R27" s="2002"/>
      <c r="S27" s="200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5"/>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4"/>
      <c r="B38" s="2004"/>
      <c r="C38" s="2004"/>
      <c r="D38" s="2004"/>
      <c r="E38" s="2004"/>
      <c r="F38" s="1972"/>
      <c r="G38" s="1972"/>
      <c r="H38" s="1973"/>
      <c r="I38" s="2023"/>
      <c r="J38" s="1943"/>
      <c r="K38" s="1943"/>
      <c r="L38" s="1943"/>
      <c r="M38" s="1943"/>
      <c r="N38" s="1943"/>
      <c r="O38" s="1943"/>
      <c r="P38" s="1944"/>
      <c r="Q38" s="1944"/>
      <c r="R38" s="1944"/>
      <c r="S38" s="1945"/>
      <c r="T38" s="1942"/>
      <c r="U38" s="1943"/>
      <c r="V38" s="1943"/>
      <c r="W38" s="1943"/>
      <c r="X38" s="1944"/>
      <c r="Y38" s="1944"/>
      <c r="Z38" s="1944"/>
      <c r="AA38" s="1945"/>
    </row>
    <row r="39" spans="1:27" ht="12" customHeight="1" x14ac:dyDescent="0.2">
      <c r="A39" s="2027" t="s">
        <v>531</v>
      </c>
      <c r="B39" s="2028"/>
      <c r="C39" s="72"/>
      <c r="D39" s="69"/>
      <c r="E39" s="69"/>
      <c r="F39" s="79"/>
      <c r="G39" s="69"/>
      <c r="H39" s="56"/>
      <c r="I39" s="2027" t="s">
        <v>531</v>
      </c>
      <c r="J39" s="2028"/>
      <c r="K39" s="2028"/>
      <c r="L39" s="2028"/>
      <c r="M39" s="2028"/>
      <c r="N39" s="67"/>
      <c r="O39" s="72"/>
      <c r="P39" s="72"/>
      <c r="Q39" s="78"/>
      <c r="R39" s="72"/>
      <c r="S39" s="56"/>
      <c r="T39" s="72" t="s">
        <v>531</v>
      </c>
      <c r="U39" s="51"/>
      <c r="V39" s="72"/>
      <c r="W39" s="50"/>
      <c r="X39" s="78"/>
      <c r="Y39" s="45"/>
      <c r="Z39" s="45"/>
      <c r="AA39" s="46"/>
    </row>
    <row r="40" spans="1:27" ht="13.5" customHeight="1" x14ac:dyDescent="0.2">
      <c r="A40" s="2030"/>
      <c r="B40" s="2031"/>
      <c r="C40" s="2032"/>
      <c r="D40" s="2032"/>
      <c r="E40" s="2032"/>
      <c r="F40" s="2033"/>
      <c r="G40" s="2033"/>
      <c r="H40" s="2034"/>
      <c r="I40" s="1946"/>
      <c r="J40" s="1948"/>
      <c r="K40" s="1948"/>
      <c r="L40" s="1948"/>
      <c r="M40" s="1948"/>
      <c r="N40" s="1948"/>
      <c r="O40" s="1948"/>
      <c r="P40" s="1948"/>
      <c r="Q40" s="1948"/>
      <c r="R40" s="1948"/>
      <c r="S40" s="1949"/>
      <c r="T40" s="1946"/>
      <c r="U40" s="1947"/>
      <c r="V40" s="1948"/>
      <c r="W40" s="1948"/>
      <c r="X40" s="1948"/>
      <c r="Y40" s="1948"/>
      <c r="Z40" s="1948"/>
      <c r="AA40" s="194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0"/>
      <c r="B42" s="2021"/>
      <c r="C42" s="2022"/>
      <c r="D42" s="2035"/>
      <c r="E42" s="2021"/>
      <c r="F42" s="2021"/>
      <c r="G42" s="2021"/>
      <c r="H42" s="2022"/>
      <c r="I42" s="1941"/>
      <c r="J42" s="1937"/>
      <c r="K42" s="1937"/>
      <c r="L42" s="1937"/>
      <c r="M42" s="1937"/>
      <c r="N42" s="1937"/>
      <c r="O42" s="1938"/>
      <c r="P42" s="1936"/>
      <c r="Q42" s="1937"/>
      <c r="R42" s="1937"/>
      <c r="S42" s="1938"/>
      <c r="T42" s="1941"/>
      <c r="U42" s="1937"/>
      <c r="V42" s="1937"/>
      <c r="W42" s="1938"/>
      <c r="X42" s="1936"/>
      <c r="Y42" s="1937"/>
      <c r="Z42" s="1937"/>
      <c r="AA42" s="193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4"/>
      <c r="B44" s="2025"/>
      <c r="C44" s="2025"/>
      <c r="D44" s="2025"/>
      <c r="E44" s="2025"/>
      <c r="F44" s="2025"/>
      <c r="G44" s="2025"/>
      <c r="H44" s="2026"/>
      <c r="I44" s="2016"/>
      <c r="J44" s="2018"/>
      <c r="K44" s="2018"/>
      <c r="L44" s="2018"/>
      <c r="M44" s="2018"/>
      <c r="N44" s="2018"/>
      <c r="O44" s="2018"/>
      <c r="P44" s="2018"/>
      <c r="Q44" s="2018"/>
      <c r="R44" s="2018"/>
      <c r="S44" s="2019"/>
      <c r="T44" s="2016"/>
      <c r="U44" s="2017"/>
      <c r="V44" s="2017"/>
      <c r="W44" s="2017"/>
      <c r="X44" s="2017"/>
      <c r="Y44" s="2017"/>
      <c r="Z44" s="2018"/>
      <c r="AA44" s="201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F36"/>
  <sheetViews>
    <sheetView showGridLines="0" defaultGridColor="0" colorId="8" zoomScale="110" zoomScaleNormal="110" workbookViewId="0">
      <selection activeCell="B11" sqref="B11"/>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73" t="s">
        <v>1802</v>
      </c>
      <c r="B2" s="1515" t="s">
        <v>1951</v>
      </c>
      <c r="C2" s="701" t="s">
        <v>1952</v>
      </c>
      <c r="D2" s="701" t="s">
        <v>1953</v>
      </c>
      <c r="E2" s="701" t="s">
        <v>1954</v>
      </c>
      <c r="F2" s="701" t="s">
        <v>1955</v>
      </c>
    </row>
    <row r="3" spans="1:6" ht="12" customHeight="1" x14ac:dyDescent="0.2">
      <c r="A3" s="2174"/>
      <c r="B3" s="1512"/>
      <c r="C3" s="1513"/>
      <c r="D3" s="1514" t="s">
        <v>256</v>
      </c>
      <c r="E3" s="1513"/>
      <c r="F3" s="1514" t="s">
        <v>257</v>
      </c>
    </row>
    <row r="4" spans="1:6" ht="13.7" customHeight="1" x14ac:dyDescent="0.2">
      <c r="A4" s="702" t="s">
        <v>1155</v>
      </c>
      <c r="B4" s="1736">
        <f>'Revenues 9-14'!C5</f>
        <v>7765813</v>
      </c>
      <c r="C4" s="1511">
        <v>4108960</v>
      </c>
      <c r="D4" s="1739">
        <f>B4-C4</f>
        <v>3656853</v>
      </c>
      <c r="E4" s="1511">
        <v>8107499</v>
      </c>
      <c r="F4" s="1739">
        <f>E4-C4</f>
        <v>3998539</v>
      </c>
    </row>
    <row r="5" spans="1:6" ht="13.7" customHeight="1" x14ac:dyDescent="0.2">
      <c r="A5" s="702" t="s">
        <v>870</v>
      </c>
      <c r="B5" s="1737">
        <f>'Revenues 9-14'!D5</f>
        <v>643412</v>
      </c>
      <c r="C5" s="577">
        <v>338371</v>
      </c>
      <c r="D5" s="1740">
        <f t="shared" ref="D5:D18" si="0">B5-C5</f>
        <v>305041</v>
      </c>
      <c r="E5" s="577">
        <v>667578</v>
      </c>
      <c r="F5" s="1740">
        <f>E5-C5</f>
        <v>329207</v>
      </c>
    </row>
    <row r="6" spans="1:6" ht="13.7" customHeight="1" x14ac:dyDescent="0.2">
      <c r="A6" s="702" t="s">
        <v>411</v>
      </c>
      <c r="B6" s="1737">
        <f>'Revenues 9-14'!E5</f>
        <v>1074350</v>
      </c>
      <c r="C6" s="577">
        <v>509555</v>
      </c>
      <c r="D6" s="1740">
        <f t="shared" si="0"/>
        <v>564795</v>
      </c>
      <c r="E6" s="577">
        <v>1005789</v>
      </c>
      <c r="F6" s="1740">
        <f t="shared" ref="F6:F18" si="1">E6-C6</f>
        <v>496234</v>
      </c>
    </row>
    <row r="7" spans="1:6" ht="13.7" customHeight="1" x14ac:dyDescent="0.2">
      <c r="A7" s="702" t="s">
        <v>155</v>
      </c>
      <c r="B7" s="1737">
        <f>'Revenues 9-14'!F5</f>
        <v>340912</v>
      </c>
      <c r="C7" s="577">
        <v>177460</v>
      </c>
      <c r="D7" s="1740">
        <f t="shared" si="0"/>
        <v>163452</v>
      </c>
      <c r="E7" s="577">
        <v>349923</v>
      </c>
      <c r="F7" s="1740">
        <f t="shared" si="1"/>
        <v>172463</v>
      </c>
    </row>
    <row r="8" spans="1:6" ht="13.7" customHeight="1" x14ac:dyDescent="0.2">
      <c r="A8" s="702" t="s">
        <v>1179</v>
      </c>
      <c r="B8" s="1737">
        <f>'Revenues 9-14'!G5</f>
        <v>201914</v>
      </c>
      <c r="C8" s="577">
        <v>106133</v>
      </c>
      <c r="D8" s="1740">
        <f t="shared" si="0"/>
        <v>95781</v>
      </c>
      <c r="E8" s="577">
        <v>209380</v>
      </c>
      <c r="F8" s="1740">
        <f t="shared" si="1"/>
        <v>103247</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74769</v>
      </c>
      <c r="C11" s="577">
        <v>39372</v>
      </c>
      <c r="D11" s="1740">
        <f t="shared" si="0"/>
        <v>35397</v>
      </c>
      <c r="E11" s="577">
        <v>77681</v>
      </c>
      <c r="F11" s="1740">
        <f t="shared" si="1"/>
        <v>38309</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f>SUM('Revenues 9-14'!C7:D7,'Revenues 9-14'!F7:H7)</f>
        <v>608496</v>
      </c>
      <c r="C14" s="577">
        <v>320112</v>
      </c>
      <c r="D14" s="1740">
        <f t="shared" si="0"/>
        <v>288384</v>
      </c>
      <c r="E14" s="577">
        <v>631486</v>
      </c>
      <c r="F14" s="1740">
        <f t="shared" si="1"/>
        <v>311374</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f>'Revenues 9-14'!G8</f>
        <v>201914</v>
      </c>
      <c r="C16" s="577">
        <v>106133</v>
      </c>
      <c r="D16" s="1740">
        <f t="shared" si="0"/>
        <v>95781</v>
      </c>
      <c r="E16" s="577">
        <v>209380</v>
      </c>
      <c r="F16" s="1740">
        <f t="shared" si="1"/>
        <v>103247</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10911580</v>
      </c>
      <c r="C19" s="1738">
        <f>SUM(C4:C18)</f>
        <v>5706096</v>
      </c>
      <c r="D19" s="1738">
        <f>SUM(D4:D18)</f>
        <v>5205484</v>
      </c>
      <c r="E19" s="1738">
        <f>SUM(E4:E18)</f>
        <v>11258716</v>
      </c>
      <c r="F19" s="1738">
        <f>SUM(F4:F18)</f>
        <v>5552620</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K59"/>
  <sheetViews>
    <sheetView showGridLines="0" defaultGridColor="0" topLeftCell="A22" colorId="8" zoomScale="110" zoomScaleNormal="110" workbookViewId="0">
      <selection activeCell="C35" sqref="C35"/>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9" t="s">
        <v>629</v>
      </c>
      <c r="B1" s="2180"/>
      <c r="C1" s="708"/>
    </row>
    <row r="2" spans="1:7" ht="33.75" x14ac:dyDescent="0.2">
      <c r="A2" s="2188" t="s">
        <v>1802</v>
      </c>
      <c r="B2" s="2189"/>
      <c r="C2" s="1871" t="s">
        <v>1956</v>
      </c>
      <c r="D2" s="710" t="s">
        <v>1957</v>
      </c>
      <c r="E2" s="710" t="s">
        <v>1958</v>
      </c>
      <c r="F2" s="1871" t="s">
        <v>1959</v>
      </c>
    </row>
    <row r="3" spans="1:7" ht="15.75" customHeight="1" x14ac:dyDescent="0.2">
      <c r="A3" s="2192" t="s">
        <v>1114</v>
      </c>
      <c r="B3" s="2193"/>
      <c r="C3" s="2181"/>
      <c r="D3" s="2182"/>
      <c r="E3" s="2182"/>
      <c r="F3" s="2183"/>
    </row>
    <row r="4" spans="1:7" ht="12.75" customHeight="1" thickBot="1" x14ac:dyDescent="0.25">
      <c r="A4" s="2190" t="s">
        <v>630</v>
      </c>
      <c r="B4" s="2191"/>
      <c r="C4" s="573"/>
      <c r="D4" s="573"/>
      <c r="E4" s="573"/>
      <c r="F4" s="1742">
        <f>SUM(C4+D4)-E4</f>
        <v>0</v>
      </c>
    </row>
    <row r="5" spans="1:7" ht="15.75" customHeight="1" thickTop="1" x14ac:dyDescent="0.2">
      <c r="A5" s="2175" t="s">
        <v>1110</v>
      </c>
      <c r="B5" s="2176"/>
      <c r="C5" s="2184"/>
      <c r="D5" s="2185"/>
      <c r="E5" s="2185"/>
      <c r="F5" s="2186"/>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77" t="s">
        <v>631</v>
      </c>
      <c r="B15" s="2178"/>
      <c r="C15" s="1742">
        <f>SUM(C6:C14)</f>
        <v>0</v>
      </c>
      <c r="D15" s="1742">
        <f>SUM(D6:D14)</f>
        <v>0</v>
      </c>
      <c r="E15" s="1742">
        <f>SUM(E6:E14)</f>
        <v>0</v>
      </c>
      <c r="F15" s="1742">
        <f>SUM(F6:F14)</f>
        <v>0</v>
      </c>
      <c r="G15" s="545"/>
    </row>
    <row r="16" spans="1:7" s="202" customFormat="1" ht="15.75" customHeight="1" thickTop="1" x14ac:dyDescent="0.2">
      <c r="A16" s="2187" t="s">
        <v>1111</v>
      </c>
      <c r="B16" s="2176"/>
      <c r="C16" s="2184"/>
      <c r="D16" s="2185"/>
      <c r="E16" s="2185"/>
      <c r="F16" s="2186"/>
    </row>
    <row r="17" spans="1:11" ht="12.75" customHeight="1" thickBot="1" x14ac:dyDescent="0.25">
      <c r="A17" s="2200" t="s">
        <v>64</v>
      </c>
      <c r="B17" s="2201"/>
      <c r="C17" s="713"/>
      <c r="D17" s="577"/>
      <c r="E17" s="713"/>
      <c r="F17" s="1742">
        <f>SUM(C17+D17)-E17</f>
        <v>0</v>
      </c>
    </row>
    <row r="18" spans="1:11" ht="12.75" customHeight="1" thickTop="1" thickBot="1" x14ac:dyDescent="0.25">
      <c r="A18" s="2200" t="s">
        <v>6</v>
      </c>
      <c r="B18" s="2201"/>
      <c r="C18" s="713"/>
      <c r="D18" s="577"/>
      <c r="E18" s="713"/>
      <c r="F18" s="1742">
        <f>SUM(C18+D18)-E18</f>
        <v>0</v>
      </c>
    </row>
    <row r="19" spans="1:11" ht="12.75" customHeight="1" thickTop="1" thickBot="1" x14ac:dyDescent="0.25">
      <c r="A19" s="2200" t="s">
        <v>388</v>
      </c>
      <c r="B19" s="2201"/>
      <c r="C19" s="713"/>
      <c r="D19" s="577"/>
      <c r="E19" s="713"/>
      <c r="F19" s="1742">
        <f>SUM(C19+D19)-E19</f>
        <v>0</v>
      </c>
    </row>
    <row r="20" spans="1:11" ht="12.75" customHeight="1" thickTop="1" thickBot="1" x14ac:dyDescent="0.25">
      <c r="A20" s="2200" t="s">
        <v>448</v>
      </c>
      <c r="B20" s="2201"/>
      <c r="C20" s="713"/>
      <c r="D20" s="577"/>
      <c r="E20" s="713"/>
      <c r="F20" s="1742">
        <f>SUM(C20+D20)-E20</f>
        <v>0</v>
      </c>
    </row>
    <row r="21" spans="1:11" ht="14.25" thickTop="1" thickBot="1" x14ac:dyDescent="0.25">
      <c r="A21" s="2177" t="s">
        <v>632</v>
      </c>
      <c r="B21" s="2178"/>
      <c r="C21" s="1742">
        <f>SUM(C17:C20)</f>
        <v>0</v>
      </c>
      <c r="D21" s="1742">
        <f>SUM(D17:D20)</f>
        <v>0</v>
      </c>
      <c r="E21" s="1742">
        <f>SUM(E17:E20)</f>
        <v>0</v>
      </c>
      <c r="F21" s="1742">
        <f>SUM(F17:F20)</f>
        <v>0</v>
      </c>
      <c r="G21" s="545"/>
    </row>
    <row r="22" spans="1:11" ht="15.75" customHeight="1" thickTop="1" x14ac:dyDescent="0.2">
      <c r="A22" s="2202" t="s">
        <v>1112</v>
      </c>
      <c r="B22" s="2176"/>
      <c r="C22" s="2184"/>
      <c r="D22" s="2185"/>
      <c r="E22" s="2185"/>
      <c r="F22" s="2186"/>
    </row>
    <row r="23" spans="1:11" ht="13.5" thickBot="1" x14ac:dyDescent="0.25">
      <c r="A23" s="2190" t="s">
        <v>633</v>
      </c>
      <c r="B23" s="2191"/>
      <c r="C23" s="573"/>
      <c r="D23" s="573"/>
      <c r="E23" s="573"/>
      <c r="F23" s="1742">
        <f>SUM(C23+D23)-E23</f>
        <v>0</v>
      </c>
      <c r="G23" s="545"/>
    </row>
    <row r="24" spans="1:11" ht="15.75" customHeight="1" thickTop="1" x14ac:dyDescent="0.2">
      <c r="A24" s="2202" t="s">
        <v>1113</v>
      </c>
      <c r="B24" s="2176"/>
      <c r="C24" s="2184"/>
      <c r="D24" s="2185"/>
      <c r="E24" s="2185"/>
      <c r="F24" s="2186"/>
    </row>
    <row r="25" spans="1:11" ht="13.5" thickBot="1" x14ac:dyDescent="0.25">
      <c r="A25" s="2190" t="s">
        <v>634</v>
      </c>
      <c r="B25" s="2191"/>
      <c r="C25" s="573"/>
      <c r="D25" s="573"/>
      <c r="E25" s="573"/>
      <c r="F25" s="1742">
        <f>SUM(C25+D25)-E25</f>
        <v>0</v>
      </c>
      <c r="G25" s="545"/>
    </row>
    <row r="26" spans="1:11" ht="15.75" customHeight="1" thickTop="1" x14ac:dyDescent="0.2">
      <c r="A26" s="2175" t="s">
        <v>657</v>
      </c>
      <c r="B26" s="2176"/>
      <c r="C26" s="714"/>
      <c r="D26" s="714"/>
      <c r="E26" s="714"/>
      <c r="F26" s="715"/>
    </row>
    <row r="27" spans="1:11" ht="13.5" thickBot="1" x14ac:dyDescent="0.25">
      <c r="A27" s="2177" t="s">
        <v>1070</v>
      </c>
      <c r="B27" s="2178"/>
      <c r="C27" s="577"/>
      <c r="D27" s="577"/>
      <c r="E27" s="577"/>
      <c r="F27" s="1742">
        <f>SUM(C27+D27)-E27</f>
        <v>0</v>
      </c>
      <c r="G27" s="545"/>
    </row>
    <row r="28" spans="1:11" ht="7.5" customHeight="1" thickTop="1" x14ac:dyDescent="0.2">
      <c r="A28" s="584"/>
    </row>
    <row r="29" spans="1:11" ht="23.25" customHeight="1" x14ac:dyDescent="0.2">
      <c r="A29" s="2203" t="s">
        <v>582</v>
      </c>
      <c r="B29" s="2180"/>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t="s">
        <v>2076</v>
      </c>
      <c r="B31" s="720">
        <v>40981</v>
      </c>
      <c r="C31" s="721">
        <v>1795000</v>
      </c>
      <c r="D31" s="722">
        <v>3</v>
      </c>
      <c r="E31" s="721">
        <v>530000</v>
      </c>
      <c r="F31" s="721"/>
      <c r="G31" s="721"/>
      <c r="H31" s="721">
        <v>530000</v>
      </c>
      <c r="I31" s="1743">
        <f>((E31+F31)-H31)+G31</f>
        <v>0</v>
      </c>
      <c r="J31" s="721">
        <v>0</v>
      </c>
      <c r="K31" s="723"/>
    </row>
    <row r="32" spans="1:11" ht="12" customHeight="1" x14ac:dyDescent="0.2">
      <c r="A32" s="719" t="s">
        <v>2077</v>
      </c>
      <c r="B32" s="720">
        <v>40981</v>
      </c>
      <c r="C32" s="721">
        <v>1735000</v>
      </c>
      <c r="D32" s="722">
        <v>3</v>
      </c>
      <c r="E32" s="721">
        <v>595000</v>
      </c>
      <c r="F32" s="721"/>
      <c r="G32" s="721"/>
      <c r="H32" s="721">
        <v>595000</v>
      </c>
      <c r="I32" s="1743">
        <f>((E32+F32)-H32)+G32</f>
        <v>0</v>
      </c>
      <c r="J32" s="721">
        <v>0</v>
      </c>
      <c r="K32" s="723"/>
    </row>
    <row r="33" spans="1:11" ht="12" customHeight="1" x14ac:dyDescent="0.2">
      <c r="A33" s="719" t="s">
        <v>2078</v>
      </c>
      <c r="B33" s="720">
        <v>42809</v>
      </c>
      <c r="C33" s="721">
        <v>2030000</v>
      </c>
      <c r="D33" s="722">
        <v>1</v>
      </c>
      <c r="E33" s="721">
        <v>2030000</v>
      </c>
      <c r="F33" s="721"/>
      <c r="G33" s="721"/>
      <c r="H33" s="721"/>
      <c r="I33" s="1743">
        <f t="shared" ref="I33:I48" si="1">((E33+F33)-H33)+G33</f>
        <v>2030000</v>
      </c>
      <c r="J33" s="721">
        <v>1551678</v>
      </c>
      <c r="K33" s="723"/>
    </row>
    <row r="34" spans="1:11" ht="12" customHeight="1" x14ac:dyDescent="0.2">
      <c r="A34" s="719" t="s">
        <v>2079</v>
      </c>
      <c r="B34" s="720">
        <v>43040</v>
      </c>
      <c r="C34" s="721">
        <v>170000</v>
      </c>
      <c r="D34" s="722">
        <v>7</v>
      </c>
      <c r="E34" s="721">
        <v>148747</v>
      </c>
      <c r="F34" s="721"/>
      <c r="G34" s="721"/>
      <c r="H34" s="721">
        <v>32084</v>
      </c>
      <c r="I34" s="1743">
        <f t="shared" si="1"/>
        <v>116663</v>
      </c>
      <c r="J34" s="721">
        <v>116663</v>
      </c>
      <c r="K34" s="724"/>
    </row>
    <row r="35" spans="1:11" ht="12" customHeight="1" x14ac:dyDescent="0.2">
      <c r="A35" s="719" t="s">
        <v>2080</v>
      </c>
      <c r="B35" s="720">
        <v>43167</v>
      </c>
      <c r="C35" s="725">
        <v>4940000</v>
      </c>
      <c r="D35" s="722">
        <v>1</v>
      </c>
      <c r="E35" s="725">
        <v>4940000</v>
      </c>
      <c r="F35" s="725"/>
      <c r="G35" s="725"/>
      <c r="H35" s="725"/>
      <c r="I35" s="1743">
        <f t="shared" si="1"/>
        <v>4940000</v>
      </c>
      <c r="J35" s="725">
        <v>4868944</v>
      </c>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10670000</v>
      </c>
      <c r="D49" s="732"/>
      <c r="E49" s="1743">
        <f t="shared" ref="E49:J49" si="2">SUM(E31:E48)</f>
        <v>8243747</v>
      </c>
      <c r="F49" s="1743">
        <f t="shared" si="2"/>
        <v>0</v>
      </c>
      <c r="G49" s="1743">
        <f t="shared" si="2"/>
        <v>0</v>
      </c>
      <c r="H49" s="1743">
        <f t="shared" si="2"/>
        <v>1157084</v>
      </c>
      <c r="I49" s="1743">
        <f t="shared" si="2"/>
        <v>7086663</v>
      </c>
      <c r="J49" s="1743">
        <f t="shared" si="2"/>
        <v>6537285</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94" t="s">
        <v>584</v>
      </c>
      <c r="C52" s="2195"/>
      <c r="D52" s="2195"/>
      <c r="E52" s="736" t="s">
        <v>845</v>
      </c>
      <c r="F52" s="2196"/>
      <c r="G52" s="2197"/>
      <c r="H52" s="723"/>
      <c r="I52" s="723"/>
      <c r="J52" s="733"/>
    </row>
    <row r="53" spans="1:11" ht="11.25" customHeight="1" x14ac:dyDescent="0.2">
      <c r="A53" s="737" t="s">
        <v>913</v>
      </c>
      <c r="B53" s="738" t="s">
        <v>951</v>
      </c>
      <c r="C53" s="733"/>
      <c r="D53" s="724"/>
      <c r="E53" s="736" t="s">
        <v>497</v>
      </c>
      <c r="F53" s="2198"/>
      <c r="G53" s="2199"/>
      <c r="H53" s="723"/>
      <c r="I53" s="723"/>
      <c r="J53" s="733"/>
    </row>
    <row r="54" spans="1:11" ht="11.25" customHeight="1" x14ac:dyDescent="0.2">
      <c r="A54" s="739" t="s">
        <v>914</v>
      </c>
      <c r="B54" s="734" t="s">
        <v>952</v>
      </c>
      <c r="C54" s="733"/>
      <c r="D54" s="724"/>
      <c r="E54" s="736" t="s">
        <v>498</v>
      </c>
      <c r="F54" s="2198"/>
      <c r="G54" s="2199"/>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K48"/>
  <sheetViews>
    <sheetView showGridLines="0" defaultGridColor="0" topLeftCell="C1" colorId="8" zoomScale="110" zoomScaleNormal="110" workbookViewId="0">
      <selection activeCell="H13" sqref="H1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8" t="s">
        <v>856</v>
      </c>
      <c r="B1" s="2229"/>
      <c r="C1" s="2229"/>
      <c r="D1" s="2229"/>
      <c r="E1" s="2229"/>
      <c r="F1" s="2229"/>
      <c r="G1" s="2230"/>
      <c r="H1" s="1517"/>
      <c r="I1" s="747"/>
      <c r="J1" s="433"/>
    </row>
    <row r="2" spans="1:11" ht="26.25" x14ac:dyDescent="0.2">
      <c r="A2" s="2207" t="s">
        <v>1677</v>
      </c>
      <c r="B2" s="2208"/>
      <c r="C2" s="2208"/>
      <c r="D2" s="2208"/>
      <c r="E2" s="2209"/>
      <c r="F2" s="748" t="s">
        <v>904</v>
      </c>
      <c r="G2" s="749" t="s">
        <v>1674</v>
      </c>
      <c r="H2" s="749" t="s">
        <v>410</v>
      </c>
      <c r="I2" s="749" t="s">
        <v>1158</v>
      </c>
      <c r="J2" s="749" t="s">
        <v>1812</v>
      </c>
      <c r="K2" s="749" t="s">
        <v>138</v>
      </c>
    </row>
    <row r="3" spans="1:11" x14ac:dyDescent="0.2">
      <c r="A3" s="2210" t="s">
        <v>1964</v>
      </c>
      <c r="B3" s="2211"/>
      <c r="C3" s="2211"/>
      <c r="D3" s="2211"/>
      <c r="E3" s="2212"/>
      <c r="F3" s="750"/>
      <c r="G3" s="751"/>
      <c r="H3" s="751"/>
      <c r="I3" s="751"/>
      <c r="J3" s="752"/>
      <c r="K3" s="752"/>
    </row>
    <row r="4" spans="1:11" x14ac:dyDescent="0.2">
      <c r="A4" s="2213" t="s">
        <v>369</v>
      </c>
      <c r="B4" s="2214"/>
      <c r="C4" s="2214"/>
      <c r="D4" s="2214"/>
      <c r="E4" s="2195"/>
      <c r="F4" s="753"/>
      <c r="G4" s="754"/>
      <c r="H4" s="755"/>
      <c r="I4" s="754"/>
      <c r="J4" s="756"/>
      <c r="K4" s="756"/>
    </row>
    <row r="5" spans="1:11" x14ac:dyDescent="0.2">
      <c r="A5" s="2231" t="s">
        <v>1069</v>
      </c>
      <c r="B5" s="2204"/>
      <c r="C5" s="2204"/>
      <c r="D5" s="2204"/>
      <c r="E5" s="2232"/>
      <c r="F5" s="757" t="s">
        <v>848</v>
      </c>
      <c r="G5" s="758"/>
      <c r="H5" s="751">
        <v>608496</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row>
    <row r="10" spans="1:11" x14ac:dyDescent="0.2">
      <c r="A10" s="2231" t="s">
        <v>1813</v>
      </c>
      <c r="B10" s="2204"/>
      <c r="C10" s="2204"/>
      <c r="D10" s="2204"/>
      <c r="E10" s="2233"/>
      <c r="F10" s="770" t="s">
        <v>862</v>
      </c>
      <c r="G10" s="769"/>
      <c r="H10" s="771"/>
      <c r="I10" s="751"/>
      <c r="J10" s="752"/>
      <c r="K10" s="752"/>
    </row>
    <row r="11" spans="1:11" x14ac:dyDescent="0.2">
      <c r="A11" s="2231" t="s">
        <v>160</v>
      </c>
      <c r="B11" s="2204"/>
      <c r="C11" s="2204"/>
      <c r="D11" s="2204"/>
      <c r="E11" s="2232"/>
      <c r="F11" s="757" t="s">
        <v>852</v>
      </c>
      <c r="G11" s="758"/>
      <c r="H11" s="751"/>
      <c r="I11" s="751"/>
      <c r="J11" s="752"/>
      <c r="K11" s="760"/>
    </row>
    <row r="12" spans="1:11" ht="13.5" thickBot="1" x14ac:dyDescent="0.25">
      <c r="A12" s="2221" t="s">
        <v>905</v>
      </c>
      <c r="B12" s="2222"/>
      <c r="C12" s="2222"/>
      <c r="D12" s="2222"/>
      <c r="E12" s="2223"/>
      <c r="F12" s="1744"/>
      <c r="G12" s="1745">
        <f>SUM(G5:G11)</f>
        <v>0</v>
      </c>
      <c r="H12" s="1745">
        <f>SUM(H5:H11)</f>
        <v>608496</v>
      </c>
      <c r="I12" s="1745">
        <f>SUM(I5:I11)</f>
        <v>0</v>
      </c>
      <c r="J12" s="1745">
        <f>SUM(J5:J11)</f>
        <v>0</v>
      </c>
      <c r="K12" s="1745">
        <f>SUM(K5:K11)</f>
        <v>0</v>
      </c>
    </row>
    <row r="13" spans="1:11" ht="13.5" thickTop="1" x14ac:dyDescent="0.2">
      <c r="A13" s="2215" t="s">
        <v>370</v>
      </c>
      <c r="B13" s="2216"/>
      <c r="C13" s="2216"/>
      <c r="D13" s="2216"/>
      <c r="E13" s="2217"/>
      <c r="F13" s="772"/>
      <c r="G13" s="773"/>
      <c r="H13" s="774"/>
      <c r="I13" s="775"/>
      <c r="J13" s="775"/>
      <c r="K13" s="775"/>
    </row>
    <row r="14" spans="1:11" x14ac:dyDescent="0.2">
      <c r="A14" s="2237" t="s">
        <v>456</v>
      </c>
      <c r="B14" s="2237"/>
      <c r="C14" s="2237"/>
      <c r="D14" s="2237"/>
      <c r="E14" s="2238"/>
      <c r="F14" s="776" t="s">
        <v>854</v>
      </c>
      <c r="G14" s="769"/>
      <c r="H14" s="751">
        <v>608496</v>
      </c>
      <c r="I14" s="758"/>
      <c r="J14" s="760"/>
      <c r="K14" s="752"/>
    </row>
    <row r="15" spans="1:11" x14ac:dyDescent="0.2">
      <c r="A15" s="2204" t="s">
        <v>4</v>
      </c>
      <c r="B15" s="2204"/>
      <c r="C15" s="2204"/>
      <c r="D15" s="2204"/>
      <c r="E15" s="2232"/>
      <c r="F15" s="776" t="s">
        <v>855</v>
      </c>
      <c r="G15" s="758"/>
      <c r="H15" s="751"/>
      <c r="I15" s="751"/>
      <c r="J15" s="752"/>
      <c r="K15" s="752"/>
    </row>
    <row r="16" spans="1:11" x14ac:dyDescent="0.2">
      <c r="A16" s="2204" t="s">
        <v>298</v>
      </c>
      <c r="B16" s="2204"/>
      <c r="C16" s="2204"/>
      <c r="D16" s="2204"/>
      <c r="E16" s="2232"/>
      <c r="F16" s="776" t="s">
        <v>923</v>
      </c>
      <c r="G16" s="759"/>
      <c r="H16" s="754"/>
      <c r="I16" s="754"/>
      <c r="J16" s="756"/>
      <c r="K16" s="756"/>
    </row>
    <row r="17" spans="1:11" x14ac:dyDescent="0.2">
      <c r="A17" s="2226" t="s">
        <v>935</v>
      </c>
      <c r="B17" s="2226"/>
      <c r="C17" s="2226"/>
      <c r="D17" s="2226"/>
      <c r="E17" s="2227"/>
      <c r="F17" s="777"/>
      <c r="G17" s="778"/>
      <c r="H17" s="779"/>
      <c r="I17" s="779"/>
      <c r="J17" s="780"/>
      <c r="K17" s="781"/>
    </row>
    <row r="18" spans="1:11" x14ac:dyDescent="0.2">
      <c r="A18" s="2218" t="s">
        <v>368</v>
      </c>
      <c r="B18" s="2219"/>
      <c r="C18" s="2219"/>
      <c r="D18" s="2219"/>
      <c r="E18" s="2220"/>
      <c r="F18" s="776" t="s">
        <v>932</v>
      </c>
      <c r="G18" s="769"/>
      <c r="H18" s="769"/>
      <c r="I18" s="769"/>
      <c r="J18" s="752"/>
      <c r="K18" s="782"/>
    </row>
    <row r="19" spans="1:11" ht="21.75" customHeight="1" x14ac:dyDescent="0.2">
      <c r="A19" s="2239" t="s">
        <v>1809</v>
      </c>
      <c r="B19" s="2239"/>
      <c r="C19" s="2239"/>
      <c r="D19" s="2239"/>
      <c r="E19" s="2240"/>
      <c r="F19" s="776" t="s">
        <v>933</v>
      </c>
      <c r="G19" s="769"/>
      <c r="H19" s="769"/>
      <c r="I19" s="769"/>
      <c r="J19" s="752"/>
      <c r="K19" s="782"/>
    </row>
    <row r="20" spans="1:11" x14ac:dyDescent="0.2">
      <c r="A20" s="2218" t="s">
        <v>1814</v>
      </c>
      <c r="B20" s="2219"/>
      <c r="C20" s="2219"/>
      <c r="D20" s="2219"/>
      <c r="E20" s="2220"/>
      <c r="F20" s="776" t="s">
        <v>934</v>
      </c>
      <c r="G20" s="769"/>
      <c r="H20" s="769"/>
      <c r="I20" s="769"/>
      <c r="J20" s="752"/>
      <c r="K20" s="782"/>
    </row>
    <row r="21" spans="1:11" ht="13.5" thickBot="1" x14ac:dyDescent="0.25">
      <c r="A21" s="2224" t="s">
        <v>638</v>
      </c>
      <c r="B21" s="2224"/>
      <c r="C21" s="2224"/>
      <c r="D21" s="2224"/>
      <c r="E21" s="2224"/>
      <c r="F21" s="1746"/>
      <c r="G21" s="779"/>
      <c r="H21" s="783"/>
      <c r="I21" s="783"/>
      <c r="J21" s="1747">
        <f>SUM(J18:J20)</f>
        <v>0</v>
      </c>
      <c r="K21" s="780"/>
    </row>
    <row r="22" spans="1:11" ht="13.5" thickTop="1" x14ac:dyDescent="0.2">
      <c r="A22" s="2204" t="s">
        <v>1815</v>
      </c>
      <c r="B22" s="2204"/>
      <c r="C22" s="2204"/>
      <c r="D22" s="2204"/>
      <c r="E22" s="2232"/>
      <c r="F22" s="776" t="s">
        <v>862</v>
      </c>
      <c r="G22" s="769"/>
      <c r="H22" s="751"/>
      <c r="I22" s="751"/>
      <c r="J22" s="784"/>
      <c r="K22" s="752"/>
    </row>
    <row r="23" spans="1:11" ht="13.5" thickBot="1" x14ac:dyDescent="0.25">
      <c r="A23" s="2225" t="s">
        <v>906</v>
      </c>
      <c r="B23" s="2224"/>
      <c r="C23" s="2224"/>
      <c r="D23" s="2224"/>
      <c r="E23" s="2224"/>
      <c r="F23" s="1748"/>
      <c r="G23" s="1745">
        <f>SUM(G14:G16,G21,G22)</f>
        <v>0</v>
      </c>
      <c r="H23" s="1745">
        <f>SUM(H14:H16,H21,H22)</f>
        <v>608496</v>
      </c>
      <c r="I23" s="1745">
        <f>SUM(I14:I16,I21,I22)</f>
        <v>0</v>
      </c>
      <c r="J23" s="1745">
        <f>SUM(J14:J16,J21,J22)</f>
        <v>0</v>
      </c>
      <c r="K23" s="1745">
        <f>SUM(K14:K16,K21,K22)</f>
        <v>0</v>
      </c>
    </row>
    <row r="24" spans="1:11" ht="14.25" thickTop="1" thickBot="1" x14ac:dyDescent="0.25">
      <c r="A24" s="2225" t="s">
        <v>1965</v>
      </c>
      <c r="B24" s="2224"/>
      <c r="C24" s="2224"/>
      <c r="D24" s="2224"/>
      <c r="E24" s="2224"/>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34"/>
      <c r="I31" s="2235"/>
      <c r="J31" s="2235"/>
      <c r="K31" s="2235"/>
    </row>
    <row r="32" spans="1:11" x14ac:dyDescent="0.2">
      <c r="A32" s="796"/>
      <c r="B32" s="237"/>
      <c r="C32" s="237"/>
      <c r="D32" s="237"/>
      <c r="E32" s="792"/>
      <c r="F32" s="798" t="s">
        <v>540</v>
      </c>
      <c r="G32" s="751"/>
      <c r="H32" s="2236"/>
      <c r="I32" s="2235"/>
      <c r="J32" s="2235"/>
      <c r="K32" s="2235"/>
    </row>
    <row r="33" spans="1:11" ht="1.5" customHeight="1" x14ac:dyDescent="0.2">
      <c r="A33" s="799" t="s">
        <v>1169</v>
      </c>
      <c r="B33" s="364"/>
      <c r="C33" s="364"/>
      <c r="D33" s="364"/>
      <c r="E33" s="364"/>
      <c r="F33" s="364"/>
      <c r="G33" s="800"/>
      <c r="H33" s="2236"/>
      <c r="I33" s="2235"/>
      <c r="J33" s="2235"/>
      <c r="K33" s="2235"/>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4" t="s">
        <v>541</v>
      </c>
      <c r="B41" s="2205"/>
      <c r="C41" s="2205"/>
      <c r="D41" s="2205"/>
      <c r="E41" s="2205"/>
      <c r="F41" s="2206"/>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colorId="8" zoomScale="110" zoomScaleNormal="110" workbookViewId="0">
      <selection activeCell="G8" sqref="G8"/>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3" t="s">
        <v>1909</v>
      </c>
      <c r="B1" s="2244"/>
      <c r="C1" s="2245"/>
      <c r="D1" s="813"/>
      <c r="E1" s="814"/>
      <c r="F1" s="814"/>
      <c r="G1" s="815"/>
      <c r="H1" s="816"/>
      <c r="I1" s="817"/>
      <c r="J1" s="2241"/>
      <c r="K1" s="2242"/>
      <c r="L1" s="2242"/>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c r="D3" s="822"/>
      <c r="E3" s="822"/>
      <c r="F3" s="1747">
        <f>(C3+D3)-E3</f>
        <v>0</v>
      </c>
      <c r="G3" s="823"/>
      <c r="H3" s="822"/>
      <c r="I3" s="822"/>
      <c r="J3" s="822"/>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135061</v>
      </c>
      <c r="D5" s="828"/>
      <c r="E5" s="828"/>
      <c r="F5" s="1747">
        <f>(C5+D5)-E5</f>
        <v>135061</v>
      </c>
      <c r="G5" s="824"/>
      <c r="H5" s="829"/>
      <c r="I5" s="829"/>
      <c r="J5" s="829"/>
      <c r="K5" s="780"/>
      <c r="L5" s="1756">
        <f>F5-K5</f>
        <v>135061</v>
      </c>
    </row>
    <row r="6" spans="1:14" ht="14.25" thickTop="1" thickBot="1" x14ac:dyDescent="0.25">
      <c r="A6" s="765" t="s">
        <v>1117</v>
      </c>
      <c r="B6" s="827">
        <v>222</v>
      </c>
      <c r="C6" s="752"/>
      <c r="D6" s="752"/>
      <c r="E6" s="752"/>
      <c r="F6" s="1747">
        <f>(C6+D6)-E6</f>
        <v>0</v>
      </c>
      <c r="G6" s="824">
        <v>50</v>
      </c>
      <c r="H6" s="752"/>
      <c r="I6" s="752"/>
      <c r="J6" s="752"/>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17190207</v>
      </c>
      <c r="D8" s="831">
        <v>3214348</v>
      </c>
      <c r="E8" s="831"/>
      <c r="F8" s="1747">
        <f>(C8+D8)-E8</f>
        <v>20404555</v>
      </c>
      <c r="G8" s="830">
        <v>50</v>
      </c>
      <c r="H8" s="752">
        <v>9425332</v>
      </c>
      <c r="I8" s="752">
        <v>535627</v>
      </c>
      <c r="J8" s="752"/>
      <c r="K8" s="1756">
        <f>(H8+I8)-J8</f>
        <v>9960959</v>
      </c>
      <c r="L8" s="1756">
        <f>F8-K8</f>
        <v>10443596</v>
      </c>
    </row>
    <row r="9" spans="1:14" ht="14.25" thickTop="1" thickBot="1" x14ac:dyDescent="0.25">
      <c r="A9" s="765" t="s">
        <v>1119</v>
      </c>
      <c r="B9" s="827">
        <v>232</v>
      </c>
      <c r="C9" s="752"/>
      <c r="D9" s="752"/>
      <c r="E9" s="752"/>
      <c r="F9" s="1747">
        <f>(C9+D9)-E9</f>
        <v>0</v>
      </c>
      <c r="G9" s="830">
        <v>20</v>
      </c>
      <c r="H9" s="752"/>
      <c r="I9" s="752"/>
      <c r="J9" s="752"/>
      <c r="K9" s="1756">
        <f>(H9+I9)-J9</f>
        <v>0</v>
      </c>
      <c r="L9" s="1756">
        <f>F9-K9</f>
        <v>0</v>
      </c>
    </row>
    <row r="10" spans="1:14" ht="24" thickTop="1" thickBot="1" x14ac:dyDescent="0.25">
      <c r="A10" s="832" t="s">
        <v>1120</v>
      </c>
      <c r="B10" s="827">
        <v>240</v>
      </c>
      <c r="C10" s="833">
        <v>185241</v>
      </c>
      <c r="D10" s="833">
        <v>548923</v>
      </c>
      <c r="E10" s="833"/>
      <c r="F10" s="1751">
        <f>(C10+D10)-E10</f>
        <v>734164</v>
      </c>
      <c r="G10" s="830">
        <v>20</v>
      </c>
      <c r="H10" s="834">
        <v>174887</v>
      </c>
      <c r="I10" s="834">
        <v>30221</v>
      </c>
      <c r="J10" s="834"/>
      <c r="K10" s="1756">
        <f>(H10+I10)-J10</f>
        <v>205108</v>
      </c>
      <c r="L10" s="1756">
        <f>F10-K10</f>
        <v>529056</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v>2813092</v>
      </c>
      <c r="D12" s="831">
        <v>66453</v>
      </c>
      <c r="E12" s="831"/>
      <c r="F12" s="1747">
        <f>(C12+D12)-E12</f>
        <v>2879545</v>
      </c>
      <c r="G12" s="830">
        <v>10</v>
      </c>
      <c r="H12" s="752">
        <v>2028794</v>
      </c>
      <c r="I12" s="752">
        <v>124436</v>
      </c>
      <c r="J12" s="752"/>
      <c r="K12" s="1756">
        <f>(H12+I12)-J12</f>
        <v>2153230</v>
      </c>
      <c r="L12" s="1756">
        <f>F12-K12</f>
        <v>726315</v>
      </c>
    </row>
    <row r="13" spans="1:14" ht="14.25" thickTop="1" thickBot="1" x14ac:dyDescent="0.25">
      <c r="A13" s="835" t="s">
        <v>1122</v>
      </c>
      <c r="B13" s="827">
        <v>252</v>
      </c>
      <c r="C13" s="831"/>
      <c r="D13" s="831"/>
      <c r="E13" s="831"/>
      <c r="F13" s="1747">
        <f>(C13+D13)-E13</f>
        <v>0</v>
      </c>
      <c r="G13" s="830">
        <v>5</v>
      </c>
      <c r="H13" s="752"/>
      <c r="I13" s="752"/>
      <c r="J13" s="752"/>
      <c r="K13" s="1756">
        <f>(H13+I13)-J13</f>
        <v>0</v>
      </c>
      <c r="L13" s="1756">
        <f>F13-K13</f>
        <v>0</v>
      </c>
    </row>
    <row r="14" spans="1:14" ht="14.25" thickTop="1" thickBot="1" x14ac:dyDescent="0.25">
      <c r="A14" s="835" t="s">
        <v>1123</v>
      </c>
      <c r="B14" s="827">
        <v>253</v>
      </c>
      <c r="C14" s="752"/>
      <c r="D14" s="752"/>
      <c r="E14" s="752"/>
      <c r="F14" s="1747">
        <f>(C14+D14)-E14</f>
        <v>0</v>
      </c>
      <c r="G14" s="830">
        <v>3</v>
      </c>
      <c r="H14" s="752"/>
      <c r="I14" s="752"/>
      <c r="J14" s="752"/>
      <c r="K14" s="1756">
        <f>(H14+I14)-J14</f>
        <v>0</v>
      </c>
      <c r="L14" s="1756">
        <f>F14-K14</f>
        <v>0</v>
      </c>
    </row>
    <row r="15" spans="1:14" ht="15" customHeight="1" thickTop="1" thickBot="1" x14ac:dyDescent="0.25">
      <c r="A15" s="1618" t="s">
        <v>528</v>
      </c>
      <c r="B15" s="1617">
        <v>260</v>
      </c>
      <c r="C15" s="831">
        <v>124473</v>
      </c>
      <c r="D15" s="831"/>
      <c r="E15" s="831">
        <v>124473</v>
      </c>
      <c r="F15" s="1747">
        <f>(C15+D15)-E15</f>
        <v>0</v>
      </c>
      <c r="G15" s="836" t="s">
        <v>862</v>
      </c>
      <c r="H15" s="768"/>
      <c r="I15" s="768"/>
      <c r="J15" s="768"/>
      <c r="K15" s="768"/>
      <c r="L15" s="1756">
        <f>F15-K15</f>
        <v>0</v>
      </c>
    </row>
    <row r="16" spans="1:14" ht="15" customHeight="1" thickTop="1" thickBot="1" x14ac:dyDescent="0.25">
      <c r="A16" s="1752" t="s">
        <v>643</v>
      </c>
      <c r="B16" s="1753">
        <v>200</v>
      </c>
      <c r="C16" s="1747">
        <f>SUM(C3,C5:C6,C8:C10,C12:C15)</f>
        <v>20448074</v>
      </c>
      <c r="D16" s="1747">
        <f>SUM(D3,D5:D6,D8:D10,D12:D15)</f>
        <v>3829724</v>
      </c>
      <c r="E16" s="1747">
        <f>SUM(E3,E5:E6,E8:E10,E12:E15)</f>
        <v>124473</v>
      </c>
      <c r="F16" s="1747">
        <f>SUM(F3,F5:F6,F8:F10,F12:F15)</f>
        <v>24153325</v>
      </c>
      <c r="G16" s="830"/>
      <c r="H16" s="1747">
        <f>SUM(H3,H6,H8:H10,H12:H14,)</f>
        <v>11629013</v>
      </c>
      <c r="I16" s="1747">
        <f>SUM(I3,I6,I8:I10,I12:I14,)</f>
        <v>690284</v>
      </c>
      <c r="J16" s="1747">
        <f>SUM(J3,J6,J8:J10,J12:J14,)</f>
        <v>0</v>
      </c>
      <c r="K16" s="1747">
        <f>(H16+I16)-J16</f>
        <v>12319297</v>
      </c>
      <c r="L16" s="1747">
        <f>F16-K16</f>
        <v>11834028</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13895</v>
      </c>
      <c r="G17" s="824">
        <v>10</v>
      </c>
      <c r="H17" s="756"/>
      <c r="I17" s="1756">
        <f>F17/G17</f>
        <v>1389.5</v>
      </c>
      <c r="J17" s="756"/>
      <c r="K17" s="782"/>
      <c r="L17" s="782"/>
    </row>
    <row r="18" spans="1:12" ht="14.25" thickTop="1" thickBot="1" x14ac:dyDescent="0.25">
      <c r="A18" s="1754" t="s">
        <v>685</v>
      </c>
      <c r="B18" s="1755"/>
      <c r="C18" s="758"/>
      <c r="D18" s="758"/>
      <c r="E18" s="758"/>
      <c r="F18" s="837"/>
      <c r="G18" s="838"/>
      <c r="H18" s="760"/>
      <c r="I18" s="1747">
        <f>SUM(I16,I17)</f>
        <v>691673.5</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H202"/>
  <sheetViews>
    <sheetView showGridLines="0" defaultGridColor="0" colorId="8" zoomScale="110" zoomScaleNormal="110" workbookViewId="0">
      <pane ySplit="5" topLeftCell="A157" activePane="bottomLeft" state="frozen"/>
      <selection activeCell="A47" sqref="A47"/>
      <selection pane="bottomLeft" activeCell="B160" sqref="B160"/>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9" t="s">
        <v>1975</v>
      </c>
      <c r="B1" s="2250"/>
      <c r="C1" s="2250"/>
      <c r="D1" s="2250"/>
      <c r="E1" s="2250"/>
      <c r="F1" s="2251"/>
      <c r="G1" s="842"/>
    </row>
    <row r="2" spans="1:7" ht="15" customHeight="1" thickBot="1" x14ac:dyDescent="0.25">
      <c r="A2" s="2252" t="s">
        <v>477</v>
      </c>
      <c r="B2" s="2253"/>
      <c r="C2" s="2253"/>
      <c r="D2" s="2253"/>
      <c r="E2" s="2253"/>
      <c r="F2" s="2254"/>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5"/>
      <c r="B5" s="2256"/>
      <c r="C5" s="2256"/>
      <c r="D5" s="2256"/>
      <c r="E5" s="2256"/>
      <c r="F5" s="2256"/>
    </row>
    <row r="6" spans="1:7" ht="13.5" customHeight="1" thickBot="1" x14ac:dyDescent="0.25">
      <c r="A6" s="2246" t="s">
        <v>1104</v>
      </c>
      <c r="B6" s="2247"/>
      <c r="C6" s="2247"/>
      <c r="D6" s="2247"/>
      <c r="E6" s="2247"/>
      <c r="F6" s="2248"/>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8879800</v>
      </c>
      <c r="G8" s="852"/>
    </row>
    <row r="9" spans="1:7" x14ac:dyDescent="0.2">
      <c r="A9" s="856" t="s">
        <v>460</v>
      </c>
      <c r="B9" s="857" t="s">
        <v>1877</v>
      </c>
      <c r="C9" s="858"/>
      <c r="D9" s="856" t="s">
        <v>501</v>
      </c>
      <c r="E9" s="855"/>
      <c r="F9" s="1896">
        <f>'Expenditures 15-22'!K151</f>
        <v>850240</v>
      </c>
      <c r="G9" s="859"/>
    </row>
    <row r="10" spans="1:7" x14ac:dyDescent="0.2">
      <c r="A10" s="856" t="s">
        <v>499</v>
      </c>
      <c r="B10" s="857" t="s">
        <v>1878</v>
      </c>
      <c r="C10" s="858"/>
      <c r="D10" s="856" t="s">
        <v>501</v>
      </c>
      <c r="E10" s="855"/>
      <c r="F10" s="1896">
        <f>'Expenditures 15-22'!K174</f>
        <v>1376268</v>
      </c>
      <c r="G10" s="859"/>
    </row>
    <row r="11" spans="1:7" x14ac:dyDescent="0.2">
      <c r="A11" s="856" t="s">
        <v>461</v>
      </c>
      <c r="B11" s="857" t="s">
        <v>1879</v>
      </c>
      <c r="C11" s="858"/>
      <c r="D11" s="856" t="s">
        <v>501</v>
      </c>
      <c r="E11" s="855"/>
      <c r="F11" s="1896">
        <f>'Expenditures 15-22'!K210</f>
        <v>553282</v>
      </c>
      <c r="G11" s="859"/>
    </row>
    <row r="12" spans="1:7" x14ac:dyDescent="0.2">
      <c r="A12" s="856" t="s">
        <v>462</v>
      </c>
      <c r="B12" s="857" t="s">
        <v>1880</v>
      </c>
      <c r="C12" s="858"/>
      <c r="D12" s="856" t="s">
        <v>501</v>
      </c>
      <c r="E12" s="855"/>
      <c r="F12" s="1896">
        <f>'Expenditures 15-22'!K295</f>
        <v>285637</v>
      </c>
      <c r="G12" s="859"/>
    </row>
    <row r="13" spans="1:7" x14ac:dyDescent="0.2">
      <c r="A13" s="856" t="s">
        <v>106</v>
      </c>
      <c r="B13" s="857" t="s">
        <v>1881</v>
      </c>
      <c r="C13" s="858"/>
      <c r="D13" s="856" t="s">
        <v>501</v>
      </c>
      <c r="E13" s="855"/>
      <c r="F13" s="1896">
        <f>'Expenditures 15-22'!K342</f>
        <v>61621</v>
      </c>
      <c r="G13" s="860"/>
    </row>
    <row r="14" spans="1:7" ht="12" customHeight="1" thickBot="1" x14ac:dyDescent="0.25">
      <c r="A14" s="1757"/>
      <c r="B14" s="1758"/>
      <c r="C14" s="1759"/>
      <c r="D14" s="1760" t="s">
        <v>501</v>
      </c>
      <c r="E14" s="1761" t="s">
        <v>958</v>
      </c>
      <c r="F14" s="1762">
        <f>SUM(F8:F13)</f>
        <v>12006848</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4897</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0</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18598</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152607</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0</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0</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52</v>
      </c>
      <c r="G52" s="852"/>
    </row>
    <row r="53" spans="1:7" x14ac:dyDescent="0.2">
      <c r="A53" s="856" t="s">
        <v>459</v>
      </c>
      <c r="B53" s="856" t="s">
        <v>1475</v>
      </c>
      <c r="C53" s="876">
        <f>'Expenditures 15-22'!B102</f>
        <v>4000</v>
      </c>
      <c r="D53" s="875" t="str">
        <f>'Expenditures 15-22'!A102</f>
        <v>Total Payments to Other Govt Units</v>
      </c>
      <c r="E53" s="855"/>
      <c r="F53" s="1900">
        <f>'Expenditures 15-22'!K102</f>
        <v>138706</v>
      </c>
      <c r="G53" s="852"/>
    </row>
    <row r="54" spans="1:7" x14ac:dyDescent="0.2">
      <c r="A54" s="856" t="s">
        <v>459</v>
      </c>
      <c r="B54" s="856" t="s">
        <v>1476</v>
      </c>
      <c r="C54" s="876" t="s">
        <v>982</v>
      </c>
      <c r="D54" s="872" t="s">
        <v>1095</v>
      </c>
      <c r="E54" s="855"/>
      <c r="F54" s="1900">
        <f>'Expenditures 15-22'!G114</f>
        <v>39524</v>
      </c>
      <c r="G54" s="852"/>
    </row>
    <row r="55" spans="1:7" x14ac:dyDescent="0.2">
      <c r="A55" s="856" t="s">
        <v>459</v>
      </c>
      <c r="B55" s="856" t="s">
        <v>1477</v>
      </c>
      <c r="C55" s="876" t="s">
        <v>982</v>
      </c>
      <c r="D55" s="872" t="s">
        <v>291</v>
      </c>
      <c r="E55" s="855"/>
      <c r="F55" s="1900">
        <f>'Expenditures 15-22'!I114</f>
        <v>6700</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40489</v>
      </c>
      <c r="G58" s="852"/>
    </row>
    <row r="59" spans="1:7" x14ac:dyDescent="0.2">
      <c r="A59" s="880" t="s">
        <v>460</v>
      </c>
      <c r="B59" s="843" t="s">
        <v>1884</v>
      </c>
      <c r="C59" s="881" t="s">
        <v>982</v>
      </c>
      <c r="D59" s="843" t="s">
        <v>291</v>
      </c>
      <c r="F59" s="1903">
        <f>'Expenditures 15-22'!I151</f>
        <v>0</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1157084</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1894</v>
      </c>
      <c r="C70" s="873">
        <f>'Expenditures 15-22'!B221</f>
        <v>1300</v>
      </c>
      <c r="D70" s="874" t="str">
        <f>'Expenditures 15-22'!A221</f>
        <v>Adult/Continuing Education Programs</v>
      </c>
      <c r="E70" s="855"/>
      <c r="F70" s="1900">
        <f>'Expenditures 15-22'!K221</f>
        <v>0</v>
      </c>
      <c r="G70" s="852"/>
    </row>
    <row r="71" spans="1:8" x14ac:dyDescent="0.2">
      <c r="A71" s="856" t="s">
        <v>462</v>
      </c>
      <c r="B71" s="856" t="s">
        <v>1895</v>
      </c>
      <c r="C71" s="873">
        <f>'Expenditures 15-22'!B224</f>
        <v>1600</v>
      </c>
      <c r="D71" s="874" t="str">
        <f>'Expenditures 15-22'!A224</f>
        <v>Summer School Programs</v>
      </c>
      <c r="E71" s="855"/>
      <c r="F71" s="1900">
        <f>'Expenditures 15-22'!K224</f>
        <v>0</v>
      </c>
      <c r="G71" s="852"/>
    </row>
    <row r="72" spans="1:8" x14ac:dyDescent="0.2">
      <c r="A72" s="856" t="s">
        <v>462</v>
      </c>
      <c r="B72" s="856" t="s">
        <v>1896</v>
      </c>
      <c r="C72" s="873">
        <f>'Expenditures 15-22'!B280</f>
        <v>3000</v>
      </c>
      <c r="D72" s="863" t="s">
        <v>449</v>
      </c>
      <c r="E72" s="855"/>
      <c r="F72" s="1900">
        <f>'Expenditures 15-22'!K280</f>
        <v>0</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1558657</v>
      </c>
      <c r="G76" s="852"/>
    </row>
    <row r="77" spans="1:8" s="880" customFormat="1" ht="12" customHeight="1" thickTop="1" thickBot="1" x14ac:dyDescent="0.25">
      <c r="A77" s="1766"/>
      <c r="B77" s="1763"/>
      <c r="C77" s="1759"/>
      <c r="D77" s="1764" t="s">
        <v>1900</v>
      </c>
      <c r="E77" s="1761"/>
      <c r="F77" s="1767">
        <f>(F14-F76)</f>
        <v>10448191</v>
      </c>
      <c r="G77" s="856"/>
    </row>
    <row r="78" spans="1:8" s="880" customFormat="1" ht="12" customHeight="1" thickTop="1" x14ac:dyDescent="0.2">
      <c r="A78" s="1768"/>
      <c r="B78" s="1763"/>
      <c r="C78" s="1759"/>
      <c r="D78" s="1764" t="s">
        <v>2062</v>
      </c>
      <c r="E78" s="1761"/>
      <c r="F78" s="885">
        <v>571.6</v>
      </c>
      <c r="G78" s="886"/>
      <c r="H78" s="856"/>
    </row>
    <row r="79" spans="1:8" s="880" customFormat="1" ht="12" customHeight="1" thickBot="1" x14ac:dyDescent="0.25">
      <c r="A79" s="1769"/>
      <c r="B79" s="1763"/>
      <c r="C79" s="1759"/>
      <c r="D79" s="1764" t="s">
        <v>1901</v>
      </c>
      <c r="E79" s="1761" t="s">
        <v>958</v>
      </c>
      <c r="F79" s="1770">
        <f>IF(F78&gt;0,F77/F78," Complete Line 78")</f>
        <v>18278.850594821553</v>
      </c>
      <c r="G79" s="856"/>
    </row>
    <row r="80" spans="1:8" s="880" customFormat="1" ht="8.25" customHeight="1" thickTop="1" x14ac:dyDescent="0.2">
      <c r="A80" s="887"/>
      <c r="B80" s="856"/>
      <c r="C80" s="858"/>
      <c r="D80" s="888"/>
      <c r="E80" s="855"/>
      <c r="F80" s="889"/>
      <c r="G80" s="856"/>
    </row>
    <row r="81" spans="1:7" s="880" customFormat="1" ht="12" thickBot="1" x14ac:dyDescent="0.25">
      <c r="A81" s="2246" t="s">
        <v>1105</v>
      </c>
      <c r="B81" s="2247"/>
      <c r="C81" s="2247"/>
      <c r="D81" s="2247"/>
      <c r="E81" s="2247"/>
      <c r="F81" s="2248"/>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3735</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70589</v>
      </c>
      <c r="G94" s="899"/>
    </row>
    <row r="95" spans="1:7" x14ac:dyDescent="0.2">
      <c r="A95" s="895" t="s">
        <v>140</v>
      </c>
      <c r="B95" s="895" t="s">
        <v>175</v>
      </c>
      <c r="C95" s="897">
        <v>1700</v>
      </c>
      <c r="D95" s="905" t="str">
        <f>'Revenues 9-14'!A82</f>
        <v>Total District/School Activity Income</v>
      </c>
      <c r="E95" s="893"/>
      <c r="F95" s="1776">
        <f>SUM('Revenues 9-14'!C82,'Revenues 9-14'!D82)</f>
        <v>31741</v>
      </c>
      <c r="G95" s="899"/>
    </row>
    <row r="96" spans="1:7" x14ac:dyDescent="0.2">
      <c r="A96" s="895" t="s">
        <v>459</v>
      </c>
      <c r="B96" s="895" t="s">
        <v>176</v>
      </c>
      <c r="C96" s="897">
        <f>'Revenues 9-14'!B84</f>
        <v>1811</v>
      </c>
      <c r="D96" s="898" t="str">
        <f>'Revenues 9-14'!A84</f>
        <v>Rentals - Regular Textbooks</v>
      </c>
      <c r="E96" s="893"/>
      <c r="F96" s="1776">
        <f>'Revenues 9-14'!C84</f>
        <v>69800</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0</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55526</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39480</v>
      </c>
      <c r="G104" s="899"/>
    </row>
    <row r="105" spans="1:7" x14ac:dyDescent="0.2">
      <c r="A105" s="895" t="s">
        <v>503</v>
      </c>
      <c r="B105" s="895" t="s">
        <v>2003</v>
      </c>
      <c r="C105" s="900">
        <v>3100</v>
      </c>
      <c r="D105" s="906" t="str">
        <f>'Revenues 9-14'!A132</f>
        <v>Total Special Education</v>
      </c>
      <c r="E105" s="893"/>
      <c r="F105" s="1776">
        <f>SUM('Revenues 9-14'!C132:D132,'Revenues 9-14'!F132)</f>
        <v>23012</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0</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0</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146806</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750</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8803</v>
      </c>
      <c r="G125" s="917"/>
    </row>
    <row r="126" spans="1:7" x14ac:dyDescent="0.2">
      <c r="A126" s="914" t="s">
        <v>668</v>
      </c>
      <c r="B126" s="914" t="s">
        <v>2024</v>
      </c>
      <c r="C126" s="919">
        <v>4300</v>
      </c>
      <c r="D126" s="920" t="str">
        <f>'Revenues 9-14'!A204</f>
        <v>Total Title I</v>
      </c>
      <c r="E126" s="893"/>
      <c r="F126" s="1776">
        <f>SUM('Revenues 9-14'!C204,'Revenues 9-14'!D204,'Revenues 9-14'!F204,'Revenues 9-14'!G204)</f>
        <v>43487</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2303</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126660</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0</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0</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11092</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8648</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28544</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v>252702</v>
      </c>
      <c r="G171" s="914"/>
    </row>
    <row r="172" spans="1:7" x14ac:dyDescent="0.2">
      <c r="A172" s="1905" t="s">
        <v>664</v>
      </c>
      <c r="B172" s="1906" t="s">
        <v>1920</v>
      </c>
      <c r="C172" s="1907">
        <v>3300</v>
      </c>
      <c r="D172" s="1908" t="s">
        <v>1923</v>
      </c>
      <c r="E172" s="893"/>
      <c r="F172" s="1893">
        <v>10237</v>
      </c>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933915</v>
      </c>
    </row>
    <row r="175" spans="1:7" ht="12" customHeight="1" x14ac:dyDescent="0.2">
      <c r="A175" s="1757"/>
      <c r="B175" s="1771"/>
      <c r="C175" s="1772"/>
      <c r="D175" s="1773" t="s">
        <v>2057</v>
      </c>
      <c r="E175" s="1774"/>
      <c r="F175" s="1776">
        <f>'PCTC-OEPP 27-28'!F77-F174</f>
        <v>9514276</v>
      </c>
    </row>
    <row r="176" spans="1:7" ht="12" customHeight="1" x14ac:dyDescent="0.2">
      <c r="A176" s="1757"/>
      <c r="B176" s="1771"/>
      <c r="C176" s="1772"/>
      <c r="D176" s="1773" t="s">
        <v>1817</v>
      </c>
      <c r="E176" s="1774"/>
      <c r="F176" s="1776">
        <f>'Cap Outlay Deprec 26'!I18</f>
        <v>691673.5</v>
      </c>
    </row>
    <row r="177" spans="1:7" ht="12" customHeight="1" x14ac:dyDescent="0.2">
      <c r="A177" s="1757"/>
      <c r="B177" s="1771"/>
      <c r="C177" s="1772"/>
      <c r="D177" s="1773" t="s">
        <v>2058</v>
      </c>
      <c r="E177" s="1774"/>
      <c r="F177" s="1776">
        <f>F175+F176</f>
        <v>10205949.5</v>
      </c>
    </row>
    <row r="178" spans="1:7" ht="12" customHeight="1" x14ac:dyDescent="0.2">
      <c r="A178" s="1757"/>
      <c r="B178" s="1777"/>
      <c r="C178" s="1772"/>
      <c r="D178" s="1773" t="str">
        <f>D78</f>
        <v>9 Month ADA from District Average Daily Attendance/Prior General State Aid Inquiry 2018-2019</v>
      </c>
      <c r="E178" s="1774"/>
      <c r="F178" s="1778">
        <f>'PCTC-OEPP 27-28'!F78</f>
        <v>571.6</v>
      </c>
      <c r="G178" s="917"/>
    </row>
    <row r="179" spans="1:7" ht="12" customHeight="1" thickBot="1" x14ac:dyDescent="0.25">
      <c r="A179" s="1757"/>
      <c r="B179" s="1777"/>
      <c r="C179" s="1772"/>
      <c r="D179" s="1773" t="s">
        <v>2059</v>
      </c>
      <c r="E179" s="1774" t="s">
        <v>1545</v>
      </c>
      <c r="F179" s="1779">
        <f>F177/F178</f>
        <v>17855.055108467459</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H141"/>
  <sheetViews>
    <sheetView showGridLines="0" topLeftCell="A10" zoomScaleNormal="100" workbookViewId="0">
      <selection activeCell="B19" sqref="B19"/>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60" t="s">
        <v>1818</v>
      </c>
      <c r="B4" s="2261"/>
      <c r="C4" s="2261"/>
      <c r="D4" s="2261"/>
      <c r="E4" s="2261"/>
      <c r="F4" s="2261"/>
      <c r="G4" s="2262"/>
    </row>
    <row r="5" spans="1:7" x14ac:dyDescent="0.25">
      <c r="A5" s="2263"/>
      <c r="B5" s="2264"/>
      <c r="C5" s="2264"/>
      <c r="D5" s="2264"/>
      <c r="E5" s="2264"/>
      <c r="F5" s="2264"/>
      <c r="G5" s="2265"/>
    </row>
    <row r="6" spans="1:7" ht="18.75" x14ac:dyDescent="0.25">
      <c r="A6" s="1521" t="s">
        <v>1819</v>
      </c>
      <c r="B6" s="1522"/>
      <c r="C6" s="1522"/>
      <c r="D6" s="1522"/>
      <c r="E6" s="1522"/>
      <c r="F6" s="1522"/>
      <c r="G6" s="1523"/>
    </row>
    <row r="7" spans="1:7" ht="30.75" customHeight="1" x14ac:dyDescent="0.25">
      <c r="A7" s="2266" t="s">
        <v>1932</v>
      </c>
      <c r="B7" s="2267"/>
      <c r="C7" s="2267"/>
      <c r="D7" s="2267"/>
      <c r="E7" s="2267"/>
      <c r="F7" s="2267"/>
      <c r="G7" s="2268"/>
    </row>
    <row r="8" spans="1:7" ht="15.75" customHeight="1" x14ac:dyDescent="0.25">
      <c r="A8" s="2269" t="s">
        <v>1907</v>
      </c>
      <c r="B8" s="2270"/>
      <c r="C8" s="2270"/>
      <c r="D8" s="2270"/>
      <c r="E8" s="2270"/>
      <c r="F8" s="2270"/>
      <c r="G8" s="2271"/>
    </row>
    <row r="9" spans="1:7" ht="35.25" customHeight="1" x14ac:dyDescent="0.25">
      <c r="A9" s="2266" t="s">
        <v>1935</v>
      </c>
      <c r="B9" s="2267"/>
      <c r="C9" s="2267"/>
      <c r="D9" s="2267"/>
      <c r="E9" s="2267"/>
      <c r="F9" s="2267"/>
      <c r="G9" s="2268"/>
    </row>
    <row r="10" spans="1:7" ht="15" customHeight="1" x14ac:dyDescent="0.25">
      <c r="A10" s="1524" t="s">
        <v>1820</v>
      </c>
      <c r="B10" s="1525"/>
      <c r="C10" s="1525"/>
      <c r="D10" s="1525"/>
      <c r="E10" s="1525"/>
      <c r="F10" s="1525"/>
      <c r="G10" s="1526"/>
    </row>
    <row r="11" spans="1:7" ht="17.25" customHeight="1" x14ac:dyDescent="0.25">
      <c r="A11" s="2266" t="s">
        <v>1934</v>
      </c>
      <c r="B11" s="2267"/>
      <c r="C11" s="2267"/>
      <c r="D11" s="2267"/>
      <c r="E11" s="2267"/>
      <c r="F11" s="2267"/>
      <c r="G11" s="2268"/>
    </row>
    <row r="12" spans="1:7" ht="15" customHeight="1" x14ac:dyDescent="0.25">
      <c r="A12" s="1524" t="s">
        <v>1825</v>
      </c>
      <c r="B12" s="1525"/>
      <c r="C12" s="1525"/>
      <c r="D12" s="1525"/>
      <c r="E12" s="1525"/>
      <c r="F12" s="1525"/>
      <c r="G12" s="1526"/>
    </row>
    <row r="13" spans="1:7" ht="32.25" customHeight="1" x14ac:dyDescent="0.25">
      <c r="A13" s="2257" t="s">
        <v>1976</v>
      </c>
      <c r="B13" s="2258"/>
      <c r="C13" s="2258"/>
      <c r="D13" s="2258"/>
      <c r="E13" s="2258"/>
      <c r="F13" s="2258"/>
      <c r="G13" s="2259"/>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9" t="s">
        <v>2089</v>
      </c>
      <c r="B17" s="1928" t="s">
        <v>2098</v>
      </c>
      <c r="C17" s="1930" t="s">
        <v>2087</v>
      </c>
      <c r="D17" s="1831">
        <v>76429</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51429</v>
      </c>
      <c r="H17" s="1634"/>
    </row>
    <row r="18" spans="1:8" x14ac:dyDescent="0.25">
      <c r="A18" s="1929" t="s">
        <v>2089</v>
      </c>
      <c r="B18" s="1928" t="s">
        <v>2090</v>
      </c>
      <c r="C18" s="1930" t="s">
        <v>2091</v>
      </c>
      <c r="D18" s="1831">
        <v>69935</v>
      </c>
      <c r="E18" s="1527">
        <f t="shared" ref="E18:E140" si="2">IF(D18&lt;=25000,D18,IF(D18&gt;25000,25000,0))</f>
        <v>25000</v>
      </c>
      <c r="F18" s="1919">
        <f t="shared" si="1"/>
        <v>25000</v>
      </c>
      <c r="G18" s="1780">
        <f t="shared" ref="G18:G140" si="3">IF(F18=0,0,D18-F18)</f>
        <v>44935</v>
      </c>
    </row>
    <row r="19" spans="1:8" x14ac:dyDescent="0.25">
      <c r="A19" s="1929" t="s">
        <v>2089</v>
      </c>
      <c r="B19" s="1928" t="s">
        <v>2098</v>
      </c>
      <c r="C19" s="1930" t="s">
        <v>2092</v>
      </c>
      <c r="D19" s="1831">
        <v>86505</v>
      </c>
      <c r="E19" s="1527">
        <f t="shared" si="2"/>
        <v>25000</v>
      </c>
      <c r="F19" s="1919">
        <f t="shared" si="1"/>
        <v>25000</v>
      </c>
      <c r="G19" s="1780">
        <f t="shared" si="3"/>
        <v>61505</v>
      </c>
    </row>
    <row r="20" spans="1:8" x14ac:dyDescent="0.25">
      <c r="A20" s="1929" t="s">
        <v>2093</v>
      </c>
      <c r="B20" s="1928" t="s">
        <v>2099</v>
      </c>
      <c r="C20" s="1930" t="s">
        <v>2094</v>
      </c>
      <c r="D20" s="1831">
        <v>392451</v>
      </c>
      <c r="E20" s="1527">
        <f t="shared" si="2"/>
        <v>25000</v>
      </c>
      <c r="F20" s="1919">
        <f t="shared" si="1"/>
        <v>25000</v>
      </c>
      <c r="G20" s="1780">
        <f t="shared" si="3"/>
        <v>367451</v>
      </c>
    </row>
    <row r="21" spans="1:8" x14ac:dyDescent="0.25">
      <c r="A21" s="1929" t="s">
        <v>2095</v>
      </c>
      <c r="B21" s="1928" t="s">
        <v>2086</v>
      </c>
      <c r="C21" s="1930" t="s">
        <v>2096</v>
      </c>
      <c r="D21" s="1831">
        <v>226895</v>
      </c>
      <c r="E21" s="1527">
        <f t="shared" si="2"/>
        <v>25000</v>
      </c>
      <c r="F21" s="1919">
        <f t="shared" si="1"/>
        <v>25000</v>
      </c>
      <c r="G21" s="1780">
        <f t="shared" si="3"/>
        <v>201895</v>
      </c>
    </row>
    <row r="22" spans="1:8" x14ac:dyDescent="0.25">
      <c r="A22" s="1929" t="s">
        <v>2095</v>
      </c>
      <c r="B22" s="1928" t="s">
        <v>2086</v>
      </c>
      <c r="C22" s="1930" t="s">
        <v>2097</v>
      </c>
      <c r="D22" s="1831">
        <v>232015</v>
      </c>
      <c r="E22" s="1527">
        <f t="shared" si="2"/>
        <v>25000</v>
      </c>
      <c r="F22" s="1919">
        <f t="shared" si="1"/>
        <v>25000</v>
      </c>
      <c r="G22" s="1780">
        <f t="shared" si="3"/>
        <v>207015</v>
      </c>
    </row>
    <row r="23" spans="1:8" x14ac:dyDescent="0.25">
      <c r="A23" s="1925"/>
      <c r="B23" s="1926"/>
      <c r="C23" s="1927"/>
      <c r="D23" s="1831"/>
      <c r="E23" s="1527">
        <f t="shared" si="2"/>
        <v>0</v>
      </c>
      <c r="F23" s="1919">
        <f t="shared" si="1"/>
        <v>0</v>
      </c>
      <c r="G23" s="1780">
        <f t="shared" si="3"/>
        <v>0</v>
      </c>
    </row>
    <row r="24" spans="1:8" x14ac:dyDescent="0.25">
      <c r="A24" s="1925"/>
      <c r="B24" s="1926"/>
      <c r="C24" s="1927"/>
      <c r="D24" s="1831"/>
      <c r="E24" s="1527">
        <f t="shared" si="2"/>
        <v>0</v>
      </c>
      <c r="F24" s="1919">
        <f t="shared" si="1"/>
        <v>0</v>
      </c>
      <c r="G24" s="1780">
        <f t="shared" si="3"/>
        <v>0</v>
      </c>
    </row>
    <row r="25" spans="1:8" x14ac:dyDescent="0.25">
      <c r="A25" s="1925"/>
      <c r="B25" s="1924"/>
      <c r="C25" s="1927"/>
      <c r="D25" s="1831"/>
      <c r="E25" s="1527">
        <f t="shared" si="2"/>
        <v>0</v>
      </c>
      <c r="F25" s="1919">
        <f t="shared" si="1"/>
        <v>0</v>
      </c>
      <c r="G25" s="1780">
        <f t="shared" si="3"/>
        <v>0</v>
      </c>
    </row>
    <row r="26" spans="1:8" x14ac:dyDescent="0.25">
      <c r="A26" s="1925"/>
      <c r="B26" s="1928"/>
      <c r="C26" s="1927"/>
      <c r="D26" s="1831"/>
      <c r="E26" s="1527">
        <f t="shared" si="2"/>
        <v>0</v>
      </c>
      <c r="F26" s="1919">
        <f t="shared" si="1"/>
        <v>0</v>
      </c>
      <c r="G26" s="1780">
        <f t="shared" si="3"/>
        <v>0</v>
      </c>
    </row>
    <row r="27" spans="1:8" x14ac:dyDescent="0.25">
      <c r="A27" s="1925"/>
      <c r="B27" s="1928"/>
      <c r="C27" s="1927"/>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1084230</v>
      </c>
      <c r="E141" s="1528">
        <f t="shared" si="0"/>
        <v>25000</v>
      </c>
      <c r="F141" s="1920">
        <f>SUM(F17:F140)</f>
        <v>150000</v>
      </c>
      <c r="G141" s="1782">
        <f>SUM(G17:G140)</f>
        <v>934230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I46"/>
  <sheetViews>
    <sheetView showGridLines="0" defaultGridColor="0" topLeftCell="A37" colorId="8" zoomScale="110" zoomScaleNormal="110" workbookViewId="0">
      <selection activeCell="D48" sqref="D4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72" t="s">
        <v>1679</v>
      </c>
      <c r="B5" s="2273"/>
      <c r="C5" s="2273"/>
      <c r="D5" s="2273"/>
      <c r="E5" s="2273"/>
      <c r="F5" s="2273"/>
      <c r="G5" s="2274"/>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8803</v>
      </c>
      <c r="F10" s="961"/>
      <c r="G10" s="962"/>
      <c r="H10" s="162"/>
      <c r="I10" s="162"/>
    </row>
    <row r="11" spans="1:9" s="657" customFormat="1" ht="22.5" customHeight="1" x14ac:dyDescent="0.2">
      <c r="A11" s="2277" t="s">
        <v>1977</v>
      </c>
      <c r="B11" s="2278"/>
      <c r="C11" s="2278"/>
      <c r="D11" s="2279"/>
      <c r="E11" s="964"/>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6058753</v>
      </c>
      <c r="F19" s="1786"/>
      <c r="G19" s="1788">
        <f>'Expenditures 15-22'!K33-SUM('Expenditures 15-22'!G33,'Expenditures 15-22'!I33)+'Expenditures 15-22'!D229</f>
        <v>6058753</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667830</v>
      </c>
      <c r="F21" s="1789"/>
      <c r="G21" s="1792">
        <f>'Expenditures 15-22'!K42-SUM('Expenditures 15-22'!G42,'Expenditures 15-22'!I42)+'Expenditures 15-22'!K120-SUM('Expenditures 15-22'!G120,'Expenditures 15-22'!I120)+'Expenditures 15-22'!K180-SUM('Expenditures 15-22'!G180,'Expenditures 15-22'!I180)+'Expenditures 15-22'!D238</f>
        <v>667830</v>
      </c>
      <c r="H21" s="974"/>
      <c r="I21" s="162"/>
    </row>
    <row r="22" spans="1:9" s="657" customFormat="1" ht="12" customHeight="1" x14ac:dyDescent="0.2">
      <c r="A22" s="981" t="s">
        <v>564</v>
      </c>
      <c r="B22" s="982"/>
      <c r="C22" s="980">
        <v>2200</v>
      </c>
      <c r="D22" s="1789"/>
      <c r="E22" s="1791">
        <f>'Expenditures 15-22'!K47-SUM('Expenditures 15-22'!G47,'Expenditures 15-22'!I47)+'Expenditures 15-22'!D243</f>
        <v>798964</v>
      </c>
      <c r="F22" s="1789"/>
      <c r="G22" s="1792">
        <f>'Expenditures 15-22'!K47-SUM('Expenditures 15-22'!G47,'Expenditures 15-22'!I47)+'Expenditures 15-22'!D243</f>
        <v>798964</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588153</v>
      </c>
      <c r="F23" s="1789"/>
      <c r="G23" s="1791">
        <f>'Expenditures 15-22'!K53-SUM('Expenditures 15-22'!G53,'Expenditures 15-22'!I53)+'Expenditures 15-22'!D257+'Expenditures 15-22'!K330-SUM('Expenditures 15-22'!G330,'Expenditures 15-22'!I330)</f>
        <v>588153</v>
      </c>
      <c r="H23" s="974"/>
      <c r="I23" s="162"/>
    </row>
    <row r="24" spans="1:9" s="657" customFormat="1" ht="12" customHeight="1" x14ac:dyDescent="0.2">
      <c r="A24" s="981" t="s">
        <v>566</v>
      </c>
      <c r="B24" s="982"/>
      <c r="C24" s="980">
        <v>2400</v>
      </c>
      <c r="D24" s="1789"/>
      <c r="E24" s="1791">
        <f>'Expenditures 15-22'!K57-SUM('Expenditures 15-22'!G57,'Expenditures 15-22'!I57)+'Expenditures 15-22'!D261</f>
        <v>529437</v>
      </c>
      <c r="F24" s="1789"/>
      <c r="G24" s="1792">
        <f>'Expenditures 15-22'!K57-SUM('Expenditures 15-22'!G57,'Expenditures 15-22'!I57)+'Expenditures 15-22'!D261</f>
        <v>529437</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83022</v>
      </c>
      <c r="E26" s="1791">
        <f>'Expenditures 15-22'!K122-SUM('Expenditures 15-22'!G122,'Expenditures 15-22'!I122)+E7</f>
        <v>0</v>
      </c>
      <c r="F26" s="1791">
        <f>'Expenditures 15-22'!K59-SUM('Expenditures 15-22'!G59,'Expenditures 15-22'!I59)+'Expenditures 15-22'!D263-E7</f>
        <v>83022</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114329</v>
      </c>
      <c r="E27" s="1791">
        <f>E8</f>
        <v>0</v>
      </c>
      <c r="F27" s="1791">
        <f>'Expenditures 15-22'!K60-SUM('Expenditures 15-22'!G60,'Expenditures 15-22'!I60)+'Expenditures 15-22'!D264-E8</f>
        <v>114329</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821728</v>
      </c>
      <c r="F28" s="1793">
        <f>'Expenditures 15-22'!K61-SUM('Expenditures 15-22'!G61,'Expenditures 15-22'!I61)+'Expenditures 15-22'!K124-SUM('Expenditures 15-22'!G124,'Expenditures 15-22'!I124)+'Expenditures 15-22'!D266-E9</f>
        <v>821728</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499221</v>
      </c>
      <c r="F29" s="1789"/>
      <c r="G29" s="1792">
        <f>'Expenditures 15-22'!K62-SUM('Expenditures 15-22'!G62,'Expenditures 15-22'!I62)+'Expenditures 15-22'!K125-SUM('Expenditures 15-22'!G125,'Expenditures 15-22'!I125)+'Expenditures 15-22'!K182-SUM('Expenditures 15-22'!G182,'Expenditures 15-22'!I182)+'Expenditures 15-22'!D267</f>
        <v>499221</v>
      </c>
      <c r="H29" s="972"/>
    </row>
    <row r="30" spans="1:9" ht="12" customHeight="1" x14ac:dyDescent="0.2">
      <c r="A30" s="981" t="s">
        <v>100</v>
      </c>
      <c r="B30" s="984"/>
      <c r="C30" s="980">
        <v>2560</v>
      </c>
      <c r="D30" s="1789"/>
      <c r="E30" s="1791">
        <f>'Expenditures 15-22'!K63-SUM('Expenditures 15-22'!G63,'Expenditures 15-22'!I63)+'Expenditures 15-22'!D268-E10</f>
        <v>103636</v>
      </c>
      <c r="F30" s="1789"/>
      <c r="G30" s="1791">
        <f>'Expenditures 15-22'!K63-SUM('Expenditures 15-22'!G63,'Expenditures 15-22'!I63)+'Expenditures 15-22'!D268-E10</f>
        <v>103636</v>
      </c>
    </row>
    <row r="31" spans="1:9" ht="12" customHeight="1" x14ac:dyDescent="0.2">
      <c r="A31" s="981" t="s">
        <v>101</v>
      </c>
      <c r="B31" s="984"/>
      <c r="C31" s="980">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981" t="s">
        <v>403</v>
      </c>
      <c r="B36" s="984"/>
      <c r="C36" s="980">
        <v>2640</v>
      </c>
      <c r="D36" s="1791">
        <f>'Expenditures 15-22'!K70-SUM('Expenditures 15-22'!G70,'Expenditures 15-22'!I70)+'Expenditures 15-22'!D275-E13</f>
        <v>0</v>
      </c>
      <c r="E36" s="1791">
        <f>E13</f>
        <v>0</v>
      </c>
      <c r="F36" s="1791">
        <f>'Expenditures 15-22'!K70-SUM('Expenditures 15-22'!G70,'Expenditures 15-22'!I70)+'Expenditures 15-22'!D275-E13</f>
        <v>0</v>
      </c>
      <c r="G36" s="1791">
        <f>E13</f>
        <v>0</v>
      </c>
    </row>
    <row r="37" spans="1:7" ht="12" customHeight="1" x14ac:dyDescent="0.2">
      <c r="A37" s="981" t="s">
        <v>404</v>
      </c>
      <c r="B37" s="984"/>
      <c r="C37" s="980">
        <v>2660</v>
      </c>
      <c r="D37" s="1791">
        <f>'Expenditures 15-22'!K71-SUM('Expenditures 15-22'!G71,'Expenditures 15-22'!I71)+'Expenditures 15-22'!D276-E14</f>
        <v>119410</v>
      </c>
      <c r="E37" s="1791">
        <f>E14</f>
        <v>0</v>
      </c>
      <c r="F37" s="1791">
        <f>'Expenditures 15-22'!K71-SUM('Expenditures 15-22'!G71,'Expenditures 15-22'!I71)+'Expenditures 15-22'!D276-E14</f>
        <v>119410</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9108</v>
      </c>
      <c r="F38" s="1789"/>
      <c r="G38" s="1791">
        <f>'Expenditures 15-22'!K73-SUM('Expenditures 15-22'!G73,'Expenditures 15-22'!I73)+'Expenditures 15-22'!K128-SUM('Expenditures 15-22'!G128,'Expenditures 15-22'!I128)+'Expenditures 15-22'!K183-SUM('Expenditures 15-22'!G183,'Expenditures 15-22'!I183)+'Expenditures 15-22'!D278</f>
        <v>9108</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52</v>
      </c>
      <c r="F39" s="1789"/>
      <c r="G39" s="1791">
        <f>'Expenditures 15-22'!K75-SUM('Expenditures 15-22'!G75,'Expenditures 15-22'!I75)+'Expenditures 15-22'!K130-SUM('Expenditures 15-22'!G130,'Expenditures 15-22'!I130)+'Expenditures 15-22'!K185-SUM('Expenditures 15-22'!G185,'Expenditures 15-22'!I185)+'Expenditures 15-22'!D280</f>
        <v>52</v>
      </c>
    </row>
    <row r="40" spans="1:7" ht="12" customHeight="1" x14ac:dyDescent="0.2">
      <c r="A40" s="977" t="s">
        <v>1823</v>
      </c>
      <c r="B40" s="978"/>
      <c r="C40" s="980"/>
      <c r="D40" s="1789"/>
      <c r="E40" s="1793">
        <f>-'Contracts Paid in CY 29'!G141</f>
        <v>-934230</v>
      </c>
      <c r="F40" s="1789"/>
      <c r="G40" s="1793">
        <f>-'Contracts Paid in CY 29'!G141</f>
        <v>-934230</v>
      </c>
    </row>
    <row r="41" spans="1:7" ht="12" customHeight="1" x14ac:dyDescent="0.2">
      <c r="A41" s="985" t="s">
        <v>156</v>
      </c>
      <c r="B41" s="986"/>
      <c r="C41" s="987"/>
      <c r="D41" s="1793">
        <f>SUM(D19:D39)</f>
        <v>316761</v>
      </c>
      <c r="E41" s="1793">
        <f>SUM(E19:E40)</f>
        <v>9142652</v>
      </c>
      <c r="F41" s="1793">
        <f>SUM(F19:F39)</f>
        <v>1138489</v>
      </c>
      <c r="G41" s="1793">
        <f>SUM(G19:G40)</f>
        <v>8320924</v>
      </c>
    </row>
    <row r="42" spans="1:7" x14ac:dyDescent="0.2">
      <c r="A42" s="974"/>
      <c r="B42" s="162"/>
      <c r="C42" s="988"/>
      <c r="D42" s="2275" t="s">
        <v>522</v>
      </c>
      <c r="E42" s="2276"/>
      <c r="F42" s="989" t="s">
        <v>523</v>
      </c>
      <c r="G42" s="990"/>
    </row>
    <row r="43" spans="1:7" ht="12" customHeight="1" x14ac:dyDescent="0.2">
      <c r="A43" s="974"/>
      <c r="B43" s="162"/>
      <c r="C43" s="988"/>
      <c r="D43" s="1794" t="s">
        <v>473</v>
      </c>
      <c r="E43" s="1795">
        <f>D41</f>
        <v>316761</v>
      </c>
      <c r="F43" s="1794" t="s">
        <v>473</v>
      </c>
      <c r="G43" s="1795">
        <f>F41</f>
        <v>1138489</v>
      </c>
    </row>
    <row r="44" spans="1:7" ht="12" customHeight="1" x14ac:dyDescent="0.2">
      <c r="A44" s="974"/>
      <c r="B44" s="162"/>
      <c r="C44" s="988"/>
      <c r="D44" s="1794" t="s">
        <v>474</v>
      </c>
      <c r="E44" s="1795">
        <f>E41</f>
        <v>9142652</v>
      </c>
      <c r="F44" s="1794" t="s">
        <v>474</v>
      </c>
      <c r="G44" s="1795">
        <f>G41</f>
        <v>8320924</v>
      </c>
    </row>
    <row r="45" spans="1:7" ht="12" customHeight="1" x14ac:dyDescent="0.2">
      <c r="A45" s="974"/>
      <c r="B45" s="162"/>
      <c r="C45" s="162"/>
      <c r="D45" s="1796" t="s">
        <v>1006</v>
      </c>
      <c r="E45" s="1797">
        <f>(E43/E44)</f>
        <v>3.4646511756107529E-2</v>
      </c>
      <c r="F45" s="1796" t="s">
        <v>1006</v>
      </c>
      <c r="G45" s="1797">
        <f>(G43/G44)</f>
        <v>0.13682242500953018</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fitToPage="1"/>
  </sheetPr>
  <dimension ref="A1:L97"/>
  <sheetViews>
    <sheetView showGridLines="0" zoomScale="110" zoomScaleNormal="110" workbookViewId="0">
      <pane ySplit="4" topLeftCell="A11" activePane="bottomLeft" state="frozen"/>
      <selection activeCell="A47" sqref="A47"/>
      <selection pane="bottomLeft" activeCell="E23" sqref="E23"/>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5703125" style="1865" bestFit="1" customWidth="1"/>
    <col min="9" max="10" width="2" style="1865" bestFit="1" customWidth="1"/>
    <col min="11" max="11" width="9" style="1865" customWidth="1"/>
    <col min="12" max="16384" width="9.140625" style="1834"/>
  </cols>
  <sheetData>
    <row r="1" spans="1:10" x14ac:dyDescent="0.2">
      <c r="A1" s="2283" t="s">
        <v>1379</v>
      </c>
      <c r="B1" s="2283"/>
      <c r="C1" s="2283"/>
      <c r="D1" s="2283"/>
      <c r="E1" s="2283"/>
      <c r="F1" s="2283"/>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84" t="s">
        <v>1546</v>
      </c>
      <c r="B5" s="2285"/>
      <c r="C5" s="2286"/>
      <c r="D5" s="2286"/>
      <c r="E5" s="2286"/>
      <c r="F5" s="2286"/>
    </row>
    <row r="6" spans="1:10" ht="12" customHeight="1" x14ac:dyDescent="0.25">
      <c r="A6" s="1837"/>
      <c r="B6" s="1838"/>
      <c r="C6" s="2287" t="str">
        <f>COVER!A17</f>
        <v>Benjamin SD 25</v>
      </c>
      <c r="D6" s="2287"/>
      <c r="E6" s="2287"/>
      <c r="F6" s="1839"/>
    </row>
    <row r="7" spans="1:10" ht="11.25" customHeight="1" thickBot="1" x14ac:dyDescent="0.3">
      <c r="A7" s="1837"/>
      <c r="B7" s="1838"/>
      <c r="C7" s="2288">
        <f>COVER!A13</f>
        <v>19022025002</v>
      </c>
      <c r="D7" s="2288"/>
      <c r="E7" s="2288"/>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c r="D14" s="1852"/>
      <c r="E14" s="1855"/>
      <c r="F14" s="1854"/>
      <c r="H14" s="1865">
        <f t="shared" si="0"/>
        <v>0</v>
      </c>
      <c r="I14" s="1865">
        <f t="shared" si="1"/>
        <v>0</v>
      </c>
      <c r="J14" s="1865">
        <f t="shared" si="2"/>
        <v>0</v>
      </c>
    </row>
    <row r="15" spans="1:10" ht="12" customHeight="1" x14ac:dyDescent="0.2">
      <c r="A15" s="1850" t="s">
        <v>1387</v>
      </c>
      <c r="B15" s="1851"/>
      <c r="C15" s="1852" t="s">
        <v>2064</v>
      </c>
      <c r="D15" s="1852" t="s">
        <v>2064</v>
      </c>
      <c r="E15" s="1855"/>
      <c r="F15" s="1854" t="s">
        <v>2081</v>
      </c>
      <c r="H15" s="1865">
        <f t="shared" si="0"/>
        <v>5</v>
      </c>
      <c r="I15" s="1865">
        <f t="shared" si="1"/>
        <v>5</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2064</v>
      </c>
      <c r="D19" s="1852" t="s">
        <v>2064</v>
      </c>
      <c r="E19" s="1855"/>
      <c r="F19" s="1854" t="s">
        <v>2082</v>
      </c>
      <c r="H19" s="1865">
        <f t="shared" si="0"/>
        <v>5</v>
      </c>
      <c r="I19" s="1865">
        <f t="shared" si="1"/>
        <v>5</v>
      </c>
      <c r="J19" s="1865">
        <f t="shared" si="2"/>
        <v>0</v>
      </c>
    </row>
    <row r="20" spans="1:12" ht="12" customHeight="1" x14ac:dyDescent="0.2">
      <c r="A20" s="1850" t="s">
        <v>1528</v>
      </c>
      <c r="B20" s="1851"/>
      <c r="C20" s="1852"/>
      <c r="D20" s="1852"/>
      <c r="E20" s="1855"/>
      <c r="F20" s="1854"/>
      <c r="H20" s="1865">
        <f t="shared" si="0"/>
        <v>0</v>
      </c>
      <c r="I20" s="1865">
        <f t="shared" si="1"/>
        <v>0</v>
      </c>
      <c r="J20" s="1865">
        <f t="shared" si="2"/>
        <v>0</v>
      </c>
    </row>
    <row r="21" spans="1:12" ht="12" customHeight="1" x14ac:dyDescent="0.2">
      <c r="A21" s="1850" t="s">
        <v>1529</v>
      </c>
      <c r="B21" s="1851"/>
      <c r="C21" s="1852" t="s">
        <v>2064</v>
      </c>
      <c r="D21" s="1852" t="s">
        <v>2064</v>
      </c>
      <c r="E21" s="1855"/>
      <c r="F21" s="1854" t="s">
        <v>2100</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2064</v>
      </c>
      <c r="D26" s="1852" t="s">
        <v>2064</v>
      </c>
      <c r="E26" s="1855"/>
      <c r="F26" s="1854" t="s">
        <v>2083</v>
      </c>
      <c r="H26" s="1865">
        <f t="shared" si="0"/>
        <v>5</v>
      </c>
      <c r="I26" s="1865">
        <f t="shared" si="1"/>
        <v>5</v>
      </c>
      <c r="J26" s="1865">
        <f t="shared" si="2"/>
        <v>0</v>
      </c>
    </row>
    <row r="27" spans="1:12" ht="18.75" x14ac:dyDescent="0.2">
      <c r="A27" s="1850" t="s">
        <v>1535</v>
      </c>
      <c r="B27" s="1851"/>
      <c r="C27" s="1852" t="s">
        <v>2064</v>
      </c>
      <c r="D27" s="1852" t="s">
        <v>2064</v>
      </c>
      <c r="E27" s="1855"/>
      <c r="F27" s="1854" t="s">
        <v>2084</v>
      </c>
      <c r="H27" s="1865">
        <f t="shared" si="0"/>
        <v>5</v>
      </c>
      <c r="I27" s="1865">
        <f t="shared" si="1"/>
        <v>5</v>
      </c>
      <c r="J27" s="1865">
        <f t="shared" si="2"/>
        <v>0</v>
      </c>
    </row>
    <row r="28" spans="1:12" ht="12" customHeight="1" x14ac:dyDescent="0.2">
      <c r="A28" s="1850" t="s">
        <v>1536</v>
      </c>
      <c r="B28" s="1851"/>
      <c r="C28" s="1852" t="s">
        <v>2064</v>
      </c>
      <c r="D28" s="1852" t="s">
        <v>2064</v>
      </c>
      <c r="E28" s="1855"/>
      <c r="F28" s="1854" t="s">
        <v>2085</v>
      </c>
      <c r="H28" s="1865">
        <f t="shared" si="0"/>
        <v>5</v>
      </c>
      <c r="I28" s="1865">
        <f t="shared" si="1"/>
        <v>5</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c r="D30" s="1852"/>
      <c r="E30" s="1855"/>
      <c r="F30" s="1854"/>
      <c r="H30" s="1865">
        <f t="shared" si="0"/>
        <v>0</v>
      </c>
      <c r="I30" s="1865">
        <f t="shared" si="1"/>
        <v>0</v>
      </c>
      <c r="J30" s="1865">
        <f t="shared" si="2"/>
        <v>0</v>
      </c>
    </row>
    <row r="31" spans="1:12" ht="12" customHeight="1" x14ac:dyDescent="0.2">
      <c r="A31" s="1850" t="s">
        <v>1539</v>
      </c>
      <c r="B31" s="1851"/>
      <c r="C31" s="1852"/>
      <c r="D31" s="1852"/>
      <c r="E31" s="1855"/>
      <c r="F31" s="1854"/>
      <c r="H31" s="1865">
        <f t="shared" si="0"/>
        <v>0</v>
      </c>
      <c r="I31" s="1865">
        <f t="shared" si="1"/>
        <v>0</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30</v>
      </c>
      <c r="I34" s="1865">
        <f>SUM(I11:I32)</f>
        <v>30</v>
      </c>
      <c r="J34" s="1865">
        <f>SUM(J11:J32)</f>
        <v>0</v>
      </c>
      <c r="K34" s="1865">
        <f>SUM(H34:J34)</f>
        <v>60</v>
      </c>
    </row>
    <row r="35" spans="1:11" ht="12" customHeight="1" x14ac:dyDescent="0.2">
      <c r="A35" s="1858" t="s">
        <v>1392</v>
      </c>
      <c r="B35" s="1859"/>
      <c r="C35" s="2289"/>
      <c r="D35" s="2289"/>
      <c r="E35" s="2289"/>
      <c r="F35" s="2290"/>
    </row>
    <row r="36" spans="1:11" ht="12" customHeight="1" x14ac:dyDescent="0.2">
      <c r="A36" s="2280"/>
      <c r="B36" s="2281"/>
      <c r="C36" s="2281"/>
      <c r="D36" s="2281"/>
      <c r="E36" s="2281"/>
      <c r="F36" s="2282"/>
    </row>
    <row r="37" spans="1:11" ht="12" customHeight="1" x14ac:dyDescent="0.2">
      <c r="A37" s="2280"/>
      <c r="B37" s="2281"/>
      <c r="C37" s="2281"/>
      <c r="D37" s="2281"/>
      <c r="E37" s="2281"/>
      <c r="F37" s="2282"/>
    </row>
    <row r="38" spans="1:11" ht="12" customHeight="1" x14ac:dyDescent="0.2">
      <c r="A38" s="2294"/>
      <c r="B38" s="2295"/>
      <c r="C38" s="2295"/>
      <c r="D38" s="2295"/>
      <c r="E38" s="2295"/>
      <c r="F38" s="2296"/>
    </row>
    <row r="39" spans="1:11" ht="4.5" hidden="1" customHeight="1" x14ac:dyDescent="0.2">
      <c r="A39" s="1860"/>
      <c r="B39" s="1860"/>
      <c r="C39" s="1860"/>
      <c r="D39" s="1860"/>
      <c r="E39" s="1860"/>
      <c r="F39" s="1860"/>
    </row>
    <row r="40" spans="1:11" s="1857" customFormat="1" ht="12" customHeight="1" x14ac:dyDescent="0.25">
      <c r="A40" s="1861" t="s">
        <v>1391</v>
      </c>
      <c r="B40" s="1862"/>
      <c r="C40" s="2297"/>
      <c r="D40" s="2297"/>
      <c r="E40" s="2297"/>
      <c r="F40" s="2298"/>
      <c r="H40" s="1866"/>
      <c r="I40" s="1866"/>
      <c r="J40" s="1866"/>
      <c r="K40" s="1866"/>
    </row>
    <row r="41" spans="1:11" s="1857" customFormat="1" ht="12" customHeight="1" x14ac:dyDescent="0.25">
      <c r="A41" s="2299"/>
      <c r="B41" s="2300"/>
      <c r="C41" s="2300"/>
      <c r="D41" s="2300"/>
      <c r="E41" s="2300"/>
      <c r="F41" s="2301"/>
      <c r="H41" s="1866"/>
      <c r="I41" s="1866"/>
      <c r="J41" s="1866"/>
      <c r="K41" s="1866"/>
    </row>
    <row r="42" spans="1:11" s="1857" customFormat="1" ht="12" customHeight="1" x14ac:dyDescent="0.25">
      <c r="A42" s="2299"/>
      <c r="B42" s="2300"/>
      <c r="C42" s="2300"/>
      <c r="D42" s="2300"/>
      <c r="E42" s="2300"/>
      <c r="F42" s="2301"/>
      <c r="H42" s="1866"/>
      <c r="I42" s="1866"/>
      <c r="J42" s="1866"/>
      <c r="K42" s="1866"/>
    </row>
    <row r="43" spans="1:11" s="1857" customFormat="1" ht="15" x14ac:dyDescent="0.25">
      <c r="A43" s="2291"/>
      <c r="B43" s="2292"/>
      <c r="C43" s="2292"/>
      <c r="D43" s="2292"/>
      <c r="E43" s="2292"/>
      <c r="F43" s="2293"/>
      <c r="H43" s="1866"/>
      <c r="I43" s="1866"/>
      <c r="J43" s="1866"/>
      <c r="K43" s="1866"/>
    </row>
    <row r="44" spans="1:11" s="1857" customFormat="1" ht="12" hidden="1" customHeight="1" x14ac:dyDescent="0.25">
      <c r="A44" s="2291"/>
      <c r="B44" s="2292"/>
      <c r="C44" s="2292"/>
      <c r="D44" s="2292"/>
      <c r="E44" s="2292"/>
      <c r="F44" s="2293"/>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sheetPr>
  <dimension ref="A1:Q40"/>
  <sheetViews>
    <sheetView showGridLines="0" defaultGridColor="0" topLeftCell="A4" colorId="8" zoomScale="110" zoomScaleNormal="110" workbookViewId="0">
      <selection activeCell="G17" sqref="G17"/>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7" t="str">
        <f>COVER!A17</f>
        <v>Benjamin SD 25</v>
      </c>
      <c r="J6" s="2308"/>
      <c r="Q6" s="1651"/>
    </row>
    <row r="7" spans="1:17" x14ac:dyDescent="0.2">
      <c r="A7" s="2309" t="s">
        <v>869</v>
      </c>
      <c r="B7" s="2310"/>
      <c r="C7" s="2310"/>
      <c r="D7" s="2310"/>
      <c r="E7" s="2311"/>
      <c r="F7" s="1004"/>
      <c r="G7" s="996"/>
      <c r="H7" s="1003" t="s">
        <v>372</v>
      </c>
      <c r="I7" s="2312">
        <f>COVER!A13</f>
        <v>19022025002</v>
      </c>
      <c r="J7" s="2312"/>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13" t="s">
        <v>481</v>
      </c>
      <c r="B11" s="2314"/>
      <c r="C11" s="2315"/>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385343</v>
      </c>
      <c r="F12" s="1026"/>
      <c r="G12" s="1798">
        <f t="shared" ref="G12:G18" si="0">SUM(E12:F12)</f>
        <v>385343</v>
      </c>
      <c r="H12" s="1027">
        <v>330240</v>
      </c>
      <c r="I12" s="1026"/>
      <c r="J12" s="1798">
        <f t="shared" ref="J12:J18" si="1">SUM(H12:I12)</f>
        <v>330240</v>
      </c>
    </row>
    <row r="13" spans="1:17" ht="15" customHeight="1" x14ac:dyDescent="0.2">
      <c r="A13" s="1022">
        <v>2</v>
      </c>
      <c r="B13" s="1023" t="s">
        <v>42</v>
      </c>
      <c r="C13" s="1024"/>
      <c r="D13" s="1025">
        <v>2330</v>
      </c>
      <c r="E13" s="1798">
        <f>'Expenditures 15-22'!K51</f>
        <v>48799</v>
      </c>
      <c r="F13" s="1026"/>
      <c r="G13" s="1798">
        <f t="shared" si="0"/>
        <v>48799</v>
      </c>
      <c r="H13" s="1027">
        <v>47047</v>
      </c>
      <c r="I13" s="1026"/>
      <c r="J13" s="1798">
        <f t="shared" si="1"/>
        <v>47047</v>
      </c>
    </row>
    <row r="14" spans="1:17" ht="15" customHeight="1" x14ac:dyDescent="0.2">
      <c r="A14" s="1022">
        <v>3</v>
      </c>
      <c r="B14" s="1023" t="s">
        <v>43</v>
      </c>
      <c r="C14" s="1024"/>
      <c r="D14" s="1028">
        <v>2490</v>
      </c>
      <c r="E14" s="1798">
        <f>'Expenditures 15-22'!K56</f>
        <v>0</v>
      </c>
      <c r="F14" s="1026"/>
      <c r="G14" s="1798">
        <f t="shared" si="0"/>
        <v>0</v>
      </c>
      <c r="H14" s="1027">
        <v>0</v>
      </c>
      <c r="I14" s="1026"/>
      <c r="J14" s="1798">
        <f t="shared" si="1"/>
        <v>0</v>
      </c>
    </row>
    <row r="15" spans="1:17" ht="15" customHeight="1" x14ac:dyDescent="0.2">
      <c r="A15" s="1022">
        <v>4</v>
      </c>
      <c r="B15" s="1023" t="s">
        <v>1068</v>
      </c>
      <c r="C15" s="1024"/>
      <c r="D15" s="1025">
        <v>2510</v>
      </c>
      <c r="E15" s="1798">
        <f>'Expenditures 15-22'!K59</f>
        <v>81888</v>
      </c>
      <c r="F15" s="1798">
        <f>'Expenditures 15-22'!K122</f>
        <v>0</v>
      </c>
      <c r="G15" s="1798">
        <f t="shared" si="0"/>
        <v>81888</v>
      </c>
      <c r="H15" s="1027">
        <v>83951</v>
      </c>
      <c r="I15" s="1027"/>
      <c r="J15" s="1798">
        <f t="shared" si="1"/>
        <v>83951</v>
      </c>
    </row>
    <row r="16" spans="1:17" ht="15" customHeight="1" x14ac:dyDescent="0.2">
      <c r="A16" s="1022">
        <v>5</v>
      </c>
      <c r="B16" s="1023" t="s">
        <v>101</v>
      </c>
      <c r="C16" s="1024"/>
      <c r="D16" s="1025">
        <v>2570</v>
      </c>
      <c r="E16" s="1798">
        <f>'Expenditures 15-22'!K64</f>
        <v>0</v>
      </c>
      <c r="F16" s="1026"/>
      <c r="G16" s="1798">
        <f t="shared" si="0"/>
        <v>0</v>
      </c>
      <c r="H16" s="1027">
        <v>0</v>
      </c>
      <c r="I16" s="1026"/>
      <c r="J16" s="1798">
        <f t="shared" si="1"/>
        <v>0</v>
      </c>
    </row>
    <row r="17" spans="1:10" ht="15" customHeight="1" x14ac:dyDescent="0.2">
      <c r="A17" s="1022">
        <v>6</v>
      </c>
      <c r="B17" s="1023" t="s">
        <v>1060</v>
      </c>
      <c r="C17" s="1024"/>
      <c r="D17" s="1025">
        <v>2610</v>
      </c>
      <c r="E17" s="1798">
        <f>'Expenditures 15-22'!K67</f>
        <v>0</v>
      </c>
      <c r="F17" s="1026"/>
      <c r="G17" s="1798">
        <f t="shared" si="0"/>
        <v>0</v>
      </c>
      <c r="H17" s="1027">
        <v>0</v>
      </c>
      <c r="I17" s="1026"/>
      <c r="J17" s="1798">
        <f t="shared" si="1"/>
        <v>0</v>
      </c>
    </row>
    <row r="18" spans="1:10" ht="22.5" customHeight="1" x14ac:dyDescent="0.2">
      <c r="A18" s="1029">
        <v>7</v>
      </c>
      <c r="B18" s="2316" t="s">
        <v>7</v>
      </c>
      <c r="C18" s="2317"/>
      <c r="D18" s="2318"/>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516030</v>
      </c>
      <c r="F19" s="1800">
        <f t="shared" si="2"/>
        <v>0</v>
      </c>
      <c r="G19" s="1800">
        <f t="shared" si="2"/>
        <v>516030</v>
      </c>
      <c r="H19" s="1800">
        <f t="shared" si="2"/>
        <v>461238</v>
      </c>
      <c r="I19" s="1800">
        <f t="shared" si="2"/>
        <v>0</v>
      </c>
      <c r="J19" s="1800">
        <f t="shared" si="2"/>
        <v>461238</v>
      </c>
    </row>
    <row r="20" spans="1:10" ht="13.5" thickTop="1" x14ac:dyDescent="0.2">
      <c r="A20" s="1022">
        <v>9</v>
      </c>
      <c r="B20" s="2319" t="s">
        <v>1981</v>
      </c>
      <c r="C20" s="2319"/>
      <c r="D20" s="2320"/>
      <c r="E20" s="1033"/>
      <c r="F20" s="1033"/>
      <c r="G20" s="1033"/>
      <c r="H20" s="1033"/>
      <c r="I20" s="1033"/>
      <c r="J20" s="1801">
        <f>IF(AND(G19&gt;0,J19&gt;0),(((J19-G19)/G19)),"Enter Budget Data")</f>
        <v>-0.10617987326318237</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5"/>
      <c r="D26" s="2325"/>
      <c r="E26" s="1037"/>
      <c r="F26" s="2324"/>
      <c r="G26" s="2324"/>
    </row>
    <row r="27" spans="1:10" x14ac:dyDescent="0.2">
      <c r="B27" s="1034"/>
      <c r="C27" s="1038" t="s">
        <v>1033</v>
      </c>
      <c r="D27" s="1039"/>
      <c r="E27" s="1040"/>
      <c r="F27" s="2321" t="s">
        <v>1509</v>
      </c>
      <c r="G27" s="2321"/>
    </row>
    <row r="28" spans="1:10" ht="28.5" customHeight="1" x14ac:dyDescent="0.2">
      <c r="B28" s="1034"/>
      <c r="C28" s="2323"/>
      <c r="D28" s="2323"/>
      <c r="E28" s="1041"/>
      <c r="F28" s="2323"/>
      <c r="G28" s="2323"/>
    </row>
    <row r="29" spans="1:10" x14ac:dyDescent="0.2">
      <c r="B29" s="1034"/>
      <c r="C29" s="1042" t="s">
        <v>1561</v>
      </c>
      <c r="E29" s="1043"/>
      <c r="F29" s="2322" t="s">
        <v>1510</v>
      </c>
      <c r="G29" s="2322"/>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4" t="s">
        <v>132</v>
      </c>
      <c r="D33" s="2305"/>
      <c r="E33" s="2305"/>
      <c r="F33" s="2305"/>
      <c r="G33" s="2305"/>
      <c r="H33" s="2305"/>
      <c r="I33" s="2305"/>
    </row>
    <row r="34" spans="1:10" ht="10.35" customHeight="1" x14ac:dyDescent="0.2">
      <c r="C34" s="2305"/>
      <c r="D34" s="2305"/>
      <c r="E34" s="2305"/>
      <c r="F34" s="2305"/>
      <c r="G34" s="2305"/>
      <c r="H34" s="2305"/>
      <c r="I34" s="2305"/>
    </row>
    <row r="35" spans="1:10" ht="7.5" customHeight="1" x14ac:dyDescent="0.2">
      <c r="C35" s="1049"/>
    </row>
    <row r="36" spans="1:10" ht="13.5" customHeight="1" x14ac:dyDescent="0.2">
      <c r="B36" s="1048"/>
      <c r="C36" s="2306" t="s">
        <v>1983</v>
      </c>
      <c r="D36" s="2305"/>
      <c r="E36" s="2305"/>
      <c r="F36" s="2305"/>
      <c r="G36" s="2305"/>
      <c r="H36" s="2305"/>
      <c r="I36" s="2305"/>
      <c r="J36" s="1050"/>
    </row>
    <row r="37" spans="1:10" ht="22.5" customHeight="1" x14ac:dyDescent="0.2">
      <c r="C37" s="2305"/>
      <c r="D37" s="2305"/>
      <c r="E37" s="2305"/>
      <c r="F37" s="2305"/>
      <c r="G37" s="2305"/>
      <c r="H37" s="2305"/>
      <c r="I37" s="2305"/>
      <c r="J37" s="1050"/>
    </row>
    <row r="38" spans="1:10" ht="7.5" customHeight="1" x14ac:dyDescent="0.2">
      <c r="C38" s="1049"/>
      <c r="D38" s="1051"/>
      <c r="E38" s="1052"/>
      <c r="F38" s="1053"/>
      <c r="G38" s="1052"/>
    </row>
    <row r="39" spans="1:10" ht="13.5" customHeight="1" x14ac:dyDescent="0.2">
      <c r="B39" s="1048"/>
      <c r="C39" s="2302" t="s">
        <v>882</v>
      </c>
      <c r="D39" s="2303"/>
      <c r="E39" s="2303"/>
      <c r="F39" s="2303"/>
      <c r="G39" s="2303"/>
      <c r="H39" s="2303"/>
      <c r="I39" s="2303"/>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B65"/>
  <sheetViews>
    <sheetView showGridLines="0" zoomScale="110" zoomScaleNormal="110" workbookViewId="0">
      <selection activeCell="B20" sqref="B2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Benjamin SD 25</v>
      </c>
    </row>
    <row r="65" spans="2:2" x14ac:dyDescent="0.2">
      <c r="B65" s="1057">
        <f>COVER!A13</f>
        <v>19022025002</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84"/>
  <sheetViews>
    <sheetView showGridLines="0" topLeftCell="A16" zoomScale="110" zoomScaleNormal="110" workbookViewId="0">
      <selection activeCell="B96" sqref="B9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3" t="s">
        <v>1065</v>
      </c>
      <c r="B35" s="2043"/>
      <c r="C35" s="2043"/>
      <c r="D35" s="2043"/>
      <c r="E35" s="204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0" t="s">
        <v>691</v>
      </c>
      <c r="B40" s="2040"/>
      <c r="C40" s="2040"/>
      <c r="D40" s="2040"/>
      <c r="E40" s="2040"/>
    </row>
    <row r="41" spans="1:5" x14ac:dyDescent="0.2">
      <c r="A41" s="2041" t="s">
        <v>1608</v>
      </c>
      <c r="B41" s="2041"/>
      <c r="C41" s="2041"/>
      <c r="D41" s="2041"/>
      <c r="E41" s="2041"/>
    </row>
    <row r="42" spans="1:5" ht="12.75" customHeight="1" x14ac:dyDescent="0.2">
      <c r="A42" s="2042" t="s">
        <v>1022</v>
      </c>
      <c r="B42" s="2042"/>
      <c r="C42" s="2042"/>
      <c r="D42" s="2042"/>
      <c r="E42" s="204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sheetPr>
  <dimension ref="A1:D19"/>
  <sheetViews>
    <sheetView showGridLines="0" defaultGridColor="0" colorId="8" zoomScale="110" zoomScaleNormal="110" workbookViewId="0">
      <selection activeCell="C12" sqref="C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6" t="s">
        <v>1685</v>
      </c>
      <c r="B18" s="232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1038225</xdr:colOff>
                <xdr:row>3</xdr:row>
                <xdr:rowOff>9525</xdr:rowOff>
              </from>
              <to>
                <xdr:col>1</xdr:col>
                <xdr:colOff>1952625</xdr:colOff>
                <xdr:row>7</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2105025</xdr:colOff>
                <xdr:row>3</xdr:row>
                <xdr:rowOff>19050</xdr:rowOff>
              </from>
              <to>
                <xdr:col>1</xdr:col>
                <xdr:colOff>3019425</xdr:colOff>
                <xdr:row>7</xdr:row>
                <xdr:rowOff>57150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3209925</xdr:colOff>
                <xdr:row>3</xdr:row>
                <xdr:rowOff>19050</xdr:rowOff>
              </from>
              <to>
                <xdr:col>2</xdr:col>
                <xdr:colOff>142875</xdr:colOff>
                <xdr:row>7</xdr:row>
                <xdr:rowOff>57150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activeCell="I10" sqref="I1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7" t="s">
        <v>1690</v>
      </c>
      <c r="B1" s="2328"/>
      <c r="C1" s="2328"/>
      <c r="D1" s="2328"/>
      <c r="E1" s="2328"/>
      <c r="F1" s="2329"/>
    </row>
    <row r="2" spans="1:8" ht="45" customHeight="1" x14ac:dyDescent="0.2">
      <c r="A2" s="2337" t="s">
        <v>1987</v>
      </c>
      <c r="B2" s="2338"/>
      <c r="C2" s="2338"/>
      <c r="D2" s="2338"/>
      <c r="E2" s="2338"/>
      <c r="F2" s="2339"/>
      <c r="G2" s="1061"/>
      <c r="H2" s="1061"/>
    </row>
    <row r="3" spans="1:8" ht="57" customHeight="1" x14ac:dyDescent="0.2">
      <c r="A3" s="2340" t="s">
        <v>1686</v>
      </c>
      <c r="B3" s="2341"/>
      <c r="C3" s="2341"/>
      <c r="D3" s="2341"/>
      <c r="E3" s="2341"/>
      <c r="F3" s="2342"/>
      <c r="G3" s="1061"/>
      <c r="H3" s="1061"/>
    </row>
    <row r="4" spans="1:8" ht="14.25" customHeight="1" x14ac:dyDescent="0.2">
      <c r="A4" s="2346" t="s">
        <v>1988</v>
      </c>
      <c r="B4" s="2347"/>
      <c r="C4" s="2347"/>
      <c r="D4" s="2347"/>
      <c r="E4" s="2347"/>
      <c r="F4" s="2348"/>
      <c r="G4" s="1061"/>
      <c r="H4" s="1061"/>
    </row>
    <row r="5" spans="1:8" ht="14.25" customHeight="1" x14ac:dyDescent="0.2">
      <c r="A5" s="2349" t="s">
        <v>1984</v>
      </c>
      <c r="B5" s="2350"/>
      <c r="C5" s="2350"/>
      <c r="D5" s="2350"/>
      <c r="E5" s="2350"/>
      <c r="F5" s="2351"/>
      <c r="G5" s="1061"/>
      <c r="H5" s="1061"/>
    </row>
    <row r="6" spans="1:8" s="1062" customFormat="1" ht="41.25" customHeight="1" x14ac:dyDescent="0.2">
      <c r="A6" s="2343" t="s">
        <v>1691</v>
      </c>
      <c r="B6" s="2344"/>
      <c r="C6" s="2344"/>
      <c r="D6" s="2344"/>
      <c r="E6" s="2344"/>
      <c r="F6" s="2345"/>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9616027</v>
      </c>
      <c r="C8" s="1802">
        <f>'Acct Summary 7-8'!D8</f>
        <v>728470</v>
      </c>
      <c r="D8" s="1802">
        <f>'Acct Summary 7-8'!F8</f>
        <v>514978</v>
      </c>
      <c r="E8" s="1802">
        <f>'Acct Summary 7-8'!I8</f>
        <v>36322</v>
      </c>
      <c r="F8" s="1802">
        <f>SUM(B8:E8)</f>
        <v>10895797</v>
      </c>
    </row>
    <row r="9" spans="1:8" s="1066" customFormat="1" ht="14.25" customHeight="1" thickBot="1" x14ac:dyDescent="0.25">
      <c r="A9" s="1065" t="s">
        <v>1369</v>
      </c>
      <c r="B9" s="1803">
        <f>'Acct Summary 7-8'!C17</f>
        <v>8879800</v>
      </c>
      <c r="C9" s="1803">
        <f>'Acct Summary 7-8'!D17</f>
        <v>850240</v>
      </c>
      <c r="D9" s="1803">
        <f>'Acct Summary 7-8'!F17</f>
        <v>553282</v>
      </c>
      <c r="E9" s="1802"/>
      <c r="F9" s="1802">
        <f>SUM(B9:E9)</f>
        <v>10283322</v>
      </c>
    </row>
    <row r="10" spans="1:8" s="1066" customFormat="1" ht="14.25" thickTop="1" thickBot="1" x14ac:dyDescent="0.25">
      <c r="A10" s="1067" t="s">
        <v>1370</v>
      </c>
      <c r="B10" s="1804">
        <f>(B8-B9)</f>
        <v>736227</v>
      </c>
      <c r="C10" s="1804">
        <f>(C8-C9)</f>
        <v>-121770</v>
      </c>
      <c r="D10" s="1804">
        <f>(D8-D9)</f>
        <v>-38304</v>
      </c>
      <c r="E10" s="1803">
        <f>(E8-E9)</f>
        <v>36322</v>
      </c>
      <c r="F10" s="1805">
        <f>SUM(F8-F9)</f>
        <v>612475</v>
      </c>
    </row>
    <row r="11" spans="1:8" s="1066" customFormat="1" ht="14.25" thickTop="1" thickBot="1" x14ac:dyDescent="0.25">
      <c r="A11" s="1068" t="s">
        <v>1985</v>
      </c>
      <c r="B11" s="1806">
        <f>'Acct Summary 7-8'!C81</f>
        <v>7364144</v>
      </c>
      <c r="C11" s="1806">
        <f>'Acct Summary 7-8'!D81</f>
        <v>1833986</v>
      </c>
      <c r="D11" s="1806">
        <f>'Acct Summary 7-8'!F81</f>
        <v>1304927</v>
      </c>
      <c r="E11" s="1806">
        <f>'Acct Summary 7-8'!I81</f>
        <v>1103175</v>
      </c>
      <c r="F11" s="1807">
        <f>SUM(B11:E11)</f>
        <v>11606232</v>
      </c>
    </row>
    <row r="12" spans="1:8" ht="16.5" customHeight="1" thickTop="1" x14ac:dyDescent="0.2">
      <c r="A12" s="1069"/>
      <c r="B12" s="1070"/>
      <c r="C12" s="2331" t="str">
        <f>IF(AND(F10&lt;0,F11&gt;=0,ABS(F10*3)&gt;ABS(F11)),A16,IF(AND(F10&lt;0,F11&gt;0,ABS(F10*3)&lt;=ABS(F11)),A17,IF(AND(F10&lt;0,F11&lt;0),A16,IF(F11=0,A19,A18))))</f>
        <v>Balanced - no deficit reduction plan is required.</v>
      </c>
      <c r="D12" s="2332"/>
      <c r="E12" s="2332"/>
      <c r="F12" s="2333"/>
    </row>
    <row r="13" spans="1:8" ht="19.5" customHeight="1" x14ac:dyDescent="0.2">
      <c r="A13" s="1071"/>
      <c r="B13" s="1072"/>
      <c r="C13" s="2331"/>
      <c r="D13" s="2332"/>
      <c r="E13" s="2332"/>
      <c r="F13" s="2333"/>
      <c r="H13" s="1061"/>
    </row>
    <row r="14" spans="1:8" ht="19.5" customHeight="1" x14ac:dyDescent="0.2">
      <c r="A14" s="1071"/>
      <c r="B14" s="1072"/>
      <c r="C14" s="2331"/>
      <c r="D14" s="2332"/>
      <c r="E14" s="2332"/>
      <c r="F14" s="2333"/>
      <c r="H14" s="1061"/>
    </row>
    <row r="15" spans="1:8" ht="17.25" customHeight="1" x14ac:dyDescent="0.2">
      <c r="A15" s="1071"/>
      <c r="B15" s="1072"/>
      <c r="C15" s="2334"/>
      <c r="D15" s="2335"/>
      <c r="E15" s="2335"/>
      <c r="F15" s="2336"/>
      <c r="H15" s="1061"/>
    </row>
    <row r="16" spans="1:8" s="310" customFormat="1" ht="51.75" hidden="1" customHeight="1" x14ac:dyDescent="0.2">
      <c r="A16" s="2330" t="s">
        <v>1687</v>
      </c>
      <c r="B16" s="2330"/>
      <c r="C16" s="2330"/>
      <c r="D16" s="2330"/>
      <c r="E16" s="2330"/>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C22" sqref="C22:D22"/>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52" t="s">
        <v>665</v>
      </c>
      <c r="B3" s="2353"/>
      <c r="C3" s="2353"/>
      <c r="D3" s="2354"/>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63" t="s">
        <v>1504</v>
      </c>
      <c r="D7" s="2364"/>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5" t="s">
        <v>1008</v>
      </c>
      <c r="B15" s="2356"/>
      <c r="C15" s="2356"/>
      <c r="D15" s="2357"/>
    </row>
    <row r="16" spans="1:4" s="657" customFormat="1" ht="24" customHeight="1" x14ac:dyDescent="0.2">
      <c r="A16" s="2358" t="s">
        <v>663</v>
      </c>
      <c r="B16" s="2359"/>
      <c r="C16" s="2359"/>
      <c r="D16" s="2360"/>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7" t="s">
        <v>314</v>
      </c>
      <c r="D21" s="2368"/>
    </row>
    <row r="22" spans="1:10" ht="12.75" x14ac:dyDescent="0.2">
      <c r="A22" s="1126"/>
      <c r="B22" s="1127">
        <v>2</v>
      </c>
      <c r="C22" s="2365" t="s">
        <v>1524</v>
      </c>
      <c r="D22" s="2366"/>
    </row>
    <row r="23" spans="1:10" ht="12.2" customHeight="1" x14ac:dyDescent="0.2">
      <c r="A23" s="1126"/>
      <c r="B23" s="1127"/>
      <c r="C23" s="1128" t="s">
        <v>954</v>
      </c>
      <c r="D23" s="1129" t="str">
        <f>IF(COVER!O11="X","CASH",IF(COVER!O12="X","ACCRUAL ","PLEASE CHECK AN ACCOUNTING BASIS."))</f>
        <v>CASH</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9" t="s">
        <v>536</v>
      </c>
      <c r="D43" s="2370"/>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61" t="s">
        <v>784</v>
      </c>
      <c r="D56" s="2362"/>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61" t="s">
        <v>1696</v>
      </c>
      <c r="D70" s="2362"/>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19022025002</v>
      </c>
    </row>
    <row r="3" spans="1:2" x14ac:dyDescent="0.2">
      <c r="A3" t="s">
        <v>956</v>
      </c>
      <c r="B3" s="138" t="str">
        <f>COVER!A15</f>
        <v>Dupage</v>
      </c>
    </row>
    <row r="4" spans="1:2" x14ac:dyDescent="0.2">
      <c r="A4" t="s">
        <v>1007</v>
      </c>
      <c r="B4" s="138" t="str">
        <f>COVER!A17</f>
        <v>Benjamin SD 25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Michael Moyski</v>
      </c>
    </row>
    <row r="18" spans="1:2" x14ac:dyDescent="0.2">
      <c r="A18" t="s">
        <v>1150</v>
      </c>
      <c r="B18" s="138" t="str">
        <f>COVER!T17</f>
        <v>211 South Wheaton Avenue, Suite 400</v>
      </c>
    </row>
    <row r="19" spans="1:2" x14ac:dyDescent="0.2">
      <c r="A19" t="s">
        <v>886</v>
      </c>
      <c r="B19" s="138" t="str">
        <f>COVER!T25</f>
        <v>mmoyski@mmaadvisors.com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7274242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7364144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7364144</v>
      </c>
      <c r="D92" s="2" t="str">
        <f t="shared" si="0"/>
        <v>Error?</v>
      </c>
    </row>
    <row r="93" spans="1:4" x14ac:dyDescent="0.2">
      <c r="A93" s="5">
        <v>32</v>
      </c>
      <c r="B93" s="138">
        <f>'Assets-Liab 5-6'!C41</f>
        <v>7364144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1824143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1833986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1833986</v>
      </c>
      <c r="D123" s="2" t="str">
        <f t="shared" si="0"/>
        <v>Error?</v>
      </c>
    </row>
    <row r="124" spans="1:4" x14ac:dyDescent="0.2">
      <c r="A124" s="5">
        <v>63</v>
      </c>
      <c r="B124" s="138">
        <f>'Assets-Liab 5-6'!D41</f>
        <v>1833986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538782</v>
      </c>
      <c r="D129" s="2" t="str">
        <f t="shared" si="1"/>
        <v>Error?</v>
      </c>
    </row>
    <row r="130" spans="1:4" x14ac:dyDescent="0.2">
      <c r="A130" s="5">
        <v>69</v>
      </c>
      <c r="B130" s="138">
        <f>'Assets-Liab 5-6'!E12</f>
        <v>0</v>
      </c>
      <c r="D130" s="2" t="str">
        <f t="shared" si="1"/>
        <v>Error?</v>
      </c>
    </row>
    <row r="131" spans="1:4" x14ac:dyDescent="0.2">
      <c r="A131" s="5">
        <v>70</v>
      </c>
      <c r="B131" s="138">
        <f>'Assets-Liab 5-6'!E13</f>
        <v>549378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549378</v>
      </c>
      <c r="D140" s="2" t="str">
        <f t="shared" si="1"/>
        <v>Error?</v>
      </c>
    </row>
    <row r="141" spans="1:4" x14ac:dyDescent="0.2">
      <c r="A141" s="5">
        <v>80</v>
      </c>
      <c r="B141" s="138">
        <f>'Assets-Liab 5-6'!E41</f>
        <v>549378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1303034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1304927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1304927</v>
      </c>
      <c r="D170" s="2" t="str">
        <f t="shared" si="1"/>
        <v>Error?</v>
      </c>
    </row>
    <row r="171" spans="1:4" x14ac:dyDescent="0.2">
      <c r="A171" s="5">
        <v>110</v>
      </c>
      <c r="B171" s="138">
        <f>'Assets-Liab 5-6'!F41</f>
        <v>1304927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1370175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1381776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1381776</v>
      </c>
      <c r="D189" s="2" t="str">
        <f t="shared" si="1"/>
        <v>Error?</v>
      </c>
    </row>
    <row r="190" spans="1:4" x14ac:dyDescent="0.2">
      <c r="A190" s="5">
        <v>129</v>
      </c>
      <c r="B190" s="138">
        <f>'Assets-Liab 5-6'!G41</f>
        <v>1381776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1055027</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1118902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1118902</v>
      </c>
      <c r="D212" s="2" t="str">
        <f t="shared" si="2"/>
        <v>Error?</v>
      </c>
    </row>
    <row r="213" spans="1:4" x14ac:dyDescent="0.2">
      <c r="A213" s="12">
        <v>152</v>
      </c>
      <c r="B213" s="138">
        <f>'Assets-Liab 5-6'!H41</f>
        <v>1118902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135061</v>
      </c>
      <c r="D273" s="2" t="str">
        <f t="shared" si="3"/>
        <v>Error?</v>
      </c>
    </row>
    <row r="274" spans="1:4" x14ac:dyDescent="0.2">
      <c r="A274" s="5">
        <v>213</v>
      </c>
      <c r="B274" s="138">
        <f>'Assets-Liab 5-6'!M17</f>
        <v>20404555</v>
      </c>
      <c r="D274" s="2" t="str">
        <f t="shared" si="3"/>
        <v>Error?</v>
      </c>
    </row>
    <row r="275" spans="1:4" x14ac:dyDescent="0.2">
      <c r="A275" s="5">
        <v>214</v>
      </c>
      <c r="B275" s="138">
        <f>'Assets-Liab 5-6'!M18</f>
        <v>734164</v>
      </c>
      <c r="D275" s="2" t="str">
        <f t="shared" si="3"/>
        <v>Error?</v>
      </c>
    </row>
    <row r="276" spans="1:4" x14ac:dyDescent="0.2">
      <c r="A276" s="5">
        <v>215</v>
      </c>
      <c r="B276" s="138">
        <f>'Assets-Liab 5-6'!M19</f>
        <v>2879545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24153325</v>
      </c>
      <c r="C279" s="2" t="s">
        <v>573</v>
      </c>
      <c r="D279" s="2" t="str">
        <f t="shared" si="3"/>
        <v>Error?</v>
      </c>
    </row>
    <row r="280" spans="1:4" x14ac:dyDescent="0.2">
      <c r="A280" s="5">
        <v>219</v>
      </c>
      <c r="B280" s="138">
        <f>'Assets-Liab 5-6'!M40</f>
        <v>24153325</v>
      </c>
      <c r="D280" s="2" t="str">
        <f t="shared" si="3"/>
        <v>Error?</v>
      </c>
    </row>
    <row r="281" spans="1:4" x14ac:dyDescent="0.2">
      <c r="A281" s="5">
        <v>220</v>
      </c>
      <c r="B281" s="138">
        <f>'Assets-Liab 5-6'!M41</f>
        <v>24153325</v>
      </c>
      <c r="C281" s="2" t="s">
        <v>573</v>
      </c>
      <c r="D281" s="2" t="str">
        <f t="shared" si="3"/>
        <v>Error?</v>
      </c>
    </row>
    <row r="282" spans="1:4" x14ac:dyDescent="0.2">
      <c r="A282" s="5">
        <v>221</v>
      </c>
      <c r="B282" s="138">
        <f>'Assets-Liab 5-6'!N21</f>
        <v>549378</v>
      </c>
      <c r="D282" s="2" t="str">
        <f t="shared" si="3"/>
        <v>Error?</v>
      </c>
    </row>
    <row r="283" spans="1:4" x14ac:dyDescent="0.2">
      <c r="A283" s="5">
        <v>222</v>
      </c>
      <c r="B283" s="138">
        <f>'Assets-Liab 5-6'!N22</f>
        <v>6537285</v>
      </c>
      <c r="D283" s="2" t="str">
        <f t="shared" si="3"/>
        <v>Error?</v>
      </c>
    </row>
    <row r="284" spans="1:4" x14ac:dyDescent="0.2">
      <c r="A284" s="5">
        <v>223</v>
      </c>
      <c r="B284" s="138">
        <f>'Assets-Liab 5-6'!N23</f>
        <v>7086663</v>
      </c>
      <c r="C284" s="2" t="s">
        <v>573</v>
      </c>
      <c r="D284" s="2" t="str">
        <f t="shared" si="3"/>
        <v>Error?</v>
      </c>
    </row>
    <row r="285" spans="1:4" x14ac:dyDescent="0.2">
      <c r="A285" s="5">
        <v>224</v>
      </c>
      <c r="B285" s="138">
        <f>'Assets-Liab 5-6'!N36</f>
        <v>7086663</v>
      </c>
      <c r="D285" s="2" t="str">
        <f t="shared" si="3"/>
        <v>Error?</v>
      </c>
    </row>
    <row r="286" spans="1:4" x14ac:dyDescent="0.2">
      <c r="A286" s="10">
        <v>225</v>
      </c>
      <c r="D286" s="2" t="str">
        <f t="shared" si="3"/>
        <v>OK</v>
      </c>
    </row>
    <row r="287" spans="1:4" x14ac:dyDescent="0.2">
      <c r="A287" s="5">
        <v>226</v>
      </c>
      <c r="B287" s="138">
        <f>'Assets-Liab 5-6'!N37</f>
        <v>7086663</v>
      </c>
      <c r="C287" s="2" t="s">
        <v>573</v>
      </c>
      <c r="D287" s="2" t="str">
        <f t="shared" si="3"/>
        <v>Error?</v>
      </c>
    </row>
    <row r="288" spans="1:4" x14ac:dyDescent="0.2">
      <c r="A288" s="5">
        <v>227</v>
      </c>
      <c r="B288" s="138">
        <f>'Assets-Liab 5-6'!N41</f>
        <v>7086663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3652937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70118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18598</v>
      </c>
      <c r="D719" s="2" t="str">
        <f t="shared" si="10"/>
        <v>Error?</v>
      </c>
    </row>
    <row r="720" spans="1:4" x14ac:dyDescent="0.2">
      <c r="A720" s="5">
        <v>659</v>
      </c>
      <c r="B720" s="138">
        <f>'Expenditures 15-22'!C33</f>
        <v>4738916</v>
      </c>
      <c r="C720" s="2" t="s">
        <v>573</v>
      </c>
      <c r="D720" s="2" t="str">
        <f t="shared" si="10"/>
        <v>Error?</v>
      </c>
    </row>
    <row r="721" spans="1:4" x14ac:dyDescent="0.2">
      <c r="A721" s="5">
        <v>660</v>
      </c>
      <c r="B721" s="138">
        <f>'Expenditures 15-22'!C36</f>
        <v>107665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97573</v>
      </c>
      <c r="D723" s="2" t="str">
        <f t="shared" si="10"/>
        <v>Error?</v>
      </c>
    </row>
    <row r="724" spans="1:4" x14ac:dyDescent="0.2">
      <c r="A724" s="5">
        <v>663</v>
      </c>
      <c r="B724" s="138">
        <f>'Expenditures 15-22'!C39</f>
        <v>110829</v>
      </c>
      <c r="D724" s="2" t="str">
        <f t="shared" si="10"/>
        <v>Error?</v>
      </c>
    </row>
    <row r="725" spans="1:4" x14ac:dyDescent="0.2">
      <c r="A725" s="5">
        <v>664</v>
      </c>
      <c r="B725" s="138">
        <f>'Expenditures 15-22'!C40</f>
        <v>194102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510169</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254558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254558</v>
      </c>
      <c r="C731" s="2" t="s">
        <v>573</v>
      </c>
      <c r="D731" s="2" t="str">
        <f t="shared" si="10"/>
        <v>Error?</v>
      </c>
    </row>
    <row r="732" spans="1:4" x14ac:dyDescent="0.2">
      <c r="A732" s="5">
        <v>671</v>
      </c>
      <c r="B732" s="138">
        <f>'Expenditures 15-22'!C49</f>
        <v>2031</v>
      </c>
      <c r="D732" s="2" t="str">
        <f t="shared" si="10"/>
        <v>Error?</v>
      </c>
    </row>
    <row r="733" spans="1:4" x14ac:dyDescent="0.2">
      <c r="A733" s="5">
        <v>672</v>
      </c>
      <c r="B733" s="138">
        <f>'Expenditures 15-22'!C50</f>
        <v>297183</v>
      </c>
      <c r="D733" s="2" t="str">
        <f t="shared" si="10"/>
        <v>Error?</v>
      </c>
    </row>
    <row r="734" spans="1:4" x14ac:dyDescent="0.2">
      <c r="A734" s="5">
        <v>673</v>
      </c>
      <c r="B734" s="138">
        <f>'Expenditures 15-22'!C53</f>
        <v>333976</v>
      </c>
      <c r="C734" s="2" t="s">
        <v>573</v>
      </c>
      <c r="D734" s="2" t="str">
        <f t="shared" si="10"/>
        <v>Error?</v>
      </c>
    </row>
    <row r="735" spans="1:4" x14ac:dyDescent="0.2">
      <c r="A735" s="5">
        <v>674</v>
      </c>
      <c r="B735" s="138">
        <f>'Expenditures 15-22'!C55</f>
        <v>372352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372352</v>
      </c>
      <c r="C737" s="2" t="s">
        <v>573</v>
      </c>
      <c r="D737" s="2" t="str">
        <f t="shared" si="10"/>
        <v>Error?</v>
      </c>
    </row>
    <row r="738" spans="1:4" x14ac:dyDescent="0.2">
      <c r="A738" s="5">
        <v>677</v>
      </c>
      <c r="B738" s="138">
        <f>'Expenditures 15-22'!C59</f>
        <v>79973</v>
      </c>
      <c r="D738" s="2" t="str">
        <f t="shared" si="10"/>
        <v>Error?</v>
      </c>
    </row>
    <row r="739" spans="1:4" x14ac:dyDescent="0.2">
      <c r="A739" s="5">
        <v>678</v>
      </c>
      <c r="B739" s="138">
        <f>'Expenditures 15-22'!C60</f>
        <v>62898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26042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168913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74333</v>
      </c>
      <c r="D751" s="2" t="str">
        <f t="shared" si="10"/>
        <v>Error?</v>
      </c>
    </row>
    <row r="752" spans="1:4" x14ac:dyDescent="0.2">
      <c r="A752" s="10">
        <v>691</v>
      </c>
      <c r="D752" s="2" t="str">
        <f t="shared" si="10"/>
        <v>OK</v>
      </c>
    </row>
    <row r="753" spans="1:4" x14ac:dyDescent="0.2">
      <c r="A753" s="5">
        <v>692</v>
      </c>
      <c r="B753" s="138">
        <f>'Expenditures 15-22'!C72</f>
        <v>74333</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1714301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6453217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541927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15742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878607</v>
      </c>
      <c r="C778" s="2" t="s">
        <v>573</v>
      </c>
      <c r="D778" s="2" t="str">
        <f t="shared" si="11"/>
        <v>Error?</v>
      </c>
    </row>
    <row r="779" spans="1:4" x14ac:dyDescent="0.2">
      <c r="A779" s="5">
        <v>718</v>
      </c>
      <c r="B779" s="138">
        <f>'Expenditures 15-22'!D36</f>
        <v>2164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31257</v>
      </c>
      <c r="D781" s="2" t="str">
        <f t="shared" si="11"/>
        <v>Error?</v>
      </c>
    </row>
    <row r="782" spans="1:4" x14ac:dyDescent="0.2">
      <c r="A782" s="5">
        <v>721</v>
      </c>
      <c r="B782" s="138">
        <f>'Expenditures 15-22'!D39</f>
        <v>13222</v>
      </c>
      <c r="D782" s="2" t="str">
        <f t="shared" si="11"/>
        <v>Error?</v>
      </c>
    </row>
    <row r="783" spans="1:4" x14ac:dyDescent="0.2">
      <c r="A783" s="5">
        <v>722</v>
      </c>
      <c r="B783" s="138">
        <f>'Expenditures 15-22'!D40</f>
        <v>27940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74583</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49270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49270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51221</v>
      </c>
      <c r="D791" s="2" t="str">
        <f t="shared" si="11"/>
        <v>Error?</v>
      </c>
    </row>
    <row r="792" spans="1:4" x14ac:dyDescent="0.2">
      <c r="A792" s="5">
        <v>731</v>
      </c>
      <c r="B792" s="138">
        <f>'Expenditures 15-22'!D53</f>
        <v>62709</v>
      </c>
      <c r="C792" s="2" t="s">
        <v>573</v>
      </c>
      <c r="D792" s="2" t="str">
        <f t="shared" si="11"/>
        <v>Error?</v>
      </c>
    </row>
    <row r="793" spans="1:4" x14ac:dyDescent="0.2">
      <c r="A793" s="5">
        <v>732</v>
      </c>
      <c r="B793" s="138">
        <f>'Expenditures 15-22'!D55</f>
        <v>103571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103571</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11729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11729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30194</v>
      </c>
      <c r="D809" s="2" t="str">
        <f t="shared" si="11"/>
        <v>Error?</v>
      </c>
    </row>
    <row r="810" spans="1:4" x14ac:dyDescent="0.2">
      <c r="A810" s="10">
        <v>749</v>
      </c>
      <c r="D810" s="2" t="str">
        <f t="shared" si="11"/>
        <v>OK</v>
      </c>
    </row>
    <row r="811" spans="1:4" x14ac:dyDescent="0.2">
      <c r="A811" s="5">
        <v>750</v>
      </c>
      <c r="B811" s="138">
        <f>'Expenditures 15-22'!D72</f>
        <v>30194</v>
      </c>
      <c r="C811" s="2" t="s">
        <v>573</v>
      </c>
      <c r="D811" s="2" t="str">
        <f t="shared" si="11"/>
        <v>Error?</v>
      </c>
    </row>
    <row r="812" spans="1:4" x14ac:dyDescent="0.2">
      <c r="A812" s="5">
        <v>751</v>
      </c>
      <c r="B812" s="138">
        <f>'Expenditures 15-22'!D73</f>
        <v>7510</v>
      </c>
      <c r="D812" s="2" t="str">
        <f t="shared" si="11"/>
        <v>Error?</v>
      </c>
    </row>
    <row r="813" spans="1:4" x14ac:dyDescent="0.2">
      <c r="A813" s="5">
        <v>752</v>
      </c>
      <c r="B813" s="138">
        <f>'Expenditures 15-22'!D74</f>
        <v>339566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1218173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2300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5901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8401</v>
      </c>
      <c r="C836" s="2" t="s">
        <v>573</v>
      </c>
      <c r="D836" s="2" t="str">
        <f t="shared" si="12"/>
        <v>Error?</v>
      </c>
    </row>
    <row r="837" spans="1:4" x14ac:dyDescent="0.2">
      <c r="A837" s="5">
        <v>776</v>
      </c>
      <c r="B837" s="138">
        <f>'Expenditures 15-22'!E36</f>
        <v>107</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300</v>
      </c>
      <c r="D840" s="2" t="str">
        <f t="shared" si="12"/>
        <v>Error?</v>
      </c>
    </row>
    <row r="841" spans="1:4" x14ac:dyDescent="0.2">
      <c r="A841" s="5">
        <v>780</v>
      </c>
      <c r="B841" s="138">
        <f>'Expenditures 15-22'!E40</f>
        <v>30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437</v>
      </c>
      <c r="C843" s="2" t="s">
        <v>573</v>
      </c>
      <c r="D843" s="2" t="str">
        <f t="shared" si="12"/>
        <v>Error?</v>
      </c>
    </row>
    <row r="844" spans="1:4" x14ac:dyDescent="0.2">
      <c r="A844" s="5">
        <v>783</v>
      </c>
      <c r="B844" s="138">
        <f>'Expenditures 15-22'!E44</f>
        <v>42592</v>
      </c>
      <c r="D844" s="2" t="str">
        <f t="shared" si="12"/>
        <v>Error?</v>
      </c>
    </row>
    <row r="845" spans="1:4" x14ac:dyDescent="0.2">
      <c r="A845" s="5">
        <v>784</v>
      </c>
      <c r="B845" s="138">
        <f>'Expenditures 15-22'!E45</f>
        <v>152518</v>
      </c>
      <c r="D845" s="2" t="str">
        <f t="shared" si="12"/>
        <v>Error?</v>
      </c>
    </row>
    <row r="846" spans="1:4" x14ac:dyDescent="0.2">
      <c r="A846" s="5">
        <v>785</v>
      </c>
      <c r="B846" s="138">
        <f>'Expenditures 15-22'!E46</f>
        <v>4058</v>
      </c>
      <c r="D846" s="2" t="str">
        <f t="shared" si="12"/>
        <v>Error?</v>
      </c>
    </row>
    <row r="847" spans="1:4" x14ac:dyDescent="0.2">
      <c r="A847" s="5">
        <v>786</v>
      </c>
      <c r="B847" s="138">
        <f>'Expenditures 15-22'!E47</f>
        <v>199168</v>
      </c>
      <c r="C847" s="2" t="s">
        <v>573</v>
      </c>
      <c r="D847" s="2" t="str">
        <f t="shared" si="12"/>
        <v>Error?</v>
      </c>
    </row>
    <row r="848" spans="1:4" x14ac:dyDescent="0.2">
      <c r="A848" s="5">
        <v>787</v>
      </c>
      <c r="B848" s="138">
        <f>'Expenditures 15-22'!E49</f>
        <v>53206</v>
      </c>
      <c r="D848" s="2" t="str">
        <f t="shared" si="12"/>
        <v>Error?</v>
      </c>
    </row>
    <row r="849" spans="1:4" x14ac:dyDescent="0.2">
      <c r="A849" s="5">
        <v>788</v>
      </c>
      <c r="B849" s="138">
        <f>'Expenditures 15-22'!E50</f>
        <v>26411</v>
      </c>
      <c r="D849" s="2" t="str">
        <f t="shared" si="12"/>
        <v>Error?</v>
      </c>
    </row>
    <row r="850" spans="1:4" x14ac:dyDescent="0.2">
      <c r="A850" s="5">
        <v>789</v>
      </c>
      <c r="B850" s="138">
        <f>'Expenditures 15-22'!E53</f>
        <v>82146</v>
      </c>
      <c r="C850" s="2" t="s">
        <v>573</v>
      </c>
      <c r="D850" s="2" t="str">
        <f t="shared" si="12"/>
        <v>Error?</v>
      </c>
    </row>
    <row r="851" spans="1:4" x14ac:dyDescent="0.2">
      <c r="A851" s="5">
        <v>790</v>
      </c>
      <c r="B851" s="138">
        <f>'Expenditures 15-22'!E55</f>
        <v>1922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1922</v>
      </c>
      <c r="C853" s="2" t="s">
        <v>573</v>
      </c>
      <c r="D853" s="2" t="str">
        <f t="shared" si="12"/>
        <v>Error?</v>
      </c>
    </row>
    <row r="854" spans="1:4" x14ac:dyDescent="0.2">
      <c r="A854" s="5">
        <v>793</v>
      </c>
      <c r="B854" s="138">
        <f>'Expenditures 15-22'!E59</f>
        <v>1227</v>
      </c>
      <c r="D854" s="2" t="str">
        <f t="shared" si="12"/>
        <v>Error?</v>
      </c>
    </row>
    <row r="855" spans="1:4" x14ac:dyDescent="0.2">
      <c r="A855" s="5">
        <v>794</v>
      </c>
      <c r="B855" s="138">
        <f>'Expenditures 15-22'!E60</f>
        <v>17671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69775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88673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1598</v>
      </c>
      <c r="D870" s="2" t="str">
        <f t="shared" si="12"/>
        <v>Error?</v>
      </c>
    </row>
    <row r="871" spans="1:4" x14ac:dyDescent="0.2">
      <c r="A871" s="5">
        <v>810</v>
      </c>
      <c r="B871" s="138">
        <f>'Expenditures 15-22'!E74</f>
        <v>373944</v>
      </c>
      <c r="C871" s="2" t="s">
        <v>573</v>
      </c>
      <c r="D871" s="2" t="str">
        <f t="shared" si="12"/>
        <v>Error?</v>
      </c>
    </row>
    <row r="872" spans="1:4" x14ac:dyDescent="0.2">
      <c r="A872" s="5">
        <v>811</v>
      </c>
      <c r="B872" s="138">
        <f>'Expenditures 15-22'!E75</f>
        <v>52</v>
      </c>
      <c r="D872" s="2" t="str">
        <f t="shared" si="12"/>
        <v>Error?</v>
      </c>
    </row>
    <row r="873" spans="1:4" x14ac:dyDescent="0.2">
      <c r="A873" s="5">
        <v>812</v>
      </c>
      <c r="B873" s="138">
        <f>'Expenditures 15-22'!E114</f>
        <v>382397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127376</v>
      </c>
      <c r="D879" s="2" t="str">
        <f t="shared" si="12"/>
        <v>Error?</v>
      </c>
    </row>
    <row r="880" spans="1:4" x14ac:dyDescent="0.2">
      <c r="A880" s="5">
        <v>819</v>
      </c>
      <c r="B880" s="138">
        <f>'Expenditures 15-22'!F16</f>
        <v>2044</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131783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1499</v>
      </c>
      <c r="D897" s="2" t="str">
        <f t="shared" si="13"/>
        <v>Error?</v>
      </c>
    </row>
    <row r="898" spans="1:4" x14ac:dyDescent="0.2">
      <c r="A898" s="5">
        <v>837</v>
      </c>
      <c r="B898" s="138">
        <f>'Expenditures 15-22'!F39</f>
        <v>2525</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4024</v>
      </c>
      <c r="C901" s="2" t="s">
        <v>573</v>
      </c>
      <c r="D901" s="2" t="str">
        <f t="shared" si="13"/>
        <v>Error?</v>
      </c>
    </row>
    <row r="902" spans="1:4" x14ac:dyDescent="0.2">
      <c r="A902" s="5">
        <v>841</v>
      </c>
      <c r="B902" s="138">
        <f>'Expenditures 15-22'!F44</f>
        <v>3780</v>
      </c>
      <c r="D902" s="2" t="str">
        <f t="shared" si="13"/>
        <v>Error?</v>
      </c>
    </row>
    <row r="903" spans="1:4" x14ac:dyDescent="0.2">
      <c r="A903" s="5">
        <v>842</v>
      </c>
      <c r="B903" s="138">
        <f>'Expenditures 15-22'!F45</f>
        <v>274995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278775</v>
      </c>
      <c r="C905" s="2" t="s">
        <v>573</v>
      </c>
      <c r="D905" s="2" t="str">
        <f t="shared" si="13"/>
        <v>Error?</v>
      </c>
    </row>
    <row r="906" spans="1:4" x14ac:dyDescent="0.2">
      <c r="A906" s="5">
        <v>845</v>
      </c>
      <c r="B906" s="138">
        <f>'Expenditures 15-22'!F49</f>
        <v>10959</v>
      </c>
      <c r="D906" s="2" t="str">
        <f t="shared" si="13"/>
        <v>Error?</v>
      </c>
    </row>
    <row r="907" spans="1:4" x14ac:dyDescent="0.2">
      <c r="A907" s="5">
        <v>846</v>
      </c>
      <c r="B907" s="138">
        <f>'Expenditures 15-22'!F50</f>
        <v>10528</v>
      </c>
      <c r="D907" s="2" t="str">
        <f t="shared" si="13"/>
        <v>Error?</v>
      </c>
    </row>
    <row r="908" spans="1:4" x14ac:dyDescent="0.2">
      <c r="A908" s="5">
        <v>847</v>
      </c>
      <c r="B908" s="138">
        <f>'Expenditures 15-22'!F53</f>
        <v>21507</v>
      </c>
      <c r="C908" s="2" t="s">
        <v>573</v>
      </c>
      <c r="D908" s="2" t="str">
        <f t="shared" si="13"/>
        <v>Error?</v>
      </c>
    </row>
    <row r="909" spans="1:4" x14ac:dyDescent="0.2">
      <c r="A909" s="5">
        <v>848</v>
      </c>
      <c r="B909" s="138">
        <f>'Expenditures 15-22'!F55</f>
        <v>27484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27484</v>
      </c>
      <c r="C911" s="2" t="s">
        <v>573</v>
      </c>
      <c r="D911" s="2" t="str">
        <f t="shared" si="13"/>
        <v>Error?</v>
      </c>
    </row>
    <row r="912" spans="1:4" x14ac:dyDescent="0.2">
      <c r="A912" s="5">
        <v>851</v>
      </c>
      <c r="B912" s="138">
        <f>'Expenditures 15-22'!F59</f>
        <v>688</v>
      </c>
      <c r="D912" s="2" t="str">
        <f t="shared" si="13"/>
        <v>Error?</v>
      </c>
    </row>
    <row r="913" spans="1:4" x14ac:dyDescent="0.2">
      <c r="A913" s="5">
        <v>852</v>
      </c>
      <c r="B913" s="138">
        <f>'Expenditures 15-22'!F60</f>
        <v>9203</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15012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24903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356693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488476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34500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34500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5024</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5024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39524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39524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152607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138706</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291313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4322240</v>
      </c>
      <c r="C1093" s="2" t="s">
        <v>573</v>
      </c>
      <c r="D1093" s="2" t="str">
        <f t="shared" si="16"/>
        <v>Error?</v>
      </c>
    </row>
    <row r="1094" spans="1:4" x14ac:dyDescent="0.2">
      <c r="A1094" s="5">
        <v>1033</v>
      </c>
      <c r="B1094" s="138">
        <f>'Expenditures 15-22'!K16</f>
        <v>4344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85860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5901</v>
      </c>
      <c r="C1106" s="2" t="s">
        <v>573</v>
      </c>
      <c r="D1106" s="2" t="str">
        <f t="shared" si="16"/>
        <v>Error?</v>
      </c>
    </row>
    <row r="1107" spans="1:4" x14ac:dyDescent="0.2">
      <c r="A1107" s="5">
        <v>1046</v>
      </c>
      <c r="B1107" s="138">
        <f>'Expenditures 15-22'!K15</f>
        <v>18598</v>
      </c>
      <c r="C1107" s="2" t="s">
        <v>573</v>
      </c>
      <c r="D1107" s="2" t="str">
        <f t="shared" si="16"/>
        <v>Error?</v>
      </c>
    </row>
    <row r="1108" spans="1:4" x14ac:dyDescent="0.2">
      <c r="A1108" s="5">
        <v>1047</v>
      </c>
      <c r="B1108" s="138">
        <f>'Expenditures 15-22'!K33</f>
        <v>5910314</v>
      </c>
      <c r="C1108" s="2" t="s">
        <v>573</v>
      </c>
      <c r="D1108" s="2" t="str">
        <f t="shared" si="16"/>
        <v>Error?</v>
      </c>
    </row>
    <row r="1109" spans="1:4" x14ac:dyDescent="0.2">
      <c r="A1109" s="5">
        <v>1048</v>
      </c>
      <c r="B1109" s="138">
        <f>'Expenditures 15-22'!K36</f>
        <v>109936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130329</v>
      </c>
      <c r="C1111" s="2" t="s">
        <v>573</v>
      </c>
      <c r="D1111" s="2" t="str">
        <f t="shared" si="16"/>
        <v>Error?</v>
      </c>
    </row>
    <row r="1112" spans="1:4" x14ac:dyDescent="0.2">
      <c r="A1112" s="5">
        <v>1051</v>
      </c>
      <c r="B1112" s="138">
        <f>'Expenditures 15-22'!K39</f>
        <v>126876</v>
      </c>
      <c r="C1112" s="2" t="s">
        <v>573</v>
      </c>
      <c r="D1112" s="2" t="str">
        <f t="shared" si="16"/>
        <v>Error?</v>
      </c>
    </row>
    <row r="1113" spans="1:4" x14ac:dyDescent="0.2">
      <c r="A1113" s="5">
        <v>1052</v>
      </c>
      <c r="B1113" s="138">
        <f>'Expenditures 15-22'!K40</f>
        <v>222072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589213</v>
      </c>
      <c r="C1115" s="2" t="s">
        <v>573</v>
      </c>
      <c r="D1115" s="2" t="str">
        <f t="shared" si="16"/>
        <v>Error?</v>
      </c>
    </row>
    <row r="1116" spans="1:4" x14ac:dyDescent="0.2">
      <c r="A1116" s="5">
        <v>1055</v>
      </c>
      <c r="B1116" s="138">
        <f>'Expenditures 15-22'!K44</f>
        <v>46372</v>
      </c>
      <c r="C1116" s="2" t="s">
        <v>573</v>
      </c>
      <c r="D1116" s="2" t="str">
        <f t="shared" si="16"/>
        <v>Error?</v>
      </c>
    </row>
    <row r="1117" spans="1:4" x14ac:dyDescent="0.2">
      <c r="A1117" s="5">
        <v>1056</v>
      </c>
      <c r="B1117" s="138">
        <f>'Expenditures 15-22'!K45</f>
        <v>772541</v>
      </c>
      <c r="C1117" s="2" t="s">
        <v>573</v>
      </c>
      <c r="D1117" s="2" t="str">
        <f t="shared" si="16"/>
        <v>Error?</v>
      </c>
    </row>
    <row r="1118" spans="1:4" x14ac:dyDescent="0.2">
      <c r="A1118" s="5">
        <v>1057</v>
      </c>
      <c r="B1118" s="138">
        <f>'Expenditures 15-22'!K46</f>
        <v>4058</v>
      </c>
      <c r="C1118" s="2" t="s">
        <v>573</v>
      </c>
      <c r="D1118" s="2" t="str">
        <f t="shared" si="16"/>
        <v>Error?</v>
      </c>
    </row>
    <row r="1119" spans="1:4" x14ac:dyDescent="0.2">
      <c r="A1119" s="5">
        <v>1058</v>
      </c>
      <c r="B1119" s="138">
        <f>'Expenditures 15-22'!K47</f>
        <v>822971</v>
      </c>
      <c r="C1119" s="2" t="s">
        <v>573</v>
      </c>
      <c r="D1119" s="2" t="str">
        <f t="shared" si="16"/>
        <v>Error?</v>
      </c>
    </row>
    <row r="1120" spans="1:4" x14ac:dyDescent="0.2">
      <c r="A1120" s="5">
        <v>1059</v>
      </c>
      <c r="B1120" s="138">
        <f>'Expenditures 15-22'!K49</f>
        <v>66196</v>
      </c>
      <c r="C1120" s="2" t="s">
        <v>573</v>
      </c>
      <c r="D1120" s="2" t="str">
        <f t="shared" si="16"/>
        <v>Error?</v>
      </c>
    </row>
    <row r="1121" spans="1:4" x14ac:dyDescent="0.2">
      <c r="A1121" s="5">
        <v>1060</v>
      </c>
      <c r="B1121" s="138">
        <f>'Expenditures 15-22'!K50</f>
        <v>385343</v>
      </c>
      <c r="C1121" s="2" t="s">
        <v>573</v>
      </c>
      <c r="D1121" s="2" t="str">
        <f t="shared" si="16"/>
        <v>Error?</v>
      </c>
    </row>
    <row r="1122" spans="1:4" x14ac:dyDescent="0.2">
      <c r="A1122" s="5">
        <v>1061</v>
      </c>
      <c r="B1122" s="138">
        <f>'Expenditures 15-22'!K53</f>
        <v>500338</v>
      </c>
      <c r="C1122" s="2" t="s">
        <v>573</v>
      </c>
      <c r="D1122" s="2" t="str">
        <f t="shared" si="16"/>
        <v>Error?</v>
      </c>
    </row>
    <row r="1123" spans="1:4" x14ac:dyDescent="0.2">
      <c r="A1123" s="5">
        <v>1062</v>
      </c>
      <c r="B1123" s="138">
        <f>'Expenditures 15-22'!K55</f>
        <v>505329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505329</v>
      </c>
      <c r="C1125" s="2" t="s">
        <v>573</v>
      </c>
      <c r="D1125" s="2" t="str">
        <f t="shared" si="16"/>
        <v>Error?</v>
      </c>
    </row>
    <row r="1126" spans="1:4" x14ac:dyDescent="0.2">
      <c r="A1126" s="5">
        <v>1065</v>
      </c>
      <c r="B1126" s="138">
        <f>'Expenditures 15-22'!K59</f>
        <v>81888</v>
      </c>
      <c r="C1126" s="2" t="s">
        <v>573</v>
      </c>
      <c r="D1126" s="2" t="str">
        <f t="shared" si="16"/>
        <v>Error?</v>
      </c>
    </row>
    <row r="1127" spans="1:4" x14ac:dyDescent="0.2">
      <c r="A1127" s="5">
        <v>1066</v>
      </c>
      <c r="B1127" s="138">
        <f>'Expenditures 15-22'!K60</f>
        <v>106525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110829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299242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104527</v>
      </c>
      <c r="C1139" s="2" t="s">
        <v>573</v>
      </c>
      <c r="D1139" s="2" t="str">
        <f t="shared" si="16"/>
        <v>Error?</v>
      </c>
    </row>
    <row r="1140" spans="1:4" x14ac:dyDescent="0.2">
      <c r="A1140" s="10">
        <v>1079</v>
      </c>
      <c r="D1140" s="2" t="str">
        <f t="shared" si="16"/>
        <v>OK</v>
      </c>
    </row>
    <row r="1141" spans="1:4" x14ac:dyDescent="0.2">
      <c r="A1141" s="5">
        <v>1080</v>
      </c>
      <c r="B1141" s="138">
        <f>'Expenditures 15-22'!K72</f>
        <v>104527</v>
      </c>
      <c r="C1141" s="2" t="s">
        <v>573</v>
      </c>
      <c r="D1141" s="2" t="str">
        <f t="shared" si="16"/>
        <v>Error?</v>
      </c>
    </row>
    <row r="1142" spans="1:4" x14ac:dyDescent="0.2">
      <c r="A1142" s="5">
        <v>1081</v>
      </c>
      <c r="B1142" s="138">
        <f>'Expenditures 15-22'!K73</f>
        <v>9108</v>
      </c>
      <c r="C1142" s="2" t="s">
        <v>573</v>
      </c>
      <c r="D1142" s="2" t="str">
        <f t="shared" si="16"/>
        <v>Error?</v>
      </c>
    </row>
    <row r="1143" spans="1:4" x14ac:dyDescent="0.2">
      <c r="A1143" s="5">
        <v>1082</v>
      </c>
      <c r="B1143" s="138">
        <f>'Expenditures 15-22'!K74</f>
        <v>2830728</v>
      </c>
      <c r="C1143" s="2" t="s">
        <v>573</v>
      </c>
      <c r="D1143" s="2" t="str">
        <f t="shared" si="16"/>
        <v>Error?</v>
      </c>
    </row>
    <row r="1144" spans="1:4" x14ac:dyDescent="0.2">
      <c r="A1144" s="5">
        <v>1083</v>
      </c>
      <c r="B1144" s="138">
        <f>'Expenditures 15-22'!K75</f>
        <v>52</v>
      </c>
      <c r="C1144" s="2" t="s">
        <v>573</v>
      </c>
      <c r="D1144" s="2" t="str">
        <f t="shared" si="16"/>
        <v>Error?</v>
      </c>
    </row>
    <row r="1145" spans="1:4" x14ac:dyDescent="0.2">
      <c r="A1145" s="5">
        <v>1084</v>
      </c>
      <c r="B1145" s="138">
        <f>'Expenditures 15-22'!K102</f>
        <v>138706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8879800</v>
      </c>
      <c r="C1152" s="2" t="s">
        <v>573</v>
      </c>
      <c r="D1152" s="2" t="str">
        <f t="shared" si="17"/>
        <v>Error?</v>
      </c>
    </row>
    <row r="1153" spans="1:4" x14ac:dyDescent="0.2">
      <c r="A1153" s="5">
        <v>1092</v>
      </c>
      <c r="B1153" s="138">
        <f>'Expenditures 15-22'!K115</f>
        <v>736227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71896</v>
      </c>
      <c r="D1221" s="2" t="str">
        <f t="shared" si="18"/>
        <v>Error?</v>
      </c>
    </row>
    <row r="1222" spans="1:4" x14ac:dyDescent="0.2">
      <c r="A1222" s="10">
        <v>1161</v>
      </c>
      <c r="D1222" s="2" t="str">
        <f t="shared" si="18"/>
        <v>OK</v>
      </c>
    </row>
    <row r="1223" spans="1:4" x14ac:dyDescent="0.2">
      <c r="A1223" s="5">
        <v>1162</v>
      </c>
      <c r="B1223" s="138">
        <f>'Expenditures 15-22'!C127</f>
        <v>71896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71896</v>
      </c>
      <c r="C1225" s="2" t="s">
        <v>573</v>
      </c>
      <c r="D1225" s="2" t="str">
        <f t="shared" si="18"/>
        <v>Error?</v>
      </c>
    </row>
    <row r="1226" spans="1:4" x14ac:dyDescent="0.2">
      <c r="A1226" s="5">
        <v>1165</v>
      </c>
      <c r="B1226" s="138">
        <f>'Expenditures 15-22'!C151</f>
        <v>71896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10058</v>
      </c>
      <c r="D1229" s="2" t="str">
        <f t="shared" si="18"/>
        <v>Error?</v>
      </c>
    </row>
    <row r="1230" spans="1:4" x14ac:dyDescent="0.2">
      <c r="A1230" s="10">
        <v>1169</v>
      </c>
      <c r="D1230" s="2" t="str">
        <f t="shared" si="18"/>
        <v>OK</v>
      </c>
    </row>
    <row r="1231" spans="1:4" x14ac:dyDescent="0.2">
      <c r="A1231" s="5">
        <v>1170</v>
      </c>
      <c r="B1231" s="138">
        <f>'Expenditures 15-22'!D127</f>
        <v>10058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10058</v>
      </c>
      <c r="C1233" s="2" t="s">
        <v>573</v>
      </c>
      <c r="D1233" s="2" t="str">
        <f t="shared" si="18"/>
        <v>Error?</v>
      </c>
    </row>
    <row r="1234" spans="1:4" x14ac:dyDescent="0.2">
      <c r="A1234" s="5">
        <v>1173</v>
      </c>
      <c r="B1234" s="138">
        <f>'Expenditures 15-22'!D151</f>
        <v>10058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2715</v>
      </c>
      <c r="D1236" s="2" t="str">
        <f t="shared" si="18"/>
        <v>Error?</v>
      </c>
    </row>
    <row r="1237" spans="1:4" x14ac:dyDescent="0.2">
      <c r="A1237" s="5">
        <v>1176</v>
      </c>
      <c r="B1237" s="138">
        <f>'Expenditures 15-22'!E124</f>
        <v>555526</v>
      </c>
      <c r="D1237" s="2" t="str">
        <f t="shared" si="18"/>
        <v>Error?</v>
      </c>
    </row>
    <row r="1238" spans="1:4" x14ac:dyDescent="0.2">
      <c r="A1238" s="10">
        <v>1177</v>
      </c>
      <c r="D1238" s="2" t="str">
        <f t="shared" si="18"/>
        <v>OK</v>
      </c>
    </row>
    <row r="1239" spans="1:4" x14ac:dyDescent="0.2">
      <c r="A1239" s="5">
        <v>1178</v>
      </c>
      <c r="B1239" s="138">
        <f>'Expenditures 15-22'!E127</f>
        <v>558241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558241</v>
      </c>
      <c r="C1241" s="2" t="s">
        <v>573</v>
      </c>
      <c r="D1241" s="2" t="str">
        <f t="shared" si="18"/>
        <v>Error?</v>
      </c>
    </row>
    <row r="1242" spans="1:4" x14ac:dyDescent="0.2">
      <c r="A1242" s="5">
        <v>1181</v>
      </c>
      <c r="B1242" s="138">
        <f>'Expenditures 15-22'!E151</f>
        <v>558241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169556</v>
      </c>
      <c r="D1245" s="2" t="str">
        <f t="shared" si="18"/>
        <v>Error?</v>
      </c>
    </row>
    <row r="1246" spans="1:4" x14ac:dyDescent="0.2">
      <c r="A1246" s="10">
        <v>1185</v>
      </c>
      <c r="D1246" s="2" t="str">
        <f t="shared" si="18"/>
        <v>OK</v>
      </c>
    </row>
    <row r="1247" spans="1:4" x14ac:dyDescent="0.2">
      <c r="A1247" s="5">
        <v>1186</v>
      </c>
      <c r="B1247" s="138">
        <f>'Expenditures 15-22'!F127</f>
        <v>169556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169556</v>
      </c>
      <c r="C1249" s="2" t="s">
        <v>573</v>
      </c>
      <c r="D1249" s="2" t="str">
        <f t="shared" si="18"/>
        <v>Error?</v>
      </c>
    </row>
    <row r="1250" spans="1:4" x14ac:dyDescent="0.2">
      <c r="A1250" s="5">
        <v>1189</v>
      </c>
      <c r="B1250" s="138">
        <f>'Expenditures 15-22'!F151</f>
        <v>169556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40489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40489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40489</v>
      </c>
      <c r="C1258" s="2" t="s">
        <v>573</v>
      </c>
      <c r="D1258" s="2" t="str">
        <f t="shared" si="18"/>
        <v>Error?</v>
      </c>
    </row>
    <row r="1259" spans="1:4" x14ac:dyDescent="0.2">
      <c r="A1259" s="5">
        <v>1198</v>
      </c>
      <c r="B1259" s="138">
        <f>'Expenditures 15-22'!G151</f>
        <v>40489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2715</v>
      </c>
      <c r="C1275" s="2" t="s">
        <v>573</v>
      </c>
      <c r="D1275" s="2" t="str">
        <f t="shared" si="18"/>
        <v>Error?</v>
      </c>
    </row>
    <row r="1276" spans="1:4" x14ac:dyDescent="0.2">
      <c r="A1276" s="5">
        <v>1215</v>
      </c>
      <c r="B1276" s="138">
        <f>'Expenditures 15-22'!K124</f>
        <v>847525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850240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850240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850240</v>
      </c>
      <c r="C1288" s="2" t="s">
        <v>573</v>
      </c>
      <c r="D1288" s="2" t="str">
        <f t="shared" si="19"/>
        <v>Error?</v>
      </c>
    </row>
    <row r="1289" spans="1:4" x14ac:dyDescent="0.2">
      <c r="A1289" s="5">
        <v>1228</v>
      </c>
      <c r="B1289" s="138">
        <f>'Expenditures 15-22'!K152</f>
        <v>-121770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216884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1157084</v>
      </c>
      <c r="D1315" s="2" t="str">
        <f t="shared" si="19"/>
        <v>Error?</v>
      </c>
    </row>
    <row r="1316" spans="1:4" x14ac:dyDescent="0.2">
      <c r="A1316" s="5">
        <v>1255</v>
      </c>
      <c r="B1316" s="138">
        <f>'Expenditures 15-22'!H171</f>
        <v>2300</v>
      </c>
      <c r="D1316" s="2" t="str">
        <f t="shared" si="19"/>
        <v>Error?</v>
      </c>
    </row>
    <row r="1317" spans="1:4" x14ac:dyDescent="0.2">
      <c r="A1317" s="5">
        <v>1256</v>
      </c>
      <c r="B1317" s="138">
        <f>'Expenditures 15-22'!H172</f>
        <v>1376268</v>
      </c>
      <c r="C1317" s="2" t="s">
        <v>573</v>
      </c>
      <c r="D1317" s="2" t="str">
        <f t="shared" si="19"/>
        <v>Error?</v>
      </c>
    </row>
    <row r="1318" spans="1:4" x14ac:dyDescent="0.2">
      <c r="A1318" s="5">
        <v>1257</v>
      </c>
      <c r="B1318" s="138">
        <f>'Expenditures 15-22'!H174</f>
        <v>1376268</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216884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1157084</v>
      </c>
      <c r="C1329" s="2" t="s">
        <v>573</v>
      </c>
      <c r="D1329" s="2" t="str">
        <f t="shared" si="19"/>
        <v>Error?</v>
      </c>
    </row>
    <row r="1330" spans="1:4" x14ac:dyDescent="0.2">
      <c r="A1330" s="5">
        <v>1269</v>
      </c>
      <c r="B1330" s="138">
        <f>'Expenditures 15-22'!K171</f>
        <v>2300</v>
      </c>
      <c r="C1330" s="2" t="s">
        <v>573</v>
      </c>
      <c r="D1330" s="2" t="str">
        <f t="shared" si="19"/>
        <v>Error?</v>
      </c>
    </row>
    <row r="1331" spans="1:4" x14ac:dyDescent="0.2">
      <c r="A1331" s="5">
        <v>1270</v>
      </c>
      <c r="B1331" s="138">
        <f>'Expenditures 15-22'!K172</f>
        <v>1376268</v>
      </c>
      <c r="C1331" s="2" t="s">
        <v>573</v>
      </c>
      <c r="D1331" s="2" t="str">
        <f t="shared" si="19"/>
        <v>Error?</v>
      </c>
    </row>
    <row r="1332" spans="1:4" x14ac:dyDescent="0.2">
      <c r="A1332" s="5">
        <v>1271</v>
      </c>
      <c r="B1332" s="138">
        <f>'Expenditures 15-22'!K174</f>
        <v>1376268</v>
      </c>
      <c r="C1332" s="2" t="s">
        <v>573</v>
      </c>
      <c r="D1332" s="2" t="str">
        <f t="shared" si="19"/>
        <v>Error?</v>
      </c>
    </row>
    <row r="1333" spans="1:4" x14ac:dyDescent="0.2">
      <c r="A1333" s="5">
        <v>1272</v>
      </c>
      <c r="B1333" s="138">
        <f>'Expenditures 15-22'!K175</f>
        <v>-297747</v>
      </c>
      <c r="C1333" s="2" t="s">
        <v>573</v>
      </c>
      <c r="D1333" s="2" t="str">
        <f t="shared" si="19"/>
        <v>Error?</v>
      </c>
    </row>
    <row r="1334" spans="1:4" x14ac:dyDescent="0.2">
      <c r="A1334" s="10">
        <v>1273</v>
      </c>
      <c r="D1334" s="2" t="str">
        <f t="shared" si="19"/>
        <v>OK</v>
      </c>
    </row>
    <row r="1335" spans="1:4" x14ac:dyDescent="0.2">
      <c r="A1335" s="5">
        <v>1274</v>
      </c>
      <c r="B1335" s="138">
        <f>'Expenditures 15-22'!C182</f>
        <v>22487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76583</v>
      </c>
      <c r="C1339" s="2" t="s">
        <v>573</v>
      </c>
      <c r="D1339" s="2" t="str">
        <f t="shared" si="19"/>
        <v>Error?</v>
      </c>
    </row>
    <row r="1340" spans="1:4" x14ac:dyDescent="0.2">
      <c r="A1340" s="5">
        <v>1279</v>
      </c>
      <c r="B1340" s="138">
        <f>'Expenditures 15-22'!C210</f>
        <v>76583</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476699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476699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476699</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499186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553282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553282</v>
      </c>
      <c r="C1388" s="2" t="s">
        <v>573</v>
      </c>
      <c r="D1388" s="2" t="str">
        <f t="shared" si="20"/>
        <v>Error?</v>
      </c>
    </row>
    <row r="1389" spans="1:4" x14ac:dyDescent="0.2">
      <c r="A1389" s="5">
        <v>1328</v>
      </c>
      <c r="B1389" s="138">
        <f>'Expenditures 15-22'!K211</f>
        <v>-38304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1053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148439</v>
      </c>
      <c r="C1410" s="2" t="s">
        <v>573</v>
      </c>
      <c r="D1410" s="2" t="str">
        <f t="shared" si="21"/>
        <v>Error?</v>
      </c>
    </row>
    <row r="1411" spans="1:4" x14ac:dyDescent="0.2">
      <c r="A1411" s="5">
        <v>1350</v>
      </c>
      <c r="B1411" s="138">
        <f>'Expenditures 15-22'!D232</f>
        <v>1617</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18649</v>
      </c>
      <c r="D1413" s="2" t="str">
        <f t="shared" si="21"/>
        <v>Error?</v>
      </c>
    </row>
    <row r="1414" spans="1:4" x14ac:dyDescent="0.2">
      <c r="A1414" s="5">
        <v>1353</v>
      </c>
      <c r="B1414" s="138">
        <f>'Expenditures 15-22'!D235</f>
        <v>1576</v>
      </c>
      <c r="D1414" s="2" t="str">
        <f t="shared" si="21"/>
        <v>Error?</v>
      </c>
    </row>
    <row r="1415" spans="1:4" x14ac:dyDescent="0.2">
      <c r="A1415" s="5">
        <v>1354</v>
      </c>
      <c r="B1415" s="138">
        <f>'Expenditures 15-22'!D236</f>
        <v>2679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24521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17193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17193</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17149</v>
      </c>
      <c r="D1423" s="2" t="str">
        <f t="shared" si="21"/>
        <v>Error?</v>
      </c>
    </row>
    <row r="1424" spans="1:4" x14ac:dyDescent="0.2">
      <c r="A1424" s="5">
        <v>1363</v>
      </c>
      <c r="B1424" s="138">
        <f>'Expenditures 15-22'!D257</f>
        <v>26194</v>
      </c>
      <c r="C1424" s="2" t="s">
        <v>573</v>
      </c>
      <c r="D1424" s="2" t="str">
        <f t="shared" si="21"/>
        <v>Error?</v>
      </c>
    </row>
    <row r="1425" spans="1:4" x14ac:dyDescent="0.2">
      <c r="A1425" s="5">
        <v>1364</v>
      </c>
      <c r="B1425" s="138">
        <f>'Expenditures 15-22'!D259</f>
        <v>24108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24108</v>
      </c>
      <c r="C1427" s="2" t="s">
        <v>573</v>
      </c>
      <c r="D1427" s="2" t="str">
        <f t="shared" si="21"/>
        <v>Error?</v>
      </c>
    </row>
    <row r="1428" spans="1:4" x14ac:dyDescent="0.2">
      <c r="A1428" s="5">
        <v>1367</v>
      </c>
      <c r="B1428" s="138">
        <f>'Expenditures 15-22'!D263</f>
        <v>1134</v>
      </c>
      <c r="D1428" s="2" t="str">
        <f t="shared" si="21"/>
        <v>Error?</v>
      </c>
    </row>
    <row r="1429" spans="1:4" x14ac:dyDescent="0.2">
      <c r="A1429" s="5">
        <v>1368</v>
      </c>
      <c r="B1429" s="138">
        <f>'Expenditures 15-22'!D264</f>
        <v>12828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14692</v>
      </c>
      <c r="D1431" s="2" t="str">
        <f t="shared" si="21"/>
        <v>Error?</v>
      </c>
    </row>
    <row r="1432" spans="1:4" x14ac:dyDescent="0.2">
      <c r="A1432" s="5">
        <v>1371</v>
      </c>
      <c r="B1432" s="138">
        <f>'Expenditures 15-22'!D267</f>
        <v>35</v>
      </c>
      <c r="D1432" s="2" t="str">
        <f t="shared" si="21"/>
        <v>Error?</v>
      </c>
    </row>
    <row r="1433" spans="1:4" x14ac:dyDescent="0.2">
      <c r="A1433" s="5">
        <v>1372</v>
      </c>
      <c r="B1433" s="138">
        <f>'Expenditures 15-22'!D268</f>
        <v>1610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30299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14883</v>
      </c>
      <c r="D1442" s="2" t="str">
        <f t="shared" si="21"/>
        <v>Error?</v>
      </c>
    </row>
    <row r="1443" spans="1:4" x14ac:dyDescent="0.2">
      <c r="A1443" s="10">
        <v>1382</v>
      </c>
      <c r="D1443" s="2" t="str">
        <f t="shared" si="21"/>
        <v>OK</v>
      </c>
    </row>
    <row r="1444" spans="1:4" x14ac:dyDescent="0.2">
      <c r="A1444" s="5">
        <v>1383</v>
      </c>
      <c r="B1444" s="138">
        <f>'Expenditures 15-22'!D277</f>
        <v>14883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137198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285637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1053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148439</v>
      </c>
      <c r="C1474" s="2" t="s">
        <v>573</v>
      </c>
      <c r="D1474" s="2" t="str">
        <f t="shared" si="22"/>
        <v>Error?</v>
      </c>
    </row>
    <row r="1475" spans="1:4" x14ac:dyDescent="0.2">
      <c r="A1475" s="5">
        <v>1414</v>
      </c>
      <c r="B1475" s="138">
        <f>'Expenditures 15-22'!K232</f>
        <v>1617</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18649</v>
      </c>
      <c r="C1477" s="2" t="s">
        <v>573</v>
      </c>
      <c r="D1477" s="2" t="str">
        <f t="shared" si="22"/>
        <v>Error?</v>
      </c>
    </row>
    <row r="1478" spans="1:4" x14ac:dyDescent="0.2">
      <c r="A1478" s="5">
        <v>1417</v>
      </c>
      <c r="B1478" s="138">
        <f>'Expenditures 15-22'!K235</f>
        <v>1576</v>
      </c>
      <c r="C1478" s="2" t="s">
        <v>573</v>
      </c>
      <c r="D1478" s="2" t="str">
        <f t="shared" si="22"/>
        <v>Error?</v>
      </c>
    </row>
    <row r="1479" spans="1:4" x14ac:dyDescent="0.2">
      <c r="A1479" s="5">
        <v>1418</v>
      </c>
      <c r="B1479" s="138">
        <f>'Expenditures 15-22'!K236</f>
        <v>2679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24521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17193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17193</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17149</v>
      </c>
      <c r="C1487" s="2" t="s">
        <v>573</v>
      </c>
      <c r="D1487" s="2" t="str">
        <f t="shared" si="22"/>
        <v>Error?</v>
      </c>
    </row>
    <row r="1488" spans="1:4" x14ac:dyDescent="0.2">
      <c r="A1488" s="5">
        <v>1427</v>
      </c>
      <c r="B1488" s="138">
        <f>'Expenditures 15-22'!K257</f>
        <v>26194</v>
      </c>
      <c r="C1488" s="2" t="s">
        <v>573</v>
      </c>
      <c r="D1488" s="2" t="str">
        <f t="shared" si="22"/>
        <v>Error?</v>
      </c>
    </row>
    <row r="1489" spans="1:4" x14ac:dyDescent="0.2">
      <c r="A1489" s="5">
        <v>1428</v>
      </c>
      <c r="B1489" s="138">
        <f>'Expenditures 15-22'!K259</f>
        <v>24108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24108</v>
      </c>
      <c r="C1491" s="2" t="s">
        <v>573</v>
      </c>
      <c r="D1491" s="2" t="str">
        <f t="shared" si="22"/>
        <v>Error?</v>
      </c>
    </row>
    <row r="1492" spans="1:4" x14ac:dyDescent="0.2">
      <c r="A1492" s="5">
        <v>1431</v>
      </c>
      <c r="B1492" s="138">
        <f>'Expenditures 15-22'!K263</f>
        <v>1134</v>
      </c>
      <c r="C1492" s="2" t="s">
        <v>573</v>
      </c>
      <c r="D1492" s="2" t="str">
        <f t="shared" si="22"/>
        <v>Error?</v>
      </c>
    </row>
    <row r="1493" spans="1:4" x14ac:dyDescent="0.2">
      <c r="A1493" s="5">
        <v>1432</v>
      </c>
      <c r="B1493" s="138">
        <f>'Expenditures 15-22'!K264</f>
        <v>12828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14692</v>
      </c>
      <c r="C1495" s="2" t="s">
        <v>573</v>
      </c>
      <c r="D1495" s="2" t="str">
        <f t="shared" si="22"/>
        <v>Error?</v>
      </c>
    </row>
    <row r="1496" spans="1:4" x14ac:dyDescent="0.2">
      <c r="A1496" s="5">
        <v>1435</v>
      </c>
      <c r="B1496" s="138">
        <f>'Expenditures 15-22'!K267</f>
        <v>35</v>
      </c>
      <c r="C1496" s="2" t="s">
        <v>573</v>
      </c>
      <c r="D1496" s="2" t="str">
        <f t="shared" si="22"/>
        <v>Error?</v>
      </c>
    </row>
    <row r="1497" spans="1:4" x14ac:dyDescent="0.2">
      <c r="A1497" s="5">
        <v>1436</v>
      </c>
      <c r="B1497" s="138">
        <f>'Expenditures 15-22'!K268</f>
        <v>1610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30299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14883</v>
      </c>
      <c r="C1506" s="2" t="s">
        <v>573</v>
      </c>
      <c r="D1506" s="2" t="str">
        <f t="shared" si="22"/>
        <v>Error?</v>
      </c>
    </row>
    <row r="1507" spans="1:4" x14ac:dyDescent="0.2">
      <c r="A1507" s="10">
        <v>1446</v>
      </c>
      <c r="D1507" s="2" t="str">
        <f t="shared" si="22"/>
        <v>OK</v>
      </c>
    </row>
    <row r="1508" spans="1:4" x14ac:dyDescent="0.2">
      <c r="A1508" s="5">
        <v>1447</v>
      </c>
      <c r="B1508" s="138">
        <f>'Expenditures 15-22'!K277</f>
        <v>14883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137198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285637</v>
      </c>
      <c r="C1517" s="2" t="s">
        <v>573</v>
      </c>
      <c r="D1517" s="2" t="str">
        <f t="shared" si="22"/>
        <v>Error?</v>
      </c>
    </row>
    <row r="1518" spans="1:4" x14ac:dyDescent="0.2">
      <c r="A1518" s="5">
        <v>1457</v>
      </c>
      <c r="B1518" s="138">
        <f>'Expenditures 15-22'!K296</f>
        <v>141949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219109</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219109</v>
      </c>
      <c r="C1535" s="2" t="s">
        <v>573</v>
      </c>
      <c r="D1535" s="2" t="str">
        <f t="shared" ref="D1535:D1598" si="23">IF(ISBLANK(B1535),"OK",IF(A1535-B1535=0,"OK","Error?"))</f>
        <v>Error?</v>
      </c>
    </row>
    <row r="1536" spans="1:4" x14ac:dyDescent="0.2">
      <c r="A1536" s="5">
        <v>1475</v>
      </c>
      <c r="B1536" s="138">
        <f>'Expenditures 15-22'!E312</f>
        <v>219109</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2826065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2826065</v>
      </c>
      <c r="C1547" s="2" t="s">
        <v>573</v>
      </c>
      <c r="D1547" s="2" t="str">
        <f t="shared" si="23"/>
        <v>Error?</v>
      </c>
    </row>
    <row r="1548" spans="1:4" x14ac:dyDescent="0.2">
      <c r="A1548" s="5">
        <v>1487</v>
      </c>
      <c r="B1548" s="138">
        <f>'Expenditures 15-22'!G312</f>
        <v>2826065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3052369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3052369</v>
      </c>
      <c r="C1559" s="2" t="s">
        <v>573</v>
      </c>
      <c r="D1559" s="2" t="str">
        <f t="shared" si="23"/>
        <v>Error?</v>
      </c>
    </row>
    <row r="1560" spans="1:4" x14ac:dyDescent="0.2">
      <c r="A1560" s="5">
        <v>1499</v>
      </c>
      <c r="B1560" s="138">
        <f>'Expenditures 15-22'!K312</f>
        <v>3052369</v>
      </c>
      <c r="C1560" s="2" t="s">
        <v>573</v>
      </c>
      <c r="D1560" s="2" t="str">
        <f t="shared" si="23"/>
        <v>Error?</v>
      </c>
    </row>
    <row r="1561" spans="1:4" x14ac:dyDescent="0.2">
      <c r="A1561" s="5">
        <v>1500</v>
      </c>
      <c r="B1561" s="138">
        <f>'Expenditures 15-22'!K313</f>
        <v>-3052369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6665353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7364144</v>
      </c>
      <c r="C1630" s="2" t="s">
        <v>573</v>
      </c>
      <c r="D1630" s="2" t="str">
        <f t="shared" si="24"/>
        <v>Error?</v>
      </c>
    </row>
    <row r="1631" spans="1:4" x14ac:dyDescent="0.2">
      <c r="A1631" s="5">
        <v>1570</v>
      </c>
      <c r="B1631" s="138">
        <f>'Acct Summary 7-8'!D79</f>
        <v>1955756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1833986</v>
      </c>
      <c r="C1644" s="2" t="s">
        <v>573</v>
      </c>
      <c r="D1644" s="2" t="str">
        <f t="shared" si="24"/>
        <v>Error?</v>
      </c>
    </row>
    <row r="1645" spans="1:4" x14ac:dyDescent="0.2">
      <c r="A1645" s="5">
        <v>1584</v>
      </c>
      <c r="B1645" s="138">
        <f>'Acct Summary 7-8'!E79</f>
        <v>809689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549378</v>
      </c>
      <c r="C1658" s="2" t="s">
        <v>573</v>
      </c>
      <c r="D1658" s="2" t="str">
        <f t="shared" si="24"/>
        <v>Error?</v>
      </c>
    </row>
    <row r="1659" spans="1:4" x14ac:dyDescent="0.2">
      <c r="A1659" s="5">
        <v>1598</v>
      </c>
      <c r="B1659" s="138">
        <f>'Acct Summary 7-8'!F79</f>
        <v>1343231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1304927</v>
      </c>
      <c r="C1672" s="2" t="s">
        <v>573</v>
      </c>
      <c r="D1672" s="2" t="str">
        <f t="shared" si="25"/>
        <v>Error?</v>
      </c>
    </row>
    <row r="1673" spans="1:4" x14ac:dyDescent="0.2">
      <c r="A1673" s="5">
        <v>1612</v>
      </c>
      <c r="B1673" s="138">
        <f>'Acct Summary 7-8'!G79</f>
        <v>1239827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1381776</v>
      </c>
      <c r="C1686" s="2" t="s">
        <v>573</v>
      </c>
      <c r="D1686" s="2" t="str">
        <f t="shared" si="25"/>
        <v>Error?</v>
      </c>
    </row>
    <row r="1687" spans="1:4" x14ac:dyDescent="0.2">
      <c r="A1687" s="5">
        <v>1626</v>
      </c>
      <c r="B1687" s="138">
        <f>'Acct Summary 7-8'!H79</f>
        <v>170912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1118902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7765813</v>
      </c>
      <c r="C1744" s="2" t="s">
        <v>573</v>
      </c>
      <c r="D1744" s="2" t="str">
        <f t="shared" si="26"/>
        <v>Error?</v>
      </c>
    </row>
    <row r="1745" spans="1:5" x14ac:dyDescent="0.2">
      <c r="A1745" s="5">
        <v>1684</v>
      </c>
      <c r="B1745" s="138">
        <f>'Tax Sched 23'!B5</f>
        <v>643412</v>
      </c>
      <c r="C1745" s="2" t="s">
        <v>573</v>
      </c>
      <c r="D1745" s="2" t="str">
        <f t="shared" si="26"/>
        <v>Error?</v>
      </c>
    </row>
    <row r="1746" spans="1:5" x14ac:dyDescent="0.2">
      <c r="A1746" s="5">
        <v>1685</v>
      </c>
      <c r="B1746" s="138">
        <f>'Tax Sched 23'!B6</f>
        <v>1074350</v>
      </c>
      <c r="C1746" s="2" t="s">
        <v>573</v>
      </c>
      <c r="D1746" s="2" t="str">
        <f t="shared" si="26"/>
        <v>Error?</v>
      </c>
    </row>
    <row r="1747" spans="1:5" x14ac:dyDescent="0.2">
      <c r="A1747" s="5">
        <v>1686</v>
      </c>
      <c r="B1747" s="138">
        <f>'Tax Sched 23'!B7</f>
        <v>340912</v>
      </c>
      <c r="C1747" s="2" t="s">
        <v>573</v>
      </c>
      <c r="D1747" s="2" t="str">
        <f t="shared" si="26"/>
        <v>Error?</v>
      </c>
    </row>
    <row r="1748" spans="1:5" x14ac:dyDescent="0.2">
      <c r="A1748" s="5">
        <v>1687</v>
      </c>
      <c r="B1748" s="138">
        <f>'Tax Sched 23'!B8</f>
        <v>201914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74769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608496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10911580</v>
      </c>
      <c r="C1759" s="2" t="s">
        <v>573</v>
      </c>
      <c r="D1759" s="2" t="str">
        <f t="shared" si="26"/>
        <v>Error?</v>
      </c>
    </row>
    <row r="1760" spans="1:5" x14ac:dyDescent="0.2">
      <c r="A1760" s="5">
        <v>1699</v>
      </c>
      <c r="B1760" s="138">
        <f>'Tax Sched 23'!D4</f>
        <v>3656853</v>
      </c>
      <c r="C1760" s="2" t="s">
        <v>573</v>
      </c>
      <c r="D1760" s="2" t="str">
        <f t="shared" si="26"/>
        <v>Error?</v>
      </c>
    </row>
    <row r="1761" spans="1:5" x14ac:dyDescent="0.2">
      <c r="A1761" s="5">
        <v>1700</v>
      </c>
      <c r="B1761" s="138">
        <f>'Tax Sched 23'!D5</f>
        <v>305041</v>
      </c>
      <c r="C1761" s="2" t="s">
        <v>573</v>
      </c>
      <c r="D1761" s="2" t="str">
        <f t="shared" si="26"/>
        <v>Error?</v>
      </c>
    </row>
    <row r="1762" spans="1:5" s="8" customFormat="1" x14ac:dyDescent="0.2">
      <c r="A1762" s="5">
        <v>1701</v>
      </c>
      <c r="B1762" s="138">
        <f>'Tax Sched 23'!D6</f>
        <v>564795</v>
      </c>
      <c r="C1762" s="2" t="s">
        <v>573</v>
      </c>
      <c r="D1762" s="2" t="str">
        <f t="shared" si="26"/>
        <v>Error?</v>
      </c>
      <c r="E1762" s="9"/>
    </row>
    <row r="1763" spans="1:5" x14ac:dyDescent="0.2">
      <c r="A1763" s="5">
        <v>1702</v>
      </c>
      <c r="B1763" s="138">
        <f>'Tax Sched 23'!D7</f>
        <v>163452</v>
      </c>
      <c r="C1763" s="2" t="s">
        <v>573</v>
      </c>
      <c r="D1763" s="2" t="str">
        <f t="shared" si="26"/>
        <v>Error?</v>
      </c>
    </row>
    <row r="1764" spans="1:5" x14ac:dyDescent="0.2">
      <c r="A1764" s="5">
        <v>1703</v>
      </c>
      <c r="B1764" s="138">
        <f>'Tax Sched 23'!D8</f>
        <v>95781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35397</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288384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5205484</v>
      </c>
      <c r="C1775" s="2" t="s">
        <v>573</v>
      </c>
      <c r="D1775" s="2" t="str">
        <f t="shared" si="26"/>
        <v>Error?</v>
      </c>
    </row>
    <row r="1776" spans="1:5" x14ac:dyDescent="0.2">
      <c r="A1776" s="5">
        <v>1715</v>
      </c>
      <c r="B1776" s="138">
        <f>'Tax Sched 23'!C4</f>
        <v>4108960</v>
      </c>
      <c r="D1776" s="2" t="str">
        <f t="shared" si="26"/>
        <v>Error?</v>
      </c>
    </row>
    <row r="1777" spans="1:4" x14ac:dyDescent="0.2">
      <c r="A1777" s="5">
        <v>1716</v>
      </c>
      <c r="B1777" s="138">
        <f>'Tax Sched 23'!C5</f>
        <v>338371</v>
      </c>
      <c r="D1777" s="2" t="str">
        <f t="shared" si="26"/>
        <v>Error?</v>
      </c>
    </row>
    <row r="1778" spans="1:4" x14ac:dyDescent="0.2">
      <c r="A1778" s="5">
        <v>1717</v>
      </c>
      <c r="B1778" s="138">
        <f>'Tax Sched 23'!C6</f>
        <v>509555</v>
      </c>
      <c r="D1778" s="2" t="str">
        <f t="shared" si="26"/>
        <v>Error?</v>
      </c>
    </row>
    <row r="1779" spans="1:4" x14ac:dyDescent="0.2">
      <c r="A1779" s="5">
        <v>1718</v>
      </c>
      <c r="B1779" s="138">
        <f>'Tax Sched 23'!C7</f>
        <v>177460</v>
      </c>
      <c r="D1779" s="2" t="str">
        <f t="shared" si="26"/>
        <v>Error?</v>
      </c>
    </row>
    <row r="1780" spans="1:4" x14ac:dyDescent="0.2">
      <c r="A1780" s="5">
        <v>1719</v>
      </c>
      <c r="B1780" s="138">
        <f>'Tax Sched 23'!C8</f>
        <v>106133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39372</v>
      </c>
      <c r="D1784" s="2" t="str">
        <f t="shared" si="26"/>
        <v>Error?</v>
      </c>
    </row>
    <row r="1785" spans="1:4" x14ac:dyDescent="0.2">
      <c r="A1785" s="5">
        <v>1724</v>
      </c>
      <c r="B1785" s="138">
        <f>'Tax Sched 23'!C12</f>
        <v>0</v>
      </c>
      <c r="D1785" s="2" t="str">
        <f t="shared" si="26"/>
        <v>Error?</v>
      </c>
    </row>
    <row r="1786" spans="1:4" x14ac:dyDescent="0.2">
      <c r="A1786" s="5">
        <v>1725</v>
      </c>
      <c r="B1786" s="138">
        <f>'Tax Sched 23'!C14</f>
        <v>320112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5706096</v>
      </c>
      <c r="C1791" s="2" t="s">
        <v>573</v>
      </c>
      <c r="D1791" s="2" t="str">
        <f t="shared" ref="D1791:D1854" si="27">IF(ISBLANK(B1791),"OK",IF(A1791-B1791=0,"OK","Error?"))</f>
        <v>Error?</v>
      </c>
    </row>
    <row r="1792" spans="1:4" x14ac:dyDescent="0.2">
      <c r="A1792" s="5">
        <v>1731</v>
      </c>
      <c r="B1792" s="138">
        <f>'Tax Sched 23'!F4</f>
        <v>3998539</v>
      </c>
      <c r="C1792" s="2" t="s">
        <v>573</v>
      </c>
      <c r="D1792" s="2" t="str">
        <f t="shared" si="27"/>
        <v>Error?</v>
      </c>
    </row>
    <row r="1793" spans="1:4" x14ac:dyDescent="0.2">
      <c r="A1793" s="5">
        <v>1732</v>
      </c>
      <c r="B1793" s="138">
        <f>'Tax Sched 23'!F5</f>
        <v>329207</v>
      </c>
      <c r="C1793" s="2" t="s">
        <v>573</v>
      </c>
      <c r="D1793" s="2" t="str">
        <f t="shared" si="27"/>
        <v>Error?</v>
      </c>
    </row>
    <row r="1794" spans="1:4" x14ac:dyDescent="0.2">
      <c r="A1794" s="5">
        <v>1733</v>
      </c>
      <c r="B1794" s="138">
        <f>'Tax Sched 23'!F6</f>
        <v>496234</v>
      </c>
      <c r="C1794" s="2" t="s">
        <v>573</v>
      </c>
      <c r="D1794" s="2" t="str">
        <f t="shared" si="27"/>
        <v>Error?</v>
      </c>
    </row>
    <row r="1795" spans="1:4" x14ac:dyDescent="0.2">
      <c r="A1795" s="5">
        <v>1734</v>
      </c>
      <c r="B1795" s="138">
        <f>'Tax Sched 23'!F7</f>
        <v>172463</v>
      </c>
      <c r="C1795" s="2" t="s">
        <v>573</v>
      </c>
      <c r="D1795" s="2" t="str">
        <f t="shared" si="27"/>
        <v>Error?</v>
      </c>
    </row>
    <row r="1796" spans="1:4" x14ac:dyDescent="0.2">
      <c r="A1796" s="5">
        <v>1735</v>
      </c>
      <c r="B1796" s="138">
        <f>'Tax Sched 23'!F8</f>
        <v>103247</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38309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311374</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5552620</v>
      </c>
      <c r="C1807" s="2" t="s">
        <v>573</v>
      </c>
      <c r="D1807" s="2" t="str">
        <f t="shared" si="27"/>
        <v>Error?</v>
      </c>
    </row>
    <row r="1808" spans="1:4" x14ac:dyDescent="0.2">
      <c r="A1808" s="5">
        <v>1747</v>
      </c>
      <c r="B1808" s="138">
        <f>'Tax Sched 23'!E4</f>
        <v>8107499</v>
      </c>
      <c r="D1808" s="2" t="str">
        <f t="shared" si="27"/>
        <v>Error?</v>
      </c>
    </row>
    <row r="1809" spans="1:4" x14ac:dyDescent="0.2">
      <c r="A1809" s="5">
        <v>1748</v>
      </c>
      <c r="B1809" s="138">
        <f>'Tax Sched 23'!E5</f>
        <v>667578</v>
      </c>
      <c r="D1809" s="2" t="str">
        <f t="shared" si="27"/>
        <v>Error?</v>
      </c>
    </row>
    <row r="1810" spans="1:4" x14ac:dyDescent="0.2">
      <c r="A1810" s="5">
        <v>1749</v>
      </c>
      <c r="B1810" s="138">
        <f>'Tax Sched 23'!E6</f>
        <v>1005789</v>
      </c>
      <c r="D1810" s="2" t="str">
        <f t="shared" si="27"/>
        <v>Error?</v>
      </c>
    </row>
    <row r="1811" spans="1:4" x14ac:dyDescent="0.2">
      <c r="A1811" s="5">
        <v>1750</v>
      </c>
      <c r="B1811" s="138">
        <f>'Tax Sched 23'!E7</f>
        <v>349923</v>
      </c>
      <c r="D1811" s="2" t="str">
        <f t="shared" si="27"/>
        <v>Error?</v>
      </c>
    </row>
    <row r="1812" spans="1:4" x14ac:dyDescent="0.2">
      <c r="A1812" s="5">
        <v>1751</v>
      </c>
      <c r="B1812" s="138">
        <f>'Tax Sched 23'!E8</f>
        <v>209380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77681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631486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11258716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8243747</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608496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608496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608496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135061</v>
      </c>
      <c r="D2008" s="2" t="str">
        <f t="shared" si="30"/>
        <v>Error?</v>
      </c>
    </row>
    <row r="2009" spans="1:4" x14ac:dyDescent="0.2">
      <c r="A2009" s="5">
        <v>1948</v>
      </c>
      <c r="B2009" s="138">
        <f>'Cap Outlay Deprec 26'!C8</f>
        <v>17190207</v>
      </c>
      <c r="D2009" s="2" t="str">
        <f t="shared" si="30"/>
        <v>Error?</v>
      </c>
    </row>
    <row r="2010" spans="1:4" x14ac:dyDescent="0.2">
      <c r="A2010" s="5">
        <v>1949</v>
      </c>
      <c r="B2010" s="138">
        <f>'Cap Outlay Deprec 26'!C10</f>
        <v>185241</v>
      </c>
      <c r="D2010" s="2" t="str">
        <f t="shared" si="30"/>
        <v>Error?</v>
      </c>
    </row>
    <row r="2011" spans="1:4" x14ac:dyDescent="0.2">
      <c r="A2011" s="5">
        <v>1950</v>
      </c>
      <c r="B2011" s="138">
        <f>'Cap Outlay Deprec 26'!C12</f>
        <v>2813092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20448074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3214348</v>
      </c>
      <c r="D2015" s="2" t="str">
        <f t="shared" si="30"/>
        <v>Error?</v>
      </c>
    </row>
    <row r="2016" spans="1:4" x14ac:dyDescent="0.2">
      <c r="A2016" s="5">
        <v>1955</v>
      </c>
      <c r="B2016" s="138">
        <f>'Cap Outlay Deprec 26'!D10</f>
        <v>548923</v>
      </c>
      <c r="D2016" s="2" t="str">
        <f t="shared" si="30"/>
        <v>Error?</v>
      </c>
    </row>
    <row r="2017" spans="1:4" x14ac:dyDescent="0.2">
      <c r="A2017" s="5">
        <v>1956</v>
      </c>
      <c r="B2017" s="138">
        <f>'Cap Outlay Deprec 26'!D12</f>
        <v>66453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3829724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124473</v>
      </c>
      <c r="C2025" s="2" t="s">
        <v>573</v>
      </c>
      <c r="D2025" s="2" t="str">
        <f t="shared" si="30"/>
        <v>Error?</v>
      </c>
    </row>
    <row r="2026" spans="1:4" x14ac:dyDescent="0.2">
      <c r="A2026" s="5">
        <v>1965</v>
      </c>
      <c r="B2026" s="138">
        <f>'Cap Outlay Deprec 26'!F5</f>
        <v>135061</v>
      </c>
      <c r="C2026" s="2" t="s">
        <v>573</v>
      </c>
      <c r="D2026" s="2" t="str">
        <f t="shared" si="30"/>
        <v>Error?</v>
      </c>
    </row>
    <row r="2027" spans="1:4" x14ac:dyDescent="0.2">
      <c r="A2027" s="5">
        <v>1966</v>
      </c>
      <c r="B2027" s="138">
        <f>'Cap Outlay Deprec 26'!F8</f>
        <v>20404555</v>
      </c>
      <c r="C2027" s="2" t="s">
        <v>573</v>
      </c>
      <c r="D2027" s="2" t="str">
        <f t="shared" si="30"/>
        <v>Error?</v>
      </c>
    </row>
    <row r="2028" spans="1:4" x14ac:dyDescent="0.2">
      <c r="A2028" s="5">
        <v>1967</v>
      </c>
      <c r="B2028" s="138">
        <f>'Cap Outlay Deprec 26'!F10</f>
        <v>734164</v>
      </c>
      <c r="C2028" s="2" t="s">
        <v>573</v>
      </c>
      <c r="D2028" s="2" t="str">
        <f t="shared" si="30"/>
        <v>Error?</v>
      </c>
    </row>
    <row r="2029" spans="1:4" x14ac:dyDescent="0.2">
      <c r="A2029" s="5">
        <v>1968</v>
      </c>
      <c r="B2029" s="138">
        <f>'Cap Outlay Deprec 26'!F12</f>
        <v>2879545</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24153325</v>
      </c>
      <c r="C2031" s="2" t="s">
        <v>573</v>
      </c>
      <c r="D2031" s="2" t="str">
        <f t="shared" si="30"/>
        <v>Error?</v>
      </c>
    </row>
    <row r="2032" spans="1:4" x14ac:dyDescent="0.2">
      <c r="A2032" s="10">
        <v>1971</v>
      </c>
      <c r="D2032" s="2" t="str">
        <f t="shared" si="30"/>
        <v>OK</v>
      </c>
    </row>
    <row r="2033" spans="1:4" x14ac:dyDescent="0.2">
      <c r="A2033" s="5">
        <v>1972</v>
      </c>
      <c r="B2033" s="138">
        <f>'Cap Outlay Deprec 26'!H8</f>
        <v>9425332</v>
      </c>
      <c r="D2033" s="2" t="str">
        <f t="shared" si="30"/>
        <v>Error?</v>
      </c>
    </row>
    <row r="2034" spans="1:4" x14ac:dyDescent="0.2">
      <c r="A2034" s="5">
        <v>1973</v>
      </c>
      <c r="B2034" s="138">
        <f>'Cap Outlay Deprec 26'!H10</f>
        <v>174887</v>
      </c>
      <c r="D2034" s="2" t="str">
        <f t="shared" si="30"/>
        <v>Error?</v>
      </c>
    </row>
    <row r="2035" spans="1:4" x14ac:dyDescent="0.2">
      <c r="A2035" s="5">
        <v>1974</v>
      </c>
      <c r="B2035" s="138">
        <f>'Cap Outlay Deprec 26'!H12</f>
        <v>2028794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11629013</v>
      </c>
      <c r="C2037" s="2" t="s">
        <v>573</v>
      </c>
      <c r="D2037" s="2" t="str">
        <f t="shared" si="30"/>
        <v>Error?</v>
      </c>
    </row>
    <row r="2038" spans="1:4" x14ac:dyDescent="0.2">
      <c r="A2038" s="10">
        <v>1977</v>
      </c>
      <c r="D2038" s="2" t="str">
        <f t="shared" si="30"/>
        <v>OK</v>
      </c>
    </row>
    <row r="2039" spans="1:4" x14ac:dyDescent="0.2">
      <c r="A2039" s="5">
        <v>1978</v>
      </c>
      <c r="B2039" s="138">
        <f>'Cap Outlay Deprec 26'!I8</f>
        <v>535627</v>
      </c>
      <c r="D2039" s="2" t="str">
        <f t="shared" si="30"/>
        <v>Error?</v>
      </c>
    </row>
    <row r="2040" spans="1:4" x14ac:dyDescent="0.2">
      <c r="A2040" s="5">
        <v>1979</v>
      </c>
      <c r="B2040" s="138">
        <f>'Cap Outlay Deprec 26'!I10</f>
        <v>30221</v>
      </c>
      <c r="D2040" s="2" t="str">
        <f t="shared" si="30"/>
        <v>Error?</v>
      </c>
    </row>
    <row r="2041" spans="1:4" x14ac:dyDescent="0.2">
      <c r="A2041" s="5">
        <v>1980</v>
      </c>
      <c r="B2041" s="138">
        <f>'Cap Outlay Deprec 26'!I12</f>
        <v>124436</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690284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9960959</v>
      </c>
      <c r="C2051" s="2" t="s">
        <v>573</v>
      </c>
      <c r="D2051" s="2" t="str">
        <f t="shared" si="31"/>
        <v>Error?</v>
      </c>
    </row>
    <row r="2052" spans="1:4" x14ac:dyDescent="0.2">
      <c r="A2052" s="5">
        <v>1991</v>
      </c>
      <c r="B2052" s="138">
        <f>'Cap Outlay Deprec 26'!K10</f>
        <v>205108</v>
      </c>
      <c r="C2052" s="2" t="s">
        <v>573</v>
      </c>
      <c r="D2052" s="2" t="str">
        <f t="shared" si="31"/>
        <v>Error?</v>
      </c>
    </row>
    <row r="2053" spans="1:4" x14ac:dyDescent="0.2">
      <c r="A2053" s="5">
        <v>1992</v>
      </c>
      <c r="B2053" s="138">
        <f>'Cap Outlay Deprec 26'!K12</f>
        <v>2153230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12319297</v>
      </c>
      <c r="C2055" s="2" t="s">
        <v>573</v>
      </c>
      <c r="D2055" s="2" t="str">
        <f t="shared" si="31"/>
        <v>Error?</v>
      </c>
    </row>
    <row r="2056" spans="1:4" x14ac:dyDescent="0.2">
      <c r="A2056" s="5">
        <v>1995</v>
      </c>
      <c r="B2056" s="138">
        <f>'Cap Outlay Deprec 26'!L5</f>
        <v>135061</v>
      </c>
      <c r="C2056" s="2" t="s">
        <v>573</v>
      </c>
      <c r="D2056" s="2" t="str">
        <f t="shared" si="31"/>
        <v>Error?</v>
      </c>
    </row>
    <row r="2057" spans="1:4" x14ac:dyDescent="0.2">
      <c r="A2057" s="5">
        <v>1996</v>
      </c>
      <c r="B2057" s="138">
        <f>'Cap Outlay Deprec 26'!L8</f>
        <v>10443596</v>
      </c>
      <c r="C2057" s="2" t="s">
        <v>573</v>
      </c>
      <c r="D2057" s="2" t="str">
        <f t="shared" si="31"/>
        <v>Error?</v>
      </c>
    </row>
    <row r="2058" spans="1:4" x14ac:dyDescent="0.2">
      <c r="A2058" s="5">
        <v>1997</v>
      </c>
      <c r="B2058" s="138">
        <f>'Cap Outlay Deprec 26'!L10</f>
        <v>529056</v>
      </c>
      <c r="C2058" s="2" t="s">
        <v>573</v>
      </c>
      <c r="D2058" s="2" t="str">
        <f t="shared" si="31"/>
        <v>Error?</v>
      </c>
    </row>
    <row r="2059" spans="1:4" x14ac:dyDescent="0.2">
      <c r="A2059" s="5">
        <v>1998</v>
      </c>
      <c r="B2059" s="138">
        <f>'Cap Outlay Deprec 26'!L12</f>
        <v>726315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11834028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138706</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4000359</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8778524</v>
      </c>
      <c r="C2551" s="2" t="s">
        <v>573</v>
      </c>
      <c r="D2551" s="2" t="str">
        <f t="shared" si="38"/>
        <v>Error?</v>
      </c>
    </row>
    <row r="2552" spans="1:4" x14ac:dyDescent="0.2">
      <c r="A2552" s="10">
        <v>2491</v>
      </c>
      <c r="D2552" s="2" t="str">
        <f t="shared" si="38"/>
        <v>OK</v>
      </c>
    </row>
    <row r="2553" spans="1:4" x14ac:dyDescent="0.2">
      <c r="A2553" s="5">
        <v>2492</v>
      </c>
      <c r="B2553" s="138">
        <f>'Acct Summary 7-8'!C6</f>
        <v>601443</v>
      </c>
      <c r="C2553" s="2" t="s">
        <v>573</v>
      </c>
      <c r="D2553" s="2" t="str">
        <f t="shared" si="38"/>
        <v>Error?</v>
      </c>
    </row>
    <row r="2554" spans="1:4" x14ac:dyDescent="0.2">
      <c r="A2554" s="5">
        <v>2493</v>
      </c>
      <c r="B2554" s="138">
        <f>'Acct Summary 7-8'!C7</f>
        <v>236060</v>
      </c>
      <c r="C2554" s="2" t="s">
        <v>573</v>
      </c>
      <c r="D2554" s="2" t="str">
        <f t="shared" si="38"/>
        <v>Error?</v>
      </c>
    </row>
    <row r="2555" spans="1:4" x14ac:dyDescent="0.2">
      <c r="A2555" s="5">
        <v>2494</v>
      </c>
      <c r="B2555" s="138">
        <f>'Acct Summary 7-8'!C8</f>
        <v>9616027</v>
      </c>
      <c r="C2555" s="2" t="s">
        <v>573</v>
      </c>
      <c r="D2555" s="2" t="str">
        <f t="shared" si="38"/>
        <v>Error?</v>
      </c>
    </row>
    <row r="2556" spans="1:4" x14ac:dyDescent="0.2">
      <c r="A2556" s="5">
        <v>2495</v>
      </c>
      <c r="B2556" s="138">
        <f>'Acct Summary 7-8'!C12</f>
        <v>5910314</v>
      </c>
      <c r="C2556" s="2" t="s">
        <v>573</v>
      </c>
      <c r="D2556" s="2" t="str">
        <f t="shared" si="38"/>
        <v>Error?</v>
      </c>
    </row>
    <row r="2557" spans="1:4" x14ac:dyDescent="0.2">
      <c r="A2557" s="5">
        <v>2496</v>
      </c>
      <c r="B2557" s="138">
        <f>'Acct Summary 7-8'!C13</f>
        <v>2830728</v>
      </c>
      <c r="C2557" s="2" t="s">
        <v>573</v>
      </c>
      <c r="D2557" s="2" t="str">
        <f t="shared" si="38"/>
        <v>Error?</v>
      </c>
    </row>
    <row r="2558" spans="1:4" x14ac:dyDescent="0.2">
      <c r="A2558" s="5">
        <v>2497</v>
      </c>
      <c r="B2558" s="138">
        <f>'Acct Summary 7-8'!C14</f>
        <v>52</v>
      </c>
      <c r="C2558" s="2" t="s">
        <v>573</v>
      </c>
      <c r="D2558" s="2" t="str">
        <f t="shared" si="38"/>
        <v>Error?</v>
      </c>
    </row>
    <row r="2559" spans="1:4" x14ac:dyDescent="0.2">
      <c r="A2559" s="5">
        <v>2498</v>
      </c>
      <c r="B2559" s="138">
        <f>'Acct Summary 7-8'!C15</f>
        <v>138706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8879800</v>
      </c>
      <c r="C2561" s="2" t="s">
        <v>573</v>
      </c>
      <c r="D2561" s="2" t="str">
        <f t="shared" si="39"/>
        <v>Error?</v>
      </c>
    </row>
    <row r="2562" spans="1:4" x14ac:dyDescent="0.2">
      <c r="A2562" s="5">
        <v>2501</v>
      </c>
      <c r="B2562" s="138">
        <f>'Acct Summary 7-8'!C20</f>
        <v>736227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728470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728470</v>
      </c>
      <c r="C2568" s="2" t="s">
        <v>573</v>
      </c>
      <c r="D2568" s="2" t="str">
        <f t="shared" si="39"/>
        <v>Error?</v>
      </c>
    </row>
    <row r="2569" spans="1:4" x14ac:dyDescent="0.2">
      <c r="A2569" s="5">
        <v>2508</v>
      </c>
      <c r="B2569" s="138">
        <f>'Acct Summary 7-8'!D13</f>
        <v>850240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850240</v>
      </c>
      <c r="C2573" s="2" t="s">
        <v>573</v>
      </c>
      <c r="D2573" s="2" t="str">
        <f t="shared" si="39"/>
        <v>Error?</v>
      </c>
    </row>
    <row r="2574" spans="1:4" x14ac:dyDescent="0.2">
      <c r="A2574" s="5">
        <v>2513</v>
      </c>
      <c r="B2574" s="138">
        <f>'Acct Summary 7-8'!D20</f>
        <v>-121770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368172</v>
      </c>
      <c r="C2591" s="2" t="s">
        <v>573</v>
      </c>
      <c r="D2591" s="2" t="str">
        <f t="shared" si="39"/>
        <v>Error?</v>
      </c>
    </row>
    <row r="2592" spans="1:4" x14ac:dyDescent="0.2">
      <c r="A2592" s="10">
        <v>2531</v>
      </c>
      <c r="D2592" s="2" t="str">
        <f t="shared" si="39"/>
        <v>OK</v>
      </c>
    </row>
    <row r="2593" spans="1:4" x14ac:dyDescent="0.2">
      <c r="A2593" s="5">
        <v>2532</v>
      </c>
      <c r="B2593" s="138">
        <f>'Acct Summary 7-8'!F6</f>
        <v>146806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514978</v>
      </c>
      <c r="C2595" s="2" t="s">
        <v>573</v>
      </c>
      <c r="D2595" s="2" t="str">
        <f t="shared" si="39"/>
        <v>Error?</v>
      </c>
    </row>
    <row r="2596" spans="1:4" x14ac:dyDescent="0.2">
      <c r="A2596" s="5">
        <v>2535</v>
      </c>
      <c r="B2596" s="138">
        <f>'Acct Summary 7-8'!F13</f>
        <v>553282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553282</v>
      </c>
      <c r="C2600" s="2" t="s">
        <v>573</v>
      </c>
      <c r="D2600" s="2" t="str">
        <f t="shared" si="39"/>
        <v>Error?</v>
      </c>
    </row>
    <row r="2601" spans="1:4" x14ac:dyDescent="0.2">
      <c r="A2601" s="5">
        <v>2540</v>
      </c>
      <c r="B2601" s="138">
        <f>'Acct Summary 7-8'!F20</f>
        <v>-38304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427586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427586</v>
      </c>
      <c r="C2606" s="2" t="s">
        <v>573</v>
      </c>
      <c r="D2606" s="2" t="str">
        <f t="shared" si="39"/>
        <v>Error?</v>
      </c>
    </row>
    <row r="2607" spans="1:4" x14ac:dyDescent="0.2">
      <c r="A2607" s="5">
        <v>2546</v>
      </c>
      <c r="B2607" s="138">
        <f>'Acct Summary 7-8'!G12</f>
        <v>148439</v>
      </c>
      <c r="C2607" s="2" t="s">
        <v>573</v>
      </c>
      <c r="D2607" s="2" t="str">
        <f t="shared" si="39"/>
        <v>Error?</v>
      </c>
    </row>
    <row r="2608" spans="1:4" x14ac:dyDescent="0.2">
      <c r="A2608" s="5">
        <v>2547</v>
      </c>
      <c r="B2608" s="138">
        <f>'Acct Summary 7-8'!G13</f>
        <v>137198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285637</v>
      </c>
      <c r="C2612" s="2" t="s">
        <v>573</v>
      </c>
      <c r="D2612" s="2" t="str">
        <f t="shared" si="39"/>
        <v>Error?</v>
      </c>
    </row>
    <row r="2613" spans="1:4" x14ac:dyDescent="0.2">
      <c r="A2613" s="5">
        <v>2552</v>
      </c>
      <c r="B2613" s="138">
        <f>'Acct Summary 7-8'!G20</f>
        <v>141949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1078521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1078521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1376268</v>
      </c>
      <c r="C2634" s="2" t="s">
        <v>573</v>
      </c>
      <c r="D2634" s="2" t="str">
        <f t="shared" si="40"/>
        <v>Error?</v>
      </c>
    </row>
    <row r="2635" spans="1:4" x14ac:dyDescent="0.2">
      <c r="A2635" s="5">
        <v>2574</v>
      </c>
      <c r="B2635" s="138">
        <f>'Acct Summary 7-8'!E17</f>
        <v>1376268</v>
      </c>
      <c r="C2635" s="2" t="s">
        <v>573</v>
      </c>
      <c r="D2635" s="2" t="str">
        <f t="shared" si="40"/>
        <v>Error?</v>
      </c>
    </row>
    <row r="2636" spans="1:4" x14ac:dyDescent="0.2">
      <c r="A2636" s="5">
        <v>2575</v>
      </c>
      <c r="B2636" s="138">
        <f>'Acct Summary 7-8'!E20</f>
        <v>-297747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3052369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3052369</v>
      </c>
      <c r="C2661" s="2" t="s">
        <v>573</v>
      </c>
      <c r="D2661" s="2" t="str">
        <f t="shared" si="40"/>
        <v>Error?</v>
      </c>
    </row>
    <row r="2662" spans="1:4" x14ac:dyDescent="0.2">
      <c r="A2662" s="5">
        <v>2601</v>
      </c>
      <c r="B2662" s="138">
        <f>'Acct Summary 7-8'!H20</f>
        <v>-3052369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34762</v>
      </c>
      <c r="D2718" s="2" t="str">
        <f t="shared" si="41"/>
        <v>Error?</v>
      </c>
    </row>
    <row r="2719" spans="1:4" x14ac:dyDescent="0.2">
      <c r="A2719" s="5">
        <v>2658</v>
      </c>
      <c r="B2719" s="138">
        <f>'Expenditures 15-22'!D51</f>
        <v>11488</v>
      </c>
      <c r="D2719" s="2" t="str">
        <f t="shared" si="41"/>
        <v>Error?</v>
      </c>
    </row>
    <row r="2720" spans="1:4" x14ac:dyDescent="0.2">
      <c r="A2720" s="5">
        <v>2659</v>
      </c>
      <c r="B2720" s="138">
        <f>'Expenditures 15-22'!E51</f>
        <v>2529</v>
      </c>
      <c r="D2720" s="2" t="str">
        <f t="shared" si="41"/>
        <v>Error?</v>
      </c>
    </row>
    <row r="2721" spans="1:4" x14ac:dyDescent="0.2">
      <c r="A2721" s="5">
        <v>2660</v>
      </c>
      <c r="B2721" s="138">
        <f>'Expenditures 15-22'!F51</f>
        <v>20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48799</v>
      </c>
      <c r="C2724" s="2" t="s">
        <v>573</v>
      </c>
      <c r="D2724" s="2" t="str">
        <f t="shared" si="41"/>
        <v>Error?</v>
      </c>
    </row>
    <row r="2725" spans="1:4" x14ac:dyDescent="0.2">
      <c r="A2725" s="5">
        <v>2664</v>
      </c>
      <c r="B2725" s="138">
        <f>'Expenditures 15-22'!D247</f>
        <v>9045</v>
      </c>
      <c r="D2725" s="2" t="str">
        <f t="shared" si="41"/>
        <v>Error?</v>
      </c>
    </row>
    <row r="2726" spans="1:4" x14ac:dyDescent="0.2">
      <c r="A2726" s="5">
        <v>2665</v>
      </c>
      <c r="B2726" s="138">
        <f>'Expenditures 15-22'!K247</f>
        <v>9045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1101143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1103175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64304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1103175</v>
      </c>
      <c r="D2912" s="2" t="str">
        <f t="shared" si="44"/>
        <v>Error?</v>
      </c>
    </row>
    <row r="2913" spans="1:4" x14ac:dyDescent="0.2">
      <c r="A2913" s="5">
        <v>2852</v>
      </c>
      <c r="B2913" s="138">
        <f>'Assets-Liab 5-6'!I41</f>
        <v>1103175</v>
      </c>
      <c r="C2913" s="2" t="s">
        <v>573</v>
      </c>
      <c r="D2913" s="2" t="str">
        <f t="shared" si="44"/>
        <v>Error?</v>
      </c>
    </row>
    <row r="2914" spans="1:4" x14ac:dyDescent="0.2">
      <c r="A2914" s="5">
        <v>2853</v>
      </c>
      <c r="B2914" s="138">
        <f>'Assets-Liab 5-6'!L33</f>
        <v>64304</v>
      </c>
      <c r="D2914" s="2" t="str">
        <f t="shared" si="44"/>
        <v>Error?</v>
      </c>
    </row>
    <row r="2915" spans="1:4" x14ac:dyDescent="0.2">
      <c r="A2915" s="10">
        <v>2854</v>
      </c>
      <c r="D2915" s="2" t="str">
        <f t="shared" si="44"/>
        <v>OK</v>
      </c>
    </row>
    <row r="2916" spans="1:4" x14ac:dyDescent="0.2">
      <c r="A2916" s="5">
        <v>2855</v>
      </c>
      <c r="B2916" s="138">
        <f>'Assets-Liab 5-6'!L34</f>
        <v>64304</v>
      </c>
      <c r="C2916" s="2" t="s">
        <v>573</v>
      </c>
      <c r="D2916" s="2" t="str">
        <f t="shared" si="44"/>
        <v>Error?</v>
      </c>
    </row>
    <row r="2917" spans="1:4" x14ac:dyDescent="0.2">
      <c r="A2917" s="5">
        <v>2856</v>
      </c>
      <c r="B2917" s="138">
        <f>'Assets-Liab 5-6'!L41</f>
        <v>64304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72357</v>
      </c>
      <c r="D3055" s="2" t="str">
        <f t="shared" si="46"/>
        <v>Error?</v>
      </c>
    </row>
    <row r="3056" spans="1:4" x14ac:dyDescent="0.2">
      <c r="A3056" s="5">
        <v>2995</v>
      </c>
      <c r="B3056" s="138">
        <f>'Expenditures 15-22'!D10</f>
        <v>21930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973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95260</v>
      </c>
      <c r="C3062" s="2" t="s">
        <v>573</v>
      </c>
      <c r="D3062" s="2" t="str">
        <f t="shared" si="46"/>
        <v>Error?</v>
      </c>
    </row>
    <row r="3063" spans="1:4" x14ac:dyDescent="0.2">
      <c r="A3063" s="10">
        <v>3002</v>
      </c>
      <c r="D3063" s="2" t="str">
        <f t="shared" si="46"/>
        <v>OK</v>
      </c>
    </row>
    <row r="3064" spans="1:4" x14ac:dyDescent="0.2">
      <c r="A3064" s="5">
        <v>3003</v>
      </c>
      <c r="B3064" s="138">
        <f>'Expenditures 15-22'!D219</f>
        <v>1016</v>
      </c>
      <c r="D3064" s="2" t="str">
        <f t="shared" si="46"/>
        <v>Error?</v>
      </c>
    </row>
    <row r="3065" spans="1:4" x14ac:dyDescent="0.2">
      <c r="A3065" s="5">
        <v>3004</v>
      </c>
      <c r="B3065" s="138">
        <f>'Expenditures 15-22'!K219</f>
        <v>1016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36322</v>
      </c>
      <c r="C3225" s="2" t="s">
        <v>573</v>
      </c>
      <c r="D3225" s="2" t="str">
        <f t="shared" si="49"/>
        <v>Error?</v>
      </c>
    </row>
    <row r="3226" spans="1:4" x14ac:dyDescent="0.2">
      <c r="A3226" s="5">
        <v>3165</v>
      </c>
      <c r="B3226" s="138">
        <f>'Acct Summary 7-8'!I8</f>
        <v>36322</v>
      </c>
      <c r="C3226" s="2" t="s">
        <v>573</v>
      </c>
      <c r="D3226" s="2" t="str">
        <f t="shared" si="49"/>
        <v>Error?</v>
      </c>
    </row>
    <row r="3227" spans="1:4" x14ac:dyDescent="0.2">
      <c r="A3227" s="5">
        <v>3166</v>
      </c>
      <c r="B3227" s="138">
        <f>'Acct Summary 7-8'!I20</f>
        <v>36322</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37436</v>
      </c>
      <c r="C3231" s="2" t="s">
        <v>573</v>
      </c>
      <c r="D3231" s="2" t="str">
        <f t="shared" si="49"/>
        <v>Error?</v>
      </c>
    </row>
    <row r="3232" spans="1:4" x14ac:dyDescent="0.2">
      <c r="A3232" s="5">
        <v>3171</v>
      </c>
      <c r="B3232" s="138">
        <f>'Acct Summary 7-8'!C77</f>
        <v>-37436</v>
      </c>
      <c r="C3232" s="2" t="s">
        <v>573</v>
      </c>
      <c r="D3232" s="2" t="str">
        <f t="shared" si="49"/>
        <v>Error?</v>
      </c>
    </row>
    <row r="3233" spans="1:4" x14ac:dyDescent="0.2">
      <c r="A3233" s="5">
        <v>3172</v>
      </c>
      <c r="B3233" s="138">
        <f>'Acct Summary 7-8'!C78</f>
        <v>698791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-121770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-38304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141949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37436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37436</v>
      </c>
      <c r="C3277" s="2" t="s">
        <v>573</v>
      </c>
      <c r="D3277" s="2" t="str">
        <f t="shared" si="50"/>
        <v>Error?</v>
      </c>
    </row>
    <row r="3278" spans="1:4" x14ac:dyDescent="0.2">
      <c r="A3278" s="5">
        <v>3217</v>
      </c>
      <c r="B3278" s="138">
        <f>'Acct Summary 7-8'!E78</f>
        <v>-260311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4000359</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4000359</v>
      </c>
      <c r="C3299" s="2" t="s">
        <v>573</v>
      </c>
      <c r="D3299" s="2" t="str">
        <f t="shared" si="50"/>
        <v>Error?</v>
      </c>
    </row>
    <row r="3300" spans="1:4" x14ac:dyDescent="0.2">
      <c r="A3300" s="5">
        <v>3239</v>
      </c>
      <c r="B3300" s="138">
        <f>'Acct Summary 7-8'!H78</f>
        <v>947990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4000359</v>
      </c>
      <c r="C3318" s="2" t="s">
        <v>573</v>
      </c>
      <c r="D3318" s="2" t="str">
        <f t="shared" si="50"/>
        <v>Error?</v>
      </c>
    </row>
    <row r="3319" spans="1:4" x14ac:dyDescent="0.2">
      <c r="A3319" s="5">
        <v>3258</v>
      </c>
      <c r="B3319" s="138">
        <f>'Acct Summary 7-8'!I77</f>
        <v>-4000359</v>
      </c>
      <c r="C3319" s="2" t="s">
        <v>573</v>
      </c>
      <c r="D3319" s="2" t="str">
        <f t="shared" si="50"/>
        <v>Error?</v>
      </c>
    </row>
    <row r="3320" spans="1:4" x14ac:dyDescent="0.2">
      <c r="A3320" s="5">
        <v>3259</v>
      </c>
      <c r="B3320" s="138">
        <f>'Acct Summary 7-8'!I78</f>
        <v>-3964037</v>
      </c>
      <c r="C3320" s="2" t="s">
        <v>573</v>
      </c>
      <c r="D3320" s="2" t="str">
        <f t="shared" si="50"/>
        <v>Error?</v>
      </c>
    </row>
    <row r="3321" spans="1:4" x14ac:dyDescent="0.2">
      <c r="A3321" s="5">
        <v>3260</v>
      </c>
      <c r="B3321" s="138">
        <f>'Acct Summary 7-8'!I79</f>
        <v>5067212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1103175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924906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299008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1390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1225504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51805</v>
      </c>
      <c r="D3387" s="2" t="str">
        <f t="shared" si="51"/>
        <v>Error?</v>
      </c>
    </row>
    <row r="3388" spans="1:4" x14ac:dyDescent="0.2">
      <c r="A3388" s="5">
        <v>3327</v>
      </c>
      <c r="B3388" s="138">
        <f>'Expenditures 15-22'!D217</f>
        <v>94565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51805</v>
      </c>
      <c r="C3390" s="2" t="s">
        <v>573</v>
      </c>
      <c r="D3390" s="2" t="str">
        <f t="shared" si="51"/>
        <v>Error?</v>
      </c>
    </row>
    <row r="3391" spans="1:4" x14ac:dyDescent="0.2">
      <c r="A3391" s="5">
        <v>3330</v>
      </c>
      <c r="B3391" s="138">
        <f>'Expenditures 15-22'!K217</f>
        <v>94565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89902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9843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10596</v>
      </c>
      <c r="D3417" s="2" t="str">
        <f t="shared" si="52"/>
        <v>Error?</v>
      </c>
    </row>
    <row r="3418" spans="1:4" x14ac:dyDescent="0.2">
      <c r="A3418" s="10">
        <v>3357</v>
      </c>
      <c r="D3418" s="2" t="str">
        <f t="shared" si="52"/>
        <v>OK</v>
      </c>
    </row>
    <row r="3419" spans="1:4" x14ac:dyDescent="0.2">
      <c r="A3419" s="5">
        <v>3358</v>
      </c>
      <c r="B3419" s="138">
        <f>'Assets-Liab 5-6'!F4</f>
        <v>1893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11601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63875</v>
      </c>
      <c r="D3425" s="2" t="str">
        <f t="shared" si="52"/>
        <v>Error?</v>
      </c>
    </row>
    <row r="3426" spans="1:4" x14ac:dyDescent="0.2">
      <c r="A3426" s="10">
        <v>3365</v>
      </c>
      <c r="D3426" s="2" t="str">
        <f t="shared" si="52"/>
        <v>OK</v>
      </c>
    </row>
    <row r="3427" spans="1:4" x14ac:dyDescent="0.2">
      <c r="A3427" s="5">
        <v>3366</v>
      </c>
      <c r="B3427" s="138">
        <f>'Assets-Liab 5-6'!I4</f>
        <v>2032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64304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201914</v>
      </c>
      <c r="C3446" s="2" t="s">
        <v>573</v>
      </c>
      <c r="D3446" s="2" t="str">
        <f t="shared" si="52"/>
        <v>Error?</v>
      </c>
    </row>
    <row r="3447" spans="1:4" x14ac:dyDescent="0.2">
      <c r="A3447" s="5">
        <v>3386</v>
      </c>
      <c r="B3447" s="138">
        <f>'Tax Sched 23'!D16</f>
        <v>95781</v>
      </c>
      <c r="C3447" s="2" t="s">
        <v>573</v>
      </c>
      <c r="D3447" s="2" t="str">
        <f t="shared" si="52"/>
        <v>Error?</v>
      </c>
    </row>
    <row r="3448" spans="1:4" x14ac:dyDescent="0.2">
      <c r="A3448" s="5">
        <v>3387</v>
      </c>
      <c r="B3448" s="138">
        <f>'Tax Sched 23'!C16</f>
        <v>106133</v>
      </c>
      <c r="D3448" s="2" t="str">
        <f t="shared" si="52"/>
        <v>Error?</v>
      </c>
    </row>
    <row r="3449" spans="1:4" x14ac:dyDescent="0.2">
      <c r="A3449" s="5">
        <v>3388</v>
      </c>
      <c r="B3449" s="138">
        <f>'Tax Sched 23'!F16</f>
        <v>103247</v>
      </c>
      <c r="C3449" s="2" t="s">
        <v>573</v>
      </c>
      <c r="D3449" s="2" t="str">
        <f t="shared" si="52"/>
        <v>Error?</v>
      </c>
    </row>
    <row r="3450" spans="1:4" x14ac:dyDescent="0.2">
      <c r="A3450" s="5">
        <v>3389</v>
      </c>
      <c r="B3450" s="138">
        <f>'Tax Sched 23'!E16</f>
        <v>209380</v>
      </c>
      <c r="D3450" s="2" t="str">
        <f t="shared" si="52"/>
        <v>Error?</v>
      </c>
    </row>
    <row r="3451" spans="1:4" x14ac:dyDescent="0.2">
      <c r="A3451" s="5">
        <v>3390</v>
      </c>
      <c r="B3451" s="138">
        <f>'Cap Outlay Deprec 26'!C15</f>
        <v>124473</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124473</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108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108</v>
      </c>
      <c r="C3571" s="2" t="s">
        <v>573</v>
      </c>
      <c r="D3571" s="2" t="str">
        <f t="shared" si="54"/>
        <v>Error?</v>
      </c>
    </row>
    <row r="3572" spans="1:4" x14ac:dyDescent="0.2">
      <c r="A3572" s="5">
        <v>3511</v>
      </c>
      <c r="B3572" s="138">
        <f>'Acct Summary 7-8'!K13</f>
        <v>832023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832023</v>
      </c>
      <c r="C3575" s="2" t="s">
        <v>573</v>
      </c>
      <c r="D3575" s="2" t="str">
        <f t="shared" si="54"/>
        <v>Error?</v>
      </c>
    </row>
    <row r="3576" spans="1:4" x14ac:dyDescent="0.2">
      <c r="A3576" s="5">
        <v>3515</v>
      </c>
      <c r="B3576" s="138">
        <f>'Acct Summary 7-8'!K20</f>
        <v>-831915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-831915</v>
      </c>
      <c r="C3588" s="2" t="s">
        <v>573</v>
      </c>
      <c r="D3588" s="2" t="str">
        <f t="shared" si="55"/>
        <v>Error?</v>
      </c>
    </row>
    <row r="3589" spans="1:4" x14ac:dyDescent="0.2">
      <c r="A3589" s="5">
        <v>3528</v>
      </c>
      <c r="B3589" s="138">
        <f>'Acct Summary 7-8'!K79</f>
        <v>831915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32850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32850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32850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799173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799173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799173</v>
      </c>
      <c r="C3649" s="2" t="s">
        <v>573</v>
      </c>
      <c r="D3649" s="2" t="str">
        <f t="shared" si="56"/>
        <v>Error?</v>
      </c>
    </row>
    <row r="3650" spans="1:4" x14ac:dyDescent="0.2">
      <c r="A3650" s="5">
        <v>3589</v>
      </c>
      <c r="B3650" s="138">
        <f>'Expenditures 15-22'!G367</f>
        <v>799173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832023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832023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832023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832023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-831915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8803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54096</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54096</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3714978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13331005</v>
      </c>
      <c r="C4122" s="2" t="s">
        <v>573</v>
      </c>
      <c r="D4122" s="2" t="str">
        <f t="shared" si="63"/>
        <v>Error?</v>
      </c>
    </row>
    <row r="4123" spans="1:4" x14ac:dyDescent="0.2">
      <c r="A4123" s="5">
        <v>4062</v>
      </c>
      <c r="B4123" s="138">
        <f>'Acct Summary 7-8'!D10</f>
        <v>728470</v>
      </c>
      <c r="C4123" s="2" t="s">
        <v>573</v>
      </c>
      <c r="D4123" s="2" t="str">
        <f t="shared" si="63"/>
        <v>Error?</v>
      </c>
    </row>
    <row r="4124" spans="1:4" x14ac:dyDescent="0.2">
      <c r="A4124" s="5">
        <v>4063</v>
      </c>
      <c r="B4124" s="138">
        <f>'Acct Summary 7-8'!E10</f>
        <v>1078521</v>
      </c>
      <c r="C4124" s="2" t="s">
        <v>573</v>
      </c>
      <c r="D4124" s="2" t="str">
        <f t="shared" si="63"/>
        <v>Error?</v>
      </c>
    </row>
    <row r="4125" spans="1:4" x14ac:dyDescent="0.2">
      <c r="A4125" s="5">
        <v>4064</v>
      </c>
      <c r="B4125" s="138">
        <f>'Acct Summary 7-8'!F10</f>
        <v>514978</v>
      </c>
      <c r="C4125" s="2" t="s">
        <v>573</v>
      </c>
      <c r="D4125" s="2" t="str">
        <f t="shared" si="63"/>
        <v>Error?</v>
      </c>
    </row>
    <row r="4126" spans="1:4" x14ac:dyDescent="0.2">
      <c r="A4126" s="5">
        <v>4065</v>
      </c>
      <c r="B4126" s="138">
        <f>'Acct Summary 7-8'!G10</f>
        <v>427586</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36322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108</v>
      </c>
      <c r="C4130" s="2" t="s">
        <v>573</v>
      </c>
      <c r="D4130" s="2" t="str">
        <f t="shared" si="63"/>
        <v>Error?</v>
      </c>
    </row>
    <row r="4131" spans="1:4" x14ac:dyDescent="0.2">
      <c r="A4131" s="5">
        <v>4070</v>
      </c>
      <c r="B4131" s="138">
        <f>'Acct Summary 7-8'!C18</f>
        <v>3714978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12594778</v>
      </c>
      <c r="C4136" s="2" t="s">
        <v>573</v>
      </c>
      <c r="D4136" s="2" t="str">
        <f t="shared" si="63"/>
        <v>Error?</v>
      </c>
    </row>
    <row r="4137" spans="1:4" x14ac:dyDescent="0.2">
      <c r="A4137" s="5">
        <v>4076</v>
      </c>
      <c r="B4137" s="138">
        <f>'Acct Summary 7-8'!D19</f>
        <v>850240</v>
      </c>
      <c r="C4137" s="2" t="s">
        <v>573</v>
      </c>
      <c r="D4137" s="2" t="str">
        <f t="shared" si="63"/>
        <v>Error?</v>
      </c>
    </row>
    <row r="4138" spans="1:4" x14ac:dyDescent="0.2">
      <c r="A4138" s="5">
        <v>4077</v>
      </c>
      <c r="B4138" s="138">
        <f>'Acct Summary 7-8'!E19</f>
        <v>1376268</v>
      </c>
      <c r="C4138" s="2" t="s">
        <v>573</v>
      </c>
      <c r="D4138" s="2" t="str">
        <f t="shared" si="63"/>
        <v>Error?</v>
      </c>
    </row>
    <row r="4139" spans="1:4" x14ac:dyDescent="0.2">
      <c r="A4139" s="5">
        <v>4078</v>
      </c>
      <c r="B4139" s="138">
        <f>'Acct Summary 7-8'!F19</f>
        <v>553282</v>
      </c>
      <c r="C4139" s="2" t="s">
        <v>573</v>
      </c>
      <c r="D4139" s="2" t="str">
        <f t="shared" si="63"/>
        <v>Error?</v>
      </c>
    </row>
    <row r="4140" spans="1:4" x14ac:dyDescent="0.2">
      <c r="A4140" s="5">
        <v>4079</v>
      </c>
      <c r="B4140" s="138">
        <f>'Acct Summary 7-8'!G19</f>
        <v>285637</v>
      </c>
      <c r="C4140" s="2" t="s">
        <v>573</v>
      </c>
      <c r="D4140" s="2" t="str">
        <f t="shared" si="63"/>
        <v>Error?</v>
      </c>
    </row>
    <row r="4141" spans="1:4" x14ac:dyDescent="0.2">
      <c r="A4141" s="5">
        <v>4080</v>
      </c>
      <c r="B4141" s="138">
        <f>'Acct Summary 7-8'!H19</f>
        <v>3052369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832023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7086663</v>
      </c>
      <c r="C4171" s="2" t="s">
        <v>573</v>
      </c>
      <c r="D4171" s="2" t="str">
        <f t="shared" si="64"/>
        <v>Error?</v>
      </c>
    </row>
    <row r="4172" spans="1:4" x14ac:dyDescent="0.2">
      <c r="A4172" s="5">
        <v>4111</v>
      </c>
      <c r="B4172" s="138">
        <f>'Short-Term Long-Term Debt 24'!J49</f>
        <v>6537285</v>
      </c>
      <c r="C4172" s="2" t="s">
        <v>573</v>
      </c>
      <c r="D4172" s="2" t="str">
        <f t="shared" si="64"/>
        <v>Error?</v>
      </c>
    </row>
    <row r="4173" spans="1:4" x14ac:dyDescent="0.2">
      <c r="A4173" s="5">
        <v>4112</v>
      </c>
      <c r="B4173" s="138">
        <f>'Short-Term Long-Term Debt 24'!H49</f>
        <v>1157084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3392</v>
      </c>
      <c r="C4265" s="2" t="s">
        <v>573</v>
      </c>
      <c r="D4265" s="2" t="str">
        <f t="shared" si="65"/>
        <v>Error?</v>
      </c>
      <c r="E4265" s="128"/>
    </row>
    <row r="4266" spans="1:5" x14ac:dyDescent="0.2">
      <c r="A4266" s="12">
        <v>4205</v>
      </c>
      <c r="B4266" s="138">
        <f>('FP Info 3'!F10)*100000</f>
        <v>279.3</v>
      </c>
      <c r="C4266" s="2" t="s">
        <v>573</v>
      </c>
      <c r="D4266" s="2" t="str">
        <f t="shared" si="65"/>
        <v>Error?</v>
      </c>
      <c r="E4266" s="128"/>
    </row>
    <row r="4267" spans="1:5" x14ac:dyDescent="0.2">
      <c r="A4267" s="12">
        <v>4206</v>
      </c>
      <c r="B4267" s="138">
        <f>('FP Info 3'!H10)*100000</f>
        <v>146.4</v>
      </c>
      <c r="C4267" s="2" t="s">
        <v>573</v>
      </c>
      <c r="D4267" s="2" t="str">
        <f t="shared" si="65"/>
        <v>Error?</v>
      </c>
      <c r="E4267" s="128"/>
    </row>
    <row r="4268" spans="1:5" x14ac:dyDescent="0.2">
      <c r="A4268" s="12">
        <v>4207</v>
      </c>
      <c r="B4268" s="138">
        <f>('FP Info 3'!J10)*100000</f>
        <v>3818</v>
      </c>
      <c r="C4268" s="2" t="s">
        <v>573</v>
      </c>
      <c r="D4268" s="2" t="str">
        <f t="shared" si="65"/>
        <v>Error?</v>
      </c>
    </row>
    <row r="4269" spans="1:5" x14ac:dyDescent="0.2">
      <c r="A4269" s="12">
        <v>4208</v>
      </c>
      <c r="B4269" s="138">
        <f>'FP Info 3'!J16</f>
        <v>11606232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8648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28544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2303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11092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239018256</v>
      </c>
      <c r="D4995" s="2" t="str">
        <f t="shared" si="77"/>
        <v>Error?</v>
      </c>
    </row>
    <row r="4996" spans="1:4" x14ac:dyDescent="0.2">
      <c r="A4996" s="12">
        <v>4935</v>
      </c>
      <c r="B4996" s="138">
        <f>'FP Info 3'!H31</f>
        <v>16492259.664000001</v>
      </c>
      <c r="D4996" s="2" t="str">
        <f t="shared" si="77"/>
        <v>Error?</v>
      </c>
    </row>
    <row r="4997" spans="1:4" x14ac:dyDescent="0.2">
      <c r="A4997" s="12">
        <v>4936</v>
      </c>
      <c r="B4997" s="138">
        <f>'FP Info 3'!H37</f>
        <v>7086663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7765813</v>
      </c>
      <c r="D5061" s="2" t="str">
        <f t="shared" si="78"/>
        <v>Error?</v>
      </c>
    </row>
    <row r="5062" spans="1:4" x14ac:dyDescent="0.2">
      <c r="A5062" s="10">
        <v>5001</v>
      </c>
      <c r="D5062" s="2" t="str">
        <f t="shared" si="78"/>
        <v>OK</v>
      </c>
    </row>
    <row r="5063" spans="1:4" x14ac:dyDescent="0.2">
      <c r="A5063" s="5">
        <v>5002</v>
      </c>
      <c r="B5063" s="138">
        <f>'Revenues 9-14'!C7</f>
        <v>608496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8374309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42678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42678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103934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103934</v>
      </c>
      <c r="C5090" s="2" t="s">
        <v>573</v>
      </c>
      <c r="D5090" s="2" t="str">
        <f t="shared" si="78"/>
        <v>Error?</v>
      </c>
    </row>
    <row r="5091" spans="1:4" x14ac:dyDescent="0.2">
      <c r="A5091" s="5">
        <v>5030</v>
      </c>
      <c r="B5091" s="138">
        <f>'Revenues 9-14'!C70</f>
        <v>7926</v>
      </c>
      <c r="D5091" s="2" t="str">
        <f t="shared" si="78"/>
        <v>Error?</v>
      </c>
    </row>
    <row r="5092" spans="1:4" x14ac:dyDescent="0.2">
      <c r="A5092" s="5">
        <v>5031</v>
      </c>
      <c r="B5092" s="138">
        <f>'Revenues 9-14'!C71</f>
        <v>2620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70589</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31741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31741</v>
      </c>
      <c r="C5102" s="2" t="s">
        <v>573</v>
      </c>
      <c r="D5102" s="2" t="str">
        <f t="shared" si="78"/>
        <v>Error?</v>
      </c>
    </row>
    <row r="5103" spans="1:4" x14ac:dyDescent="0.2">
      <c r="A5103" s="5">
        <v>5042</v>
      </c>
      <c r="B5103" s="138">
        <f>'Revenues 9-14'!C84</f>
        <v>69800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69800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35287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2440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39480</v>
      </c>
      <c r="D5118" s="2" t="str">
        <f t="shared" si="78"/>
        <v>Error?</v>
      </c>
    </row>
    <row r="5119" spans="1:4" x14ac:dyDescent="0.2">
      <c r="A5119" s="5">
        <v>5058</v>
      </c>
      <c r="B5119" s="138">
        <f>'Revenues 9-14'!C107</f>
        <v>8266</v>
      </c>
      <c r="D5119" s="2" t="str">
        <f t="shared" ref="D5119:D5182" si="79">IF(ISBLANK(B5119),"OK",IF(A5119-B5119=0,"OK","Error?"))</f>
        <v>Error?</v>
      </c>
    </row>
    <row r="5120" spans="1:4" x14ac:dyDescent="0.2">
      <c r="A5120" s="5">
        <v>5059</v>
      </c>
      <c r="B5120" s="138">
        <f>'Revenues 9-14'!C108</f>
        <v>85473</v>
      </c>
      <c r="C5120" s="2" t="s">
        <v>573</v>
      </c>
      <c r="D5120" s="2" t="str">
        <f t="shared" si="79"/>
        <v>Error?</v>
      </c>
    </row>
    <row r="5121" spans="1:4" x14ac:dyDescent="0.2">
      <c r="A5121" s="5">
        <v>5060</v>
      </c>
      <c r="B5121" s="138">
        <f>'Revenues 9-14'!C109</f>
        <v>8778524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568334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568334</v>
      </c>
      <c r="C5132" s="2" t="s">
        <v>573</v>
      </c>
      <c r="D5132" s="2" t="str">
        <f t="shared" si="79"/>
        <v>Error?</v>
      </c>
    </row>
    <row r="5133" spans="1:4" x14ac:dyDescent="0.2">
      <c r="A5133" s="5">
        <v>5072</v>
      </c>
      <c r="B5133" s="138">
        <f>'Revenues 9-14'!C125</f>
        <v>23012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23012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9347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33109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601443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8803</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8803</v>
      </c>
      <c r="C5246" s="2" t="s">
        <v>573</v>
      </c>
      <c r="D5246" s="2" t="str">
        <f t="shared" si="80"/>
        <v>Error?</v>
      </c>
    </row>
    <row r="5247" spans="1:4" x14ac:dyDescent="0.2">
      <c r="A5247" s="5">
        <v>5186</v>
      </c>
      <c r="B5247" s="138">
        <f>'Revenues 9-14'!C200</f>
        <v>43487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2303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43487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6523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126660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133183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236060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236060</v>
      </c>
      <c r="C5326" s="2" t="s">
        <v>573</v>
      </c>
      <c r="D5326" s="2" t="str">
        <f t="shared" si="82"/>
        <v>Error?</v>
      </c>
    </row>
    <row r="5327" spans="1:5" x14ac:dyDescent="0.2">
      <c r="A5327" s="5">
        <v>5266</v>
      </c>
      <c r="B5327" s="138">
        <f>'Revenues 9-14'!C268</f>
        <v>9616027</v>
      </c>
      <c r="C5327" s="2" t="s">
        <v>573</v>
      </c>
      <c r="D5327" s="2" t="str">
        <f t="shared" si="82"/>
        <v>Error?</v>
      </c>
    </row>
    <row r="5328" spans="1:5" x14ac:dyDescent="0.2">
      <c r="A5328" s="5">
        <v>5267</v>
      </c>
      <c r="B5328" s="138">
        <f>'Revenues 9-14'!D5</f>
        <v>643412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643412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25059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25059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55526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4473</v>
      </c>
      <c r="D5354" s="2" t="str">
        <f t="shared" si="82"/>
        <v>Error?</v>
      </c>
    </row>
    <row r="5355" spans="1:4" x14ac:dyDescent="0.2">
      <c r="A5355" s="5">
        <v>5294</v>
      </c>
      <c r="B5355" s="138">
        <f>'Revenues 9-14'!D108</f>
        <v>59999</v>
      </c>
      <c r="C5355" s="2" t="s">
        <v>573</v>
      </c>
      <c r="D5355" s="2" t="str">
        <f t="shared" si="82"/>
        <v>Error?</v>
      </c>
    </row>
    <row r="5356" spans="1:4" x14ac:dyDescent="0.2">
      <c r="A5356" s="5">
        <v>5295</v>
      </c>
      <c r="B5356" s="138">
        <f>'Revenues 9-14'!D109</f>
        <v>728470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728470</v>
      </c>
      <c r="C5508" s="2" t="s">
        <v>573</v>
      </c>
      <c r="D5508" s="2" t="str">
        <f t="shared" si="85"/>
        <v>Error?</v>
      </c>
    </row>
    <row r="5509" spans="1:4" x14ac:dyDescent="0.2">
      <c r="A5509" s="5">
        <v>5448</v>
      </c>
      <c r="B5509" s="138">
        <f>'Revenues 9-14'!E5</f>
        <v>1074350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1074350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4171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4171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1078521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1078521</v>
      </c>
      <c r="C5552" s="2" t="s">
        <v>573</v>
      </c>
      <c r="D5552" s="2" t="str">
        <f t="shared" si="85"/>
        <v>Error?</v>
      </c>
    </row>
    <row r="5553" spans="1:4" x14ac:dyDescent="0.2">
      <c r="A5553" s="5">
        <v>5492</v>
      </c>
      <c r="B5553" s="138">
        <f>'Revenues 9-14'!F5</f>
        <v>340912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340912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3735</v>
      </c>
      <c r="D5563" s="2" t="str">
        <f t="shared" si="85"/>
        <v>Error?</v>
      </c>
    </row>
    <row r="5564" spans="1:4" x14ac:dyDescent="0.2">
      <c r="A5564" s="5">
        <v>5503</v>
      </c>
      <c r="B5564" s="138">
        <f>'Revenues 9-14'!F43</f>
        <v>4897</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8632</v>
      </c>
      <c r="C5579" s="2" t="s">
        <v>573</v>
      </c>
      <c r="D5579" s="2" t="str">
        <f t="shared" si="86"/>
        <v>Error?</v>
      </c>
    </row>
    <row r="5580" spans="1:4" x14ac:dyDescent="0.2">
      <c r="A5580" s="5">
        <v>5519</v>
      </c>
      <c r="B5580" s="138">
        <f>'Revenues 9-14'!F65</f>
        <v>18628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18628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368172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60325</v>
      </c>
      <c r="D5615" s="2" t="str">
        <f t="shared" si="86"/>
        <v>Error?</v>
      </c>
    </row>
    <row r="5616" spans="1:4" x14ac:dyDescent="0.2">
      <c r="A5616" s="10">
        <v>5555</v>
      </c>
      <c r="D5616" s="2" t="str">
        <f t="shared" si="86"/>
        <v>OK</v>
      </c>
    </row>
    <row r="5617" spans="1:5" x14ac:dyDescent="0.2">
      <c r="A5617" s="5">
        <v>5556</v>
      </c>
      <c r="B5617" s="138">
        <f>'Revenues 9-14'!F153</f>
        <v>86481</v>
      </c>
      <c r="D5617" s="2" t="str">
        <f t="shared" si="86"/>
        <v>Error?</v>
      </c>
    </row>
    <row r="5618" spans="1:5" x14ac:dyDescent="0.2">
      <c r="A5618" s="5">
        <v>5557</v>
      </c>
      <c r="B5618" s="138">
        <f>'Revenues 9-14'!F155</f>
        <v>146806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146806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146806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514978</v>
      </c>
      <c r="C5720" s="2" t="s">
        <v>573</v>
      </c>
      <c r="D5720" s="2" t="str">
        <f t="shared" si="88"/>
        <v>Error?</v>
      </c>
    </row>
    <row r="5721" spans="1:4" x14ac:dyDescent="0.2">
      <c r="A5721" s="5">
        <v>5660</v>
      </c>
      <c r="B5721" s="138">
        <f>'Revenues 9-14'!G5</f>
        <v>201914</v>
      </c>
      <c r="D5721" s="2" t="str">
        <f t="shared" si="88"/>
        <v>Error?</v>
      </c>
    </row>
    <row r="5722" spans="1:4" x14ac:dyDescent="0.2">
      <c r="A5722" s="5">
        <v>5661</v>
      </c>
      <c r="B5722" s="138">
        <f>'Revenues 9-14'!G7</f>
        <v>0</v>
      </c>
      <c r="D5722" s="2" t="str">
        <f t="shared" si="88"/>
        <v>Error?</v>
      </c>
    </row>
    <row r="5723" spans="1:4" x14ac:dyDescent="0.2">
      <c r="A5723" s="5">
        <v>5662</v>
      </c>
      <c r="B5723" s="138">
        <f>'Revenues 9-14'!G8</f>
        <v>201914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403828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6000</v>
      </c>
      <c r="C5730" s="2" t="s">
        <v>573</v>
      </c>
      <c r="D5730" s="2" t="str">
        <f t="shared" si="88"/>
        <v>Error?</v>
      </c>
    </row>
    <row r="5731" spans="1:4" x14ac:dyDescent="0.2">
      <c r="A5731" s="5">
        <v>5670</v>
      </c>
      <c r="B5731" s="138">
        <f>'Revenues 9-14'!G65</f>
        <v>17758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17758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427586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36322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36322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36322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108</v>
      </c>
      <c r="C6023" s="2" t="s">
        <v>573</v>
      </c>
      <c r="D6023" s="2" t="str">
        <f t="shared" si="93"/>
        <v>Error?</v>
      </c>
    </row>
    <row r="6024" spans="1:5" x14ac:dyDescent="0.2">
      <c r="A6024" s="5">
        <v>5963</v>
      </c>
      <c r="B6024" s="138">
        <f>'Revenues 9-14'!G109</f>
        <v>427586</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36322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60043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571.6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141389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141389</v>
      </c>
      <c r="D6215" s="2" t="str">
        <f t="shared" si="96"/>
        <v>Error?</v>
      </c>
      <c r="E6215" s="2" t="s">
        <v>190</v>
      </c>
    </row>
    <row r="6216" spans="1:5" x14ac:dyDescent="0.2">
      <c r="A6216">
        <v>6155</v>
      </c>
      <c r="B6216" s="138">
        <f>'Assets-Liab 5-6'!J41</f>
        <v>141389</v>
      </c>
      <c r="D6216" s="2" t="str">
        <f t="shared" si="96"/>
        <v>Error?</v>
      </c>
      <c r="E6216" s="2" t="s">
        <v>190</v>
      </c>
    </row>
    <row r="6217" spans="1:5" x14ac:dyDescent="0.2">
      <c r="A6217">
        <v>6156</v>
      </c>
      <c r="B6217" s="138">
        <f>'Assets-Liab 5-6'!J4</f>
        <v>65548</v>
      </c>
      <c r="D6217" s="2" t="str">
        <f t="shared" si="96"/>
        <v>Error?</v>
      </c>
      <c r="E6217" s="2" t="s">
        <v>190</v>
      </c>
    </row>
    <row r="6218" spans="1:5" x14ac:dyDescent="0.2">
      <c r="A6218">
        <v>6157</v>
      </c>
      <c r="B6218" s="138">
        <f>'Assets-Liab 5-6'!J5</f>
        <v>75841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75837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75837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75837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61621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61621</v>
      </c>
      <c r="D6229" s="2" t="str">
        <f t="shared" si="96"/>
        <v>Error?</v>
      </c>
      <c r="E6229" s="2" t="s">
        <v>190</v>
      </c>
    </row>
    <row r="6230" spans="1:5" x14ac:dyDescent="0.2">
      <c r="A6230">
        <v>6169</v>
      </c>
      <c r="B6230" s="138">
        <f>'Acct Summary 7-8'!J20</f>
        <v>14216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32084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5352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14216</v>
      </c>
      <c r="D6263" s="2" t="str">
        <f t="shared" si="96"/>
        <v>Error?</v>
      </c>
      <c r="E6263" s="2" t="s">
        <v>190</v>
      </c>
    </row>
    <row r="6264" spans="1:5" x14ac:dyDescent="0.2">
      <c r="A6264">
        <v>6203</v>
      </c>
      <c r="B6264" s="138">
        <f>'Acct Summary 7-8'!J79</f>
        <v>127173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141389</v>
      </c>
      <c r="D6266" s="2" t="str">
        <f t="shared" si="96"/>
        <v>Error?</v>
      </c>
      <c r="E6266" s="2" t="s">
        <v>190</v>
      </c>
    </row>
    <row r="6267" spans="1:5" x14ac:dyDescent="0.2">
      <c r="A6267">
        <v>6206</v>
      </c>
      <c r="B6267" s="138">
        <f>'Acct Summary 7-8'!C82</f>
        <v>698791</v>
      </c>
      <c r="D6267" s="2" t="str">
        <f t="shared" si="96"/>
        <v>Error?</v>
      </c>
      <c r="E6267" s="2" t="s">
        <v>190</v>
      </c>
    </row>
    <row r="6268" spans="1:5" x14ac:dyDescent="0.2">
      <c r="A6268">
        <v>6207</v>
      </c>
      <c r="B6268" s="138">
        <f>'Acct Summary 7-8'!D82</f>
        <v>-121770</v>
      </c>
      <c r="D6268" s="2" t="str">
        <f t="shared" si="96"/>
        <v>Error?</v>
      </c>
      <c r="E6268" s="2" t="s">
        <v>190</v>
      </c>
    </row>
    <row r="6269" spans="1:5" x14ac:dyDescent="0.2">
      <c r="A6269">
        <v>6208</v>
      </c>
      <c r="B6269" s="138">
        <f>'Acct Summary 7-8'!E82</f>
        <v>-260311</v>
      </c>
      <c r="D6269" s="2" t="str">
        <f t="shared" si="96"/>
        <v>Error?</v>
      </c>
      <c r="E6269" s="2" t="s">
        <v>190</v>
      </c>
    </row>
    <row r="6270" spans="1:5" x14ac:dyDescent="0.2">
      <c r="A6270">
        <v>6209</v>
      </c>
      <c r="B6270" s="138">
        <f>'Acct Summary 7-8'!F82</f>
        <v>-38304</v>
      </c>
      <c r="D6270" s="2" t="str">
        <f t="shared" si="96"/>
        <v>Error?</v>
      </c>
      <c r="E6270" s="2" t="s">
        <v>190</v>
      </c>
    </row>
    <row r="6271" spans="1:5" x14ac:dyDescent="0.2">
      <c r="A6271">
        <v>6210</v>
      </c>
      <c r="B6271" s="138">
        <f>'Acct Summary 7-8'!G82</f>
        <v>141949</v>
      </c>
      <c r="D6271" s="2" t="str">
        <f t="shared" ref="D6271:D6334" si="97">IF(ISBLANK(B6271),"OK",IF(A6271-B6271=0,"OK","Error?"))</f>
        <v>Error?</v>
      </c>
      <c r="E6271" s="2" t="s">
        <v>190</v>
      </c>
    </row>
    <row r="6272" spans="1:5" x14ac:dyDescent="0.2">
      <c r="A6272">
        <v>6211</v>
      </c>
      <c r="B6272" s="138">
        <f>'Acct Summary 7-8'!H82</f>
        <v>947990</v>
      </c>
      <c r="D6272" s="2" t="str">
        <f t="shared" si="97"/>
        <v>Error?</v>
      </c>
      <c r="E6272" s="2" t="s">
        <v>190</v>
      </c>
    </row>
    <row r="6273" spans="1:5" x14ac:dyDescent="0.2">
      <c r="A6273">
        <v>6212</v>
      </c>
      <c r="B6273" s="138">
        <f>'Acct Summary 7-8'!I82</f>
        <v>-3964037</v>
      </c>
      <c r="D6273" s="2" t="str">
        <f t="shared" si="97"/>
        <v>Error?</v>
      </c>
      <c r="E6273" s="2" t="s">
        <v>190</v>
      </c>
    </row>
    <row r="6274" spans="1:5" x14ac:dyDescent="0.2">
      <c r="A6274">
        <v>6213</v>
      </c>
      <c r="B6274" s="138">
        <f>'Acct Summary 7-8'!J82</f>
        <v>14216</v>
      </c>
      <c r="D6274" s="2" t="str">
        <f t="shared" si="97"/>
        <v>Error?</v>
      </c>
      <c r="E6274" s="2" t="s">
        <v>190</v>
      </c>
    </row>
    <row r="6275" spans="1:5" x14ac:dyDescent="0.2">
      <c r="A6275">
        <v>6214</v>
      </c>
      <c r="B6275" s="138">
        <f>'Acct Summary 7-8'!K82</f>
        <v>-831915</v>
      </c>
      <c r="D6275" s="2" t="str">
        <f t="shared" si="97"/>
        <v>Error?</v>
      </c>
      <c r="E6275" s="2" t="s">
        <v>190</v>
      </c>
    </row>
    <row r="6276" spans="1:5" x14ac:dyDescent="0.2">
      <c r="A6276">
        <v>6215</v>
      </c>
      <c r="B6276" s="138">
        <f>'Acct Summary 7-8'!C83</f>
        <v>9.4891001588236185E-2</v>
      </c>
      <c r="D6276" s="2" t="str">
        <f t="shared" si="97"/>
        <v>Error?</v>
      </c>
      <c r="E6276" s="2" t="s">
        <v>190</v>
      </c>
    </row>
    <row r="6277" spans="1:5" x14ac:dyDescent="0.2">
      <c r="A6277">
        <v>6216</v>
      </c>
      <c r="B6277" s="138">
        <f>'Acct Summary 7-8'!D83</f>
        <v>-6.6396362894809449E-2</v>
      </c>
      <c r="D6277" s="2" t="str">
        <f t="shared" si="97"/>
        <v>Error?</v>
      </c>
      <c r="E6277" s="2" t="s">
        <v>190</v>
      </c>
    </row>
    <row r="6278" spans="1:5" x14ac:dyDescent="0.2">
      <c r="A6278">
        <v>6217</v>
      </c>
      <c r="B6278" s="138">
        <f>'Acct Summary 7-8'!E83</f>
        <v>-0.47382858432627445</v>
      </c>
      <c r="D6278" s="2" t="str">
        <f t="shared" si="97"/>
        <v>Error?</v>
      </c>
      <c r="E6278" s="2" t="s">
        <v>190</v>
      </c>
    </row>
    <row r="6279" spans="1:5" x14ac:dyDescent="0.2">
      <c r="A6279">
        <v>6218</v>
      </c>
      <c r="B6279" s="138">
        <f>'Acct Summary 7-8'!F83</f>
        <v>-2.9353366126994077E-2</v>
      </c>
      <c r="D6279" s="2" t="str">
        <f t="shared" si="97"/>
        <v>Error?</v>
      </c>
      <c r="E6279" s="2" t="s">
        <v>190</v>
      </c>
    </row>
    <row r="6280" spans="1:5" x14ac:dyDescent="0.2">
      <c r="A6280">
        <v>6219</v>
      </c>
      <c r="B6280" s="138">
        <f>'Acct Summary 7-8'!G83</f>
        <v>0.10272938594967636</v>
      </c>
      <c r="D6280" s="2" t="str">
        <f t="shared" si="97"/>
        <v>Error?</v>
      </c>
      <c r="E6280" s="2" t="s">
        <v>190</v>
      </c>
    </row>
    <row r="6281" spans="1:5" x14ac:dyDescent="0.2">
      <c r="A6281">
        <v>6220</v>
      </c>
      <c r="B6281" s="138">
        <f>'Acct Summary 7-8'!H83</f>
        <v>0.8472502506921965</v>
      </c>
      <c r="D6281" s="2" t="str">
        <f t="shared" si="97"/>
        <v>Error?</v>
      </c>
      <c r="E6281" s="2" t="s">
        <v>190</v>
      </c>
    </row>
    <row r="6282" spans="1:5" x14ac:dyDescent="0.2">
      <c r="A6282">
        <v>6221</v>
      </c>
      <c r="B6282" s="138">
        <f>'Acct Summary 7-8'!I83</f>
        <v>-3.5932984340653116</v>
      </c>
      <c r="D6282" s="2" t="str">
        <f t="shared" si="97"/>
        <v>Error?</v>
      </c>
      <c r="E6282" s="2" t="s">
        <v>190</v>
      </c>
    </row>
    <row r="6283" spans="1:5" x14ac:dyDescent="0.2">
      <c r="A6283">
        <v>6222</v>
      </c>
      <c r="B6283" s="138">
        <f>'Acct Summary 7-8'!J83</f>
        <v>0.1005453040901343</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32084</v>
      </c>
      <c r="D6285" s="2" t="str">
        <f t="shared" si="97"/>
        <v>Error?</v>
      </c>
      <c r="E6285" s="2" t="s">
        <v>190</v>
      </c>
    </row>
    <row r="6286" spans="1:5" x14ac:dyDescent="0.2">
      <c r="A6286">
        <v>6225</v>
      </c>
      <c r="B6286" s="138">
        <f>'Acct Summary 7-8'!E38</f>
        <v>5352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74769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74769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1068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1068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75837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152607</v>
      </c>
      <c r="D6880" s="2" t="str">
        <f t="shared" si="106"/>
        <v>Error?</v>
      </c>
    </row>
    <row r="6881" spans="1:4" x14ac:dyDescent="0.2">
      <c r="A6881">
        <v>6820</v>
      </c>
      <c r="B6881" s="138">
        <f>'Expenditures 15-22'!K22</f>
        <v>152607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6700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6700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6700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138706</v>
      </c>
      <c r="D6983" s="2" t="str">
        <f t="shared" si="108"/>
        <v>Error?</v>
      </c>
    </row>
    <row r="6984" spans="1:4" x14ac:dyDescent="0.2">
      <c r="A6984">
        <v>6923</v>
      </c>
      <c r="B6984" s="138">
        <f>'Expenditures 15-22'!K86</f>
        <v>138706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138706</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6700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61621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75837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7195</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7195</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7195</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61621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61621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61621</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61621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61621</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61621</v>
      </c>
      <c r="D7224" s="2" t="str">
        <f t="shared" si="111"/>
        <v>Error?</v>
      </c>
    </row>
    <row r="7225" spans="1:4" x14ac:dyDescent="0.2">
      <c r="A7225">
        <v>7164</v>
      </c>
      <c r="B7225" s="138">
        <f>'Expenditures 15-22'!K343</f>
        <v>14216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13895</v>
      </c>
      <c r="D7624" s="2" t="str">
        <f t="shared" si="124"/>
        <v>Error?</v>
      </c>
      <c r="E7624" s="2" t="s">
        <v>19</v>
      </c>
    </row>
    <row r="7625" spans="1:5" x14ac:dyDescent="0.2">
      <c r="A7625">
        <f t="shared" si="123"/>
        <v>7564</v>
      </c>
      <c r="B7625" s="138">
        <f>'Cap Outlay Deprec 26'!I17</f>
        <v>1389.5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691673.5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608496</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4000359</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1084230</v>
      </c>
      <c r="D7797" s="2" t="str">
        <f t="shared" si="127"/>
        <v>Error?</v>
      </c>
      <c r="E7797" s="4" t="s">
        <v>1904</v>
      </c>
    </row>
    <row r="7798" spans="1:5" x14ac:dyDescent="0.2">
      <c r="A7798">
        <v>7737</v>
      </c>
      <c r="B7798" s="138">
        <f>'Contracts Paid in CY 29'!F141</f>
        <v>150000</v>
      </c>
      <c r="D7798" s="2" t="str">
        <f t="shared" si="127"/>
        <v>Error?</v>
      </c>
      <c r="E7798" s="4" t="s">
        <v>1904</v>
      </c>
    </row>
    <row r="7799" spans="1:5" x14ac:dyDescent="0.2">
      <c r="A7799">
        <v>7738</v>
      </c>
      <c r="B7799" s="138">
        <f>'Contracts Paid in CY 29'!G141</f>
        <v>934230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71" t="s">
        <v>1191</v>
      </c>
      <c r="B2" s="2371"/>
      <c r="C2" s="2371"/>
      <c r="D2" s="2371"/>
      <c r="E2" s="2371"/>
      <c r="F2" s="2371"/>
      <c r="G2" s="2371"/>
      <c r="H2" s="2371"/>
      <c r="I2" s="2371"/>
      <c r="J2" s="2371"/>
      <c r="K2" s="2371"/>
      <c r="L2" s="2371"/>
    </row>
    <row r="3" spans="1:29" ht="13.5" customHeight="1" x14ac:dyDescent="0.2">
      <c r="A3" s="2402" t="s">
        <v>1190</v>
      </c>
      <c r="B3" s="2402"/>
      <c r="C3" s="2402"/>
      <c r="D3" s="2402"/>
      <c r="E3" s="2402"/>
      <c r="F3" s="2402"/>
      <c r="G3" s="2402"/>
      <c r="H3" s="2402"/>
      <c r="I3" s="2402"/>
      <c r="J3" s="2402"/>
      <c r="K3" s="2402"/>
      <c r="L3" s="2402"/>
    </row>
    <row r="4" spans="1:29" ht="13.5" customHeight="1" x14ac:dyDescent="0.2">
      <c r="A4" s="2371" t="s">
        <v>1989</v>
      </c>
      <c r="B4" s="2392"/>
      <c r="C4" s="2392"/>
      <c r="D4" s="2392"/>
      <c r="E4" s="2392"/>
      <c r="F4" s="2392"/>
      <c r="G4" s="2392"/>
      <c r="H4" s="2392"/>
      <c r="I4" s="2392"/>
      <c r="J4" s="2392"/>
      <c r="K4" s="2392"/>
      <c r="L4" s="2392"/>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93" t="str">
        <f>COVER!A17</f>
        <v>Benjamin SD 25</v>
      </c>
      <c r="B7" s="2394"/>
      <c r="C7" s="2394"/>
      <c r="D7" s="2395"/>
      <c r="E7" s="2396">
        <f>COVER!A13</f>
        <v>19022025002</v>
      </c>
      <c r="F7" s="2397"/>
      <c r="G7" s="2403">
        <f>COVER!T23</f>
        <v>66003412</v>
      </c>
      <c r="H7" s="2404"/>
      <c r="I7" s="2404"/>
      <c r="J7" s="2404"/>
      <c r="K7" s="2404"/>
      <c r="L7" s="2405"/>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406"/>
      <c r="B9" s="2407"/>
      <c r="C9" s="2407"/>
      <c r="D9" s="2407"/>
      <c r="E9" s="2407"/>
      <c r="F9" s="2408"/>
      <c r="G9" s="2377" t="str">
        <f>COVER!T13</f>
        <v>Mathieson, Moyski, Austin &amp; Co. LLP</v>
      </c>
      <c r="H9" s="2409"/>
      <c r="I9" s="2409"/>
      <c r="J9" s="2409"/>
      <c r="K9" s="2409"/>
      <c r="L9" s="2410"/>
    </row>
    <row r="10" spans="1:29" ht="13.5" customHeight="1" x14ac:dyDescent="0.2">
      <c r="A10" s="2383">
        <f>COVER!A38</f>
        <v>0</v>
      </c>
      <c r="B10" s="2384"/>
      <c r="C10" s="2384"/>
      <c r="D10" s="2384"/>
      <c r="E10" s="2384"/>
      <c r="F10" s="2385"/>
      <c r="G10" s="2377" t="str">
        <f>COVER!T17</f>
        <v>211 South Wheaton Avenue, Suite 400</v>
      </c>
      <c r="H10" s="2378"/>
      <c r="I10" s="2378"/>
      <c r="J10" s="2378"/>
      <c r="K10" s="2378"/>
      <c r="L10" s="2379"/>
    </row>
    <row r="11" spans="1:29" ht="13.5" customHeight="1" x14ac:dyDescent="0.2">
      <c r="A11" s="1171" t="s">
        <v>1519</v>
      </c>
      <c r="B11" s="1172"/>
      <c r="C11" s="1173"/>
      <c r="D11" s="1178"/>
      <c r="E11" s="1173"/>
      <c r="F11" s="1177"/>
      <c r="G11" s="2377" t="str">
        <f>COVER!T19</f>
        <v>Wheaton</v>
      </c>
      <c r="H11" s="2378"/>
      <c r="I11" s="2378"/>
      <c r="J11" s="2378"/>
      <c r="K11" s="2378"/>
      <c r="L11" s="2379"/>
    </row>
    <row r="12" spans="1:29" ht="13.5" customHeight="1" x14ac:dyDescent="0.2">
      <c r="A12" s="2386" t="s">
        <v>1518</v>
      </c>
      <c r="B12" s="2387"/>
      <c r="C12" s="2387"/>
      <c r="D12" s="2387"/>
      <c r="E12" s="2387"/>
      <c r="F12" s="2388"/>
      <c r="G12" s="2380"/>
      <c r="H12" s="2381"/>
      <c r="I12" s="2381"/>
      <c r="J12" s="2381"/>
      <c r="K12" s="2381"/>
      <c r="L12" s="2382"/>
    </row>
    <row r="13" spans="1:29" ht="13.5" customHeight="1" x14ac:dyDescent="0.2">
      <c r="A13" s="2377"/>
      <c r="B13" s="2378"/>
      <c r="C13" s="2378"/>
      <c r="D13" s="2378"/>
      <c r="E13" s="2378"/>
      <c r="F13" s="2379"/>
      <c r="G13" s="2372" t="s">
        <v>1520</v>
      </c>
      <c r="H13" s="2373"/>
      <c r="I13" s="2389" t="str">
        <f>COVER!T25</f>
        <v>mmoyski@mmaadvisors.com</v>
      </c>
      <c r="J13" s="2390"/>
      <c r="K13" s="2390"/>
      <c r="L13" s="2391"/>
    </row>
    <row r="14" spans="1:29" ht="13.5" customHeight="1" x14ac:dyDescent="0.2">
      <c r="A14" s="2377" t="str">
        <f>COVER!A19</f>
        <v>25W250 St. Charles Road</v>
      </c>
      <c r="B14" s="2378"/>
      <c r="C14" s="2378"/>
      <c r="D14" s="2378"/>
      <c r="E14" s="2378"/>
      <c r="F14" s="2379"/>
      <c r="G14" s="1182" t="s">
        <v>1185</v>
      </c>
      <c r="H14" s="1180"/>
      <c r="I14" s="1180"/>
      <c r="J14" s="1180"/>
      <c r="K14" s="1180"/>
      <c r="L14" s="1181"/>
    </row>
    <row r="15" spans="1:29" ht="13.5" customHeight="1" x14ac:dyDescent="0.2">
      <c r="A15" s="2377" t="str">
        <f>COVER!A21</f>
        <v>West Chicago</v>
      </c>
      <c r="B15" s="2378"/>
      <c r="C15" s="2378"/>
      <c r="D15" s="2378"/>
      <c r="E15" s="2378"/>
      <c r="F15" s="2379"/>
      <c r="G15" s="2374" t="str">
        <f>COVER!T15</f>
        <v>Michael Moyski</v>
      </c>
      <c r="H15" s="2375"/>
      <c r="I15" s="2375"/>
      <c r="J15" s="2375"/>
      <c r="K15" s="2375"/>
      <c r="L15" s="2376"/>
    </row>
    <row r="16" spans="1:29" ht="12.2" customHeight="1" x14ac:dyDescent="0.2">
      <c r="A16" s="2399">
        <f>COVER!A25</f>
        <v>60185</v>
      </c>
      <c r="B16" s="2400"/>
      <c r="C16" s="2400"/>
      <c r="D16" s="2400"/>
      <c r="E16" s="2400"/>
      <c r="F16" s="2401"/>
      <c r="G16" s="2411"/>
      <c r="H16" s="2412"/>
      <c r="I16" s="2412"/>
      <c r="J16" s="2412"/>
      <c r="K16" s="2412"/>
      <c r="L16" s="2413"/>
    </row>
    <row r="17" spans="1:13" ht="12.2" customHeight="1" x14ac:dyDescent="0.2">
      <c r="A17" s="2414"/>
      <c r="B17" s="2400"/>
      <c r="C17" s="2400"/>
      <c r="D17" s="2400"/>
      <c r="E17" s="2400"/>
      <c r="F17" s="2401"/>
      <c r="G17" s="1182" t="s">
        <v>1184</v>
      </c>
      <c r="H17" s="1180"/>
      <c r="I17" s="1180"/>
      <c r="J17" s="1180"/>
      <c r="K17" s="1184" t="s">
        <v>1183</v>
      </c>
      <c r="L17" s="1177"/>
      <c r="M17" s="1170"/>
    </row>
    <row r="18" spans="1:13" ht="12.2" customHeight="1" x14ac:dyDescent="0.2">
      <c r="A18" s="2383"/>
      <c r="B18" s="2384"/>
      <c r="C18" s="2384"/>
      <c r="D18" s="2384"/>
      <c r="E18" s="2384"/>
      <c r="F18" s="2385"/>
      <c r="G18" s="2393" t="str">
        <f>COVER!T21</f>
        <v>630-653-1616</v>
      </c>
      <c r="H18" s="2394"/>
      <c r="I18" s="2394"/>
      <c r="J18" s="2394"/>
      <c r="K18" s="2393" t="str">
        <f>COVER!X21</f>
        <v>630-653-1735</v>
      </c>
      <c r="L18" s="2398"/>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5" t="str">
        <f>'Single Audit Cover'!A7</f>
        <v>Benjamin SD 25</v>
      </c>
      <c r="B1" s="2392"/>
      <c r="C1" s="2392"/>
      <c r="D1" s="2392"/>
    </row>
    <row r="2" spans="1:11" s="1199" customFormat="1" ht="12.75" x14ac:dyDescent="0.2">
      <c r="A2" s="2416">
        <f>'Single Audit Cover'!E7</f>
        <v>19022025002</v>
      </c>
      <c r="B2" s="2417"/>
      <c r="C2" s="2417"/>
      <c r="D2" s="2417"/>
    </row>
    <row r="3" spans="1:11" s="1199" customFormat="1" ht="12.75" x14ac:dyDescent="0.2">
      <c r="A3" s="2415" t="s">
        <v>1513</v>
      </c>
      <c r="B3" s="2392"/>
      <c r="C3" s="2392"/>
      <c r="D3" s="2392"/>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9" t="str">
        <f>'Single Audit Cover'!A7</f>
        <v>Benjamin SD 25</v>
      </c>
      <c r="B1" s="2419"/>
      <c r="C1" s="2419"/>
      <c r="D1" s="2419"/>
      <c r="E1" s="2419"/>
    </row>
    <row r="2" spans="1:5" x14ac:dyDescent="0.2">
      <c r="A2" s="2420">
        <f>'Single Audit Cover'!E7</f>
        <v>19022025002</v>
      </c>
      <c r="B2" s="2420"/>
      <c r="C2" s="2420"/>
      <c r="D2" s="2420"/>
      <c r="E2" s="2420"/>
    </row>
    <row r="3" spans="1:5" ht="4.5" customHeight="1" x14ac:dyDescent="0.2"/>
    <row r="4" spans="1:5" x14ac:dyDescent="0.2">
      <c r="A4" s="2419" t="s">
        <v>1245</v>
      </c>
      <c r="B4" s="2419"/>
      <c r="C4" s="2419"/>
      <c r="D4" s="2419"/>
      <c r="E4" s="2419"/>
    </row>
    <row r="5" spans="1:5" x14ac:dyDescent="0.2">
      <c r="A5" s="2422" t="str">
        <f>'Single Audit Cover'!A4</f>
        <v>Year Ending June 30, 2019</v>
      </c>
      <c r="B5" s="2422"/>
      <c r="C5" s="2422"/>
      <c r="D5" s="2422"/>
      <c r="E5" s="2422"/>
    </row>
    <row r="6" spans="1:5" x14ac:dyDescent="0.2">
      <c r="A6" s="2419" t="s">
        <v>1244</v>
      </c>
      <c r="B6" s="2419"/>
      <c r="C6" s="2419"/>
      <c r="D6" s="2419"/>
      <c r="E6" s="2419"/>
    </row>
    <row r="8" spans="1:5" x14ac:dyDescent="0.2">
      <c r="A8" s="1244" t="s">
        <v>1243</v>
      </c>
    </row>
    <row r="10" spans="1:5" x14ac:dyDescent="0.2">
      <c r="A10" s="1245" t="s">
        <v>1242</v>
      </c>
      <c r="B10" s="1246" t="s">
        <v>1241</v>
      </c>
      <c r="C10" s="1246"/>
      <c r="D10" s="1247">
        <f>SUM('Acct Summary 7-8'!C7:K7)</f>
        <v>236060</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0</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-28544</v>
      </c>
    </row>
    <row r="19" spans="1:4" ht="13.5" thickBot="1" x14ac:dyDescent="0.25">
      <c r="A19" s="1249" t="s">
        <v>1235</v>
      </c>
      <c r="D19" s="1250">
        <f>SUM(D10:D17)</f>
        <v>207516</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21"/>
      <c r="B24" s="2421"/>
      <c r="D24" s="1252"/>
    </row>
    <row r="25" spans="1:4" x14ac:dyDescent="0.2">
      <c r="A25" s="2418"/>
      <c r="B25" s="2418"/>
      <c r="D25" s="1252"/>
    </row>
    <row r="26" spans="1:4" x14ac:dyDescent="0.2">
      <c r="A26" s="2418"/>
      <c r="B26" s="2418"/>
      <c r="D26" s="1252"/>
    </row>
    <row r="27" spans="1:4" x14ac:dyDescent="0.2">
      <c r="A27" s="2418"/>
      <c r="B27" s="2418"/>
      <c r="D27" s="1252"/>
    </row>
    <row r="28" spans="1:4" x14ac:dyDescent="0.2">
      <c r="A28" s="2418"/>
      <c r="B28" s="2418"/>
      <c r="D28" s="1252"/>
    </row>
    <row r="29" spans="1:4" x14ac:dyDescent="0.2">
      <c r="A29" s="2418"/>
      <c r="B29" s="2418"/>
      <c r="D29" s="1252"/>
    </row>
    <row r="30" spans="1:4" x14ac:dyDescent="0.2">
      <c r="A30" s="2418"/>
      <c r="B30" s="2418"/>
      <c r="D30" s="1252"/>
    </row>
    <row r="32" spans="1:4" x14ac:dyDescent="0.2">
      <c r="A32" s="1244" t="s">
        <v>1233</v>
      </c>
      <c r="D32" s="1247">
        <f>SUM(D19:D30)</f>
        <v>207516</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8"/>
      <c r="B40" s="2418"/>
      <c r="D40" s="1252"/>
    </row>
    <row r="41" spans="1:4" x14ac:dyDescent="0.2">
      <c r="A41" s="2418"/>
      <c r="B41" s="2418"/>
      <c r="D41" s="1255"/>
    </row>
    <row r="42" spans="1:4" x14ac:dyDescent="0.2">
      <c r="A42" s="2418"/>
      <c r="B42" s="2418"/>
      <c r="D42" s="1255"/>
    </row>
    <row r="43" spans="1:4" x14ac:dyDescent="0.2">
      <c r="A43" s="2418"/>
      <c r="B43" s="2418"/>
      <c r="D43" s="1255"/>
    </row>
    <row r="44" spans="1:4" x14ac:dyDescent="0.2">
      <c r="A44" s="2418"/>
      <c r="B44" s="2418"/>
      <c r="D44" s="1255"/>
    </row>
    <row r="45" spans="1:4" x14ac:dyDescent="0.2">
      <c r="A45" s="2418"/>
      <c r="B45" s="2418"/>
      <c r="D45" s="1255"/>
    </row>
    <row r="47" spans="1:4" x14ac:dyDescent="0.2">
      <c r="B47" s="1256" t="s">
        <v>1227</v>
      </c>
      <c r="C47" s="1256"/>
      <c r="D47" s="1257">
        <f>SUM(D35:D45)</f>
        <v>0</v>
      </c>
    </row>
    <row r="49" spans="2:4" x14ac:dyDescent="0.2">
      <c r="B49" s="1256" t="s">
        <v>1226</v>
      </c>
      <c r="C49" s="1256"/>
      <c r="D49" s="1257">
        <f>D32-D47</f>
        <v>207516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402" t="str">
        <f>'Single Audit Cover'!A7</f>
        <v>Benjamin SD 25</v>
      </c>
      <c r="C1" s="2423"/>
      <c r="D1" s="2423"/>
      <c r="E1" s="2423"/>
      <c r="F1" s="2423"/>
      <c r="G1" s="2423"/>
      <c r="H1" s="2423"/>
      <c r="I1" s="2423"/>
      <c r="J1" s="2423"/>
      <c r="K1" s="2423"/>
      <c r="L1" s="2423"/>
      <c r="M1" s="2423"/>
    </row>
    <row r="2" spans="2:14" ht="15" x14ac:dyDescent="0.2">
      <c r="B2" s="2424">
        <f>'Single Audit Cover'!E7</f>
        <v>19022025002</v>
      </c>
      <c r="C2" s="2424"/>
      <c r="D2" s="2424"/>
      <c r="E2" s="2424"/>
      <c r="F2" s="2424"/>
      <c r="G2" s="2424"/>
      <c r="H2" s="2424"/>
      <c r="I2" s="2424"/>
      <c r="J2" s="2424"/>
      <c r="K2" s="2424"/>
      <c r="L2" s="2424"/>
      <c r="M2" s="2424"/>
      <c r="N2" s="1286"/>
    </row>
    <row r="3" spans="2:14" ht="15" x14ac:dyDescent="0.2">
      <c r="B3" s="2425" t="s">
        <v>1219</v>
      </c>
      <c r="C3" s="2425"/>
      <c r="D3" s="2425"/>
      <c r="E3" s="2425"/>
      <c r="F3" s="2425"/>
      <c r="G3" s="2425"/>
      <c r="H3" s="2425"/>
      <c r="I3" s="2425"/>
      <c r="J3" s="2425"/>
      <c r="K3" s="2425"/>
      <c r="L3" s="2425"/>
      <c r="M3" s="2425"/>
      <c r="N3" s="1286"/>
    </row>
    <row r="4" spans="2:14" ht="15" x14ac:dyDescent="0.2">
      <c r="B4" s="2426" t="str">
        <f>'Single Audit Cover'!A4</f>
        <v>Year Ending June 30, 2019</v>
      </c>
      <c r="C4" s="2426"/>
      <c r="D4" s="2426"/>
      <c r="E4" s="2426"/>
      <c r="F4" s="2426"/>
      <c r="G4" s="2426"/>
      <c r="H4" s="2426"/>
      <c r="I4" s="2426"/>
      <c r="J4" s="2426"/>
      <c r="K4" s="2426"/>
      <c r="L4" s="2426"/>
      <c r="M4" s="2426"/>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Benjamin SD 25</v>
      </c>
      <c r="B1" s="2436"/>
      <c r="C1" s="2436"/>
      <c r="D1" s="2436"/>
      <c r="E1" s="2436"/>
      <c r="F1" s="2436"/>
    </row>
    <row r="2" spans="1:7" ht="13.5" customHeight="1" x14ac:dyDescent="0.2">
      <c r="A2" s="2424">
        <f>'Single Audit Cover'!E7</f>
        <v>19022025002</v>
      </c>
      <c r="B2" s="2424"/>
      <c r="C2" s="2424"/>
      <c r="D2" s="2424"/>
      <c r="E2" s="2424"/>
      <c r="F2" s="2424"/>
      <c r="G2" s="1259"/>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60" t="s">
        <v>1728</v>
      </c>
      <c r="C6" s="317"/>
      <c r="D6" s="317"/>
    </row>
    <row r="7" spans="1:7" ht="60.95" customHeight="1" x14ac:dyDescent="0.2">
      <c r="A7" s="2435" t="s">
        <v>1729</v>
      </c>
      <c r="B7" s="2435"/>
      <c r="C7" s="2435"/>
      <c r="D7" s="2435"/>
      <c r="E7" s="2435"/>
      <c r="F7" s="2435"/>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35" t="s">
        <v>1731</v>
      </c>
      <c r="B13" s="2435"/>
      <c r="C13" s="2435"/>
      <c r="D13" s="2435"/>
      <c r="E13" s="2435"/>
      <c r="F13" s="2435"/>
    </row>
    <row r="14" spans="1:7" ht="9.75" customHeight="1" x14ac:dyDescent="0.2">
      <c r="C14" s="1244"/>
      <c r="D14" s="1244"/>
    </row>
    <row r="15" spans="1:7" ht="13.5" customHeight="1" x14ac:dyDescent="0.2">
      <c r="C15" s="1833" t="s">
        <v>1270</v>
      </c>
      <c r="D15" s="2433" t="s">
        <v>1269</v>
      </c>
      <c r="E15" s="2433"/>
      <c r="F15" s="2433"/>
    </row>
    <row r="16" spans="1:7" ht="13.5" customHeight="1" x14ac:dyDescent="0.2">
      <c r="A16" s="1266"/>
      <c r="B16" s="1260" t="s">
        <v>1268</v>
      </c>
      <c r="C16" s="1833" t="s">
        <v>1267</v>
      </c>
      <c r="D16" s="2434" t="s">
        <v>1588</v>
      </c>
      <c r="E16" s="2434"/>
      <c r="F16" s="2434"/>
    </row>
    <row r="17" spans="1:6" ht="20.45" customHeight="1" x14ac:dyDescent="0.2">
      <c r="A17" s="1267"/>
      <c r="B17" s="1268"/>
      <c r="C17" s="1269"/>
      <c r="D17" s="2428"/>
      <c r="E17" s="2428"/>
      <c r="F17" s="2428"/>
    </row>
    <row r="18" spans="1:6" ht="20.65" customHeight="1" x14ac:dyDescent="0.2">
      <c r="A18" s="1267"/>
      <c r="B18" s="1268"/>
      <c r="C18" s="1269"/>
      <c r="D18" s="2428"/>
      <c r="E18" s="2428"/>
      <c r="F18" s="2428"/>
    </row>
    <row r="19" spans="1:6" ht="20.65" customHeight="1" x14ac:dyDescent="0.2">
      <c r="A19" s="1267"/>
      <c r="B19" s="1268"/>
      <c r="C19" s="1269"/>
      <c r="D19" s="2428"/>
      <c r="E19" s="2428"/>
      <c r="F19" s="2428"/>
    </row>
    <row r="20" spans="1:6" ht="20.65" customHeight="1" x14ac:dyDescent="0.2">
      <c r="A20" s="1267"/>
      <c r="B20" s="1268"/>
      <c r="C20" s="1269"/>
      <c r="D20" s="2428"/>
      <c r="E20" s="2428"/>
      <c r="F20" s="2428"/>
    </row>
    <row r="21" spans="1:6" ht="20.65" customHeight="1" x14ac:dyDescent="0.2">
      <c r="A21" s="1267"/>
      <c r="B21" s="1268"/>
      <c r="C21" s="1269"/>
      <c r="D21" s="2428"/>
      <c r="E21" s="2428"/>
      <c r="F21" s="2428"/>
    </row>
    <row r="22" spans="1:6" ht="20.65" customHeight="1" x14ac:dyDescent="0.2">
      <c r="A22" s="1267"/>
      <c r="B22" s="1268"/>
      <c r="C22" s="1269"/>
      <c r="D22" s="2428"/>
      <c r="E22" s="2428"/>
      <c r="F22" s="2428"/>
    </row>
    <row r="23" spans="1:6" ht="20.65" customHeight="1" x14ac:dyDescent="0.2">
      <c r="A23" s="1267"/>
      <c r="B23" s="1268"/>
      <c r="C23" s="1269"/>
      <c r="D23" s="2428"/>
      <c r="E23" s="2428"/>
      <c r="F23" s="2428"/>
    </row>
    <row r="24" spans="1:6" ht="20.65" customHeight="1" x14ac:dyDescent="0.2">
      <c r="A24" s="1267"/>
      <c r="B24" s="1268"/>
      <c r="C24" s="1269"/>
      <c r="D24" s="2428"/>
      <c r="E24" s="2428"/>
      <c r="F24" s="2428"/>
    </row>
    <row r="25" spans="1:6" ht="20.65" customHeight="1" x14ac:dyDescent="0.2">
      <c r="A25" s="1267"/>
      <c r="B25" s="1268"/>
      <c r="C25" s="1269"/>
      <c r="D25" s="2428"/>
      <c r="E25" s="2428"/>
      <c r="F25" s="2428"/>
    </row>
    <row r="26" spans="1:6" ht="20.65" customHeight="1" x14ac:dyDescent="0.2">
      <c r="A26" s="1267"/>
      <c r="B26" s="1268"/>
      <c r="C26" s="1269"/>
      <c r="D26" s="2428"/>
      <c r="E26" s="2428"/>
      <c r="F26" s="2428"/>
    </row>
    <row r="27" spans="1:6" ht="20.65" customHeight="1" x14ac:dyDescent="0.2">
      <c r="A27" s="1267"/>
      <c r="B27" s="1268"/>
      <c r="C27" s="1269"/>
      <c r="D27" s="2428"/>
      <c r="E27" s="2428"/>
      <c r="F27" s="2428"/>
    </row>
    <row r="28" spans="1:6" ht="20.65" customHeight="1" x14ac:dyDescent="0.2">
      <c r="A28" s="1267"/>
      <c r="B28" s="1268"/>
      <c r="C28" s="1269"/>
      <c r="D28" s="2428"/>
      <c r="E28" s="2428"/>
      <c r="F28" s="2428"/>
    </row>
    <row r="29" spans="1:6" ht="20.65" customHeight="1" x14ac:dyDescent="0.2">
      <c r="A29" s="1267"/>
      <c r="B29" s="1268"/>
      <c r="C29" s="1269"/>
      <c r="D29" s="2428"/>
      <c r="E29" s="2428"/>
      <c r="F29" s="2428"/>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29" t="s">
        <v>1732</v>
      </c>
      <c r="B32" s="2429"/>
      <c r="C32" s="2429"/>
      <c r="D32" s="2429"/>
      <c r="E32" s="2429"/>
      <c r="F32" s="2429"/>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30">
        <f>+C33+C34</f>
        <v>0</v>
      </c>
      <c r="F34" s="2431"/>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32" t="s">
        <v>1590</v>
      </c>
      <c r="C49" s="2432"/>
      <c r="D49" s="2432"/>
      <c r="E49" s="1383"/>
    </row>
    <row r="50" spans="1:5" s="1284" customFormat="1" ht="3.75" customHeight="1" x14ac:dyDescent="0.2">
      <c r="A50" s="1283"/>
      <c r="B50" s="1832"/>
      <c r="C50" s="1832"/>
      <c r="D50" s="1832"/>
      <c r="E50" s="1383"/>
    </row>
    <row r="51" spans="1:5" s="1284" customFormat="1" ht="20.25" customHeight="1" x14ac:dyDescent="0.2">
      <c r="A51" s="1285">
        <v>6</v>
      </c>
      <c r="B51" s="2427" t="s">
        <v>1551</v>
      </c>
      <c r="C51" s="2427"/>
      <c r="D51" s="2427"/>
    </row>
    <row r="52" spans="1:5" ht="14.25" customHeight="1" x14ac:dyDescent="0.2">
      <c r="A52" s="1285"/>
      <c r="B52" s="2427"/>
      <c r="C52" s="2427"/>
      <c r="D52" s="2427"/>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90" colorId="8" zoomScale="110" zoomScaleNormal="110" workbookViewId="0">
      <selection activeCell="D55" sqref="D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4" t="s">
        <v>1168</v>
      </c>
      <c r="B2" s="2044"/>
      <c r="C2" s="2044"/>
      <c r="D2" s="2044"/>
      <c r="E2" s="2044"/>
      <c r="F2" s="2044"/>
      <c r="G2" s="2044"/>
      <c r="H2" s="2044"/>
      <c r="I2" s="2044"/>
      <c r="J2" s="204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8" t="s">
        <v>1633</v>
      </c>
      <c r="B35" s="2059"/>
      <c r="C35" s="2059"/>
      <c r="D35" s="2059"/>
      <c r="E35" s="2060"/>
      <c r="F35" s="2060"/>
      <c r="G35" s="2060"/>
      <c r="H35" s="2060"/>
      <c r="I35" s="206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8" t="s">
        <v>313</v>
      </c>
      <c r="B47" s="2061"/>
      <c r="C47" s="2061"/>
      <c r="D47" s="2061"/>
      <c r="E47" s="2062"/>
      <c r="F47" s="2062"/>
      <c r="G47" s="2062"/>
      <c r="H47" s="2062"/>
      <c r="I47" s="206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2064</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5"/>
      <c r="C57" s="2066"/>
      <c r="D57" s="2066"/>
      <c r="E57" s="2066"/>
      <c r="F57" s="2066"/>
      <c r="G57" s="2066"/>
      <c r="H57" s="2066"/>
      <c r="I57" s="2066"/>
      <c r="J57" s="2067"/>
    </row>
    <row r="58" spans="1:10" s="181" customFormat="1" x14ac:dyDescent="0.2">
      <c r="A58" s="253"/>
      <c r="B58" s="2068"/>
      <c r="C58" s="2069"/>
      <c r="D58" s="2069"/>
      <c r="E58" s="2069"/>
      <c r="F58" s="2069"/>
      <c r="G58" s="2069"/>
      <c r="H58" s="2069"/>
      <c r="I58" s="2069"/>
      <c r="J58" s="2070"/>
    </row>
    <row r="59" spans="1:10" s="181" customFormat="1" x14ac:dyDescent="0.2">
      <c r="A59" s="253"/>
      <c r="B59" s="2068"/>
      <c r="C59" s="2069"/>
      <c r="D59" s="2069"/>
      <c r="E59" s="2069"/>
      <c r="F59" s="2069"/>
      <c r="G59" s="2069"/>
      <c r="H59" s="2069"/>
      <c r="I59" s="2069"/>
      <c r="J59" s="2070"/>
    </row>
    <row r="60" spans="1:10" s="181" customFormat="1" x14ac:dyDescent="0.2">
      <c r="A60" s="253"/>
      <c r="B60" s="2068"/>
      <c r="C60" s="2069"/>
      <c r="D60" s="2069"/>
      <c r="E60" s="2069"/>
      <c r="F60" s="2069"/>
      <c r="G60" s="2069"/>
      <c r="H60" s="2069"/>
      <c r="I60" s="2069"/>
      <c r="J60" s="2070"/>
    </row>
    <row r="61" spans="1:10" s="181" customFormat="1" x14ac:dyDescent="0.2">
      <c r="A61" s="253"/>
      <c r="B61" s="2068"/>
      <c r="C61" s="2069"/>
      <c r="D61" s="2069"/>
      <c r="E61" s="2069"/>
      <c r="F61" s="2069"/>
      <c r="G61" s="2069"/>
      <c r="H61" s="2069"/>
      <c r="I61" s="2069"/>
      <c r="J61" s="2070"/>
    </row>
    <row r="62" spans="1:10" s="181" customFormat="1" x14ac:dyDescent="0.2">
      <c r="A62" s="253"/>
      <c r="B62" s="2068"/>
      <c r="C62" s="2069"/>
      <c r="D62" s="2069"/>
      <c r="E62" s="2069"/>
      <c r="F62" s="2069"/>
      <c r="G62" s="2069"/>
      <c r="H62" s="2069"/>
      <c r="I62" s="2069"/>
      <c r="J62" s="2070"/>
    </row>
    <row r="63" spans="1:10" s="181" customFormat="1" x14ac:dyDescent="0.2">
      <c r="A63" s="253"/>
      <c r="B63" s="2068"/>
      <c r="C63" s="2069"/>
      <c r="D63" s="2069"/>
      <c r="E63" s="2069"/>
      <c r="F63" s="2069"/>
      <c r="G63" s="2069"/>
      <c r="H63" s="2069"/>
      <c r="I63" s="2069"/>
      <c r="J63" s="2070"/>
    </row>
    <row r="64" spans="1:10" s="181" customFormat="1" x14ac:dyDescent="0.2">
      <c r="A64" s="253"/>
      <c r="B64" s="2068"/>
      <c r="C64" s="2069"/>
      <c r="D64" s="2069"/>
      <c r="E64" s="2069"/>
      <c r="F64" s="2069"/>
      <c r="G64" s="2069"/>
      <c r="H64" s="2069"/>
      <c r="I64" s="2069"/>
      <c r="J64" s="2070"/>
    </row>
    <row r="65" spans="1:10" s="181" customFormat="1" x14ac:dyDescent="0.2">
      <c r="A65" s="253"/>
      <c r="B65" s="2068"/>
      <c r="C65" s="2069"/>
      <c r="D65" s="2069"/>
      <c r="E65" s="2069"/>
      <c r="F65" s="2069"/>
      <c r="G65" s="2069"/>
      <c r="H65" s="2069"/>
      <c r="I65" s="2069"/>
      <c r="J65" s="2070"/>
    </row>
    <row r="66" spans="1:10" s="181" customFormat="1" x14ac:dyDescent="0.2">
      <c r="A66" s="253"/>
      <c r="B66" s="2068"/>
      <c r="C66" s="2069"/>
      <c r="D66" s="2069"/>
      <c r="E66" s="2069"/>
      <c r="F66" s="2069"/>
      <c r="G66" s="2069"/>
      <c r="H66" s="2069"/>
      <c r="I66" s="2069"/>
      <c r="J66" s="2070"/>
    </row>
    <row r="67" spans="1:10" s="181" customFormat="1" ht="9" customHeight="1" x14ac:dyDescent="0.2">
      <c r="A67" s="254"/>
      <c r="B67" s="2071"/>
      <c r="C67" s="2072"/>
      <c r="D67" s="2072"/>
      <c r="E67" s="2072"/>
      <c r="F67" s="2072"/>
      <c r="G67" s="2072"/>
      <c r="H67" s="2072"/>
      <c r="I67" s="2072"/>
      <c r="J67" s="207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8" t="s">
        <v>1323</v>
      </c>
      <c r="B70" s="2061"/>
      <c r="C70" s="2061"/>
      <c r="D70" s="2061"/>
      <c r="E70" s="2062"/>
      <c r="F70" s="2062"/>
      <c r="G70" s="2062"/>
      <c r="H70" s="2062"/>
      <c r="I70" s="206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3" t="s">
        <v>1320</v>
      </c>
      <c r="B83" s="2063"/>
      <c r="C83" s="2063"/>
      <c r="D83" s="206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5"/>
      <c r="C102" s="2046"/>
      <c r="D102" s="2046"/>
      <c r="E102" s="2046"/>
      <c r="F102" s="2046"/>
      <c r="G102" s="2046"/>
      <c r="H102" s="2046"/>
      <c r="I102" s="2047"/>
    </row>
    <row r="103" spans="1:9" s="181" customFormat="1" ht="11.25" customHeight="1" x14ac:dyDescent="0.2">
      <c r="A103" s="316"/>
      <c r="B103" s="2048"/>
      <c r="C103" s="2049"/>
      <c r="D103" s="2049"/>
      <c r="E103" s="2049"/>
      <c r="F103" s="2049"/>
      <c r="G103" s="2049"/>
      <c r="H103" s="2049"/>
      <c r="I103" s="2050"/>
    </row>
    <row r="104" spans="1:9" s="181" customFormat="1" ht="11.25" customHeight="1" x14ac:dyDescent="0.2">
      <c r="A104" s="316"/>
      <c r="B104" s="2048"/>
      <c r="C104" s="2049"/>
      <c r="D104" s="2049"/>
      <c r="E104" s="2049"/>
      <c r="F104" s="2049"/>
      <c r="G104" s="2049"/>
      <c r="H104" s="2049"/>
      <c r="I104" s="2050"/>
    </row>
    <row r="105" spans="1:9" s="181" customFormat="1" x14ac:dyDescent="0.2">
      <c r="A105" s="316"/>
      <c r="B105" s="2048"/>
      <c r="C105" s="2049"/>
      <c r="D105" s="2049"/>
      <c r="E105" s="2049"/>
      <c r="F105" s="2049"/>
      <c r="G105" s="2049"/>
      <c r="H105" s="2049"/>
      <c r="I105" s="2050"/>
    </row>
    <row r="106" spans="1:9" s="181" customFormat="1" ht="11.25" customHeight="1" x14ac:dyDescent="0.2">
      <c r="A106" s="316"/>
      <c r="B106" s="2048"/>
      <c r="C106" s="2049"/>
      <c r="D106" s="2049"/>
      <c r="E106" s="2049"/>
      <c r="F106" s="2049"/>
      <c r="G106" s="2049"/>
      <c r="H106" s="2049"/>
      <c r="I106" s="2050"/>
    </row>
    <row r="107" spans="1:9" s="181" customFormat="1" ht="11.25" customHeight="1" x14ac:dyDescent="0.2">
      <c r="A107" s="316"/>
      <c r="B107" s="2048"/>
      <c r="C107" s="2049"/>
      <c r="D107" s="2049"/>
      <c r="E107" s="2049"/>
      <c r="F107" s="2049"/>
      <c r="G107" s="2049"/>
      <c r="H107" s="2049"/>
      <c r="I107" s="2050"/>
    </row>
    <row r="108" spans="1:9" s="181" customFormat="1" ht="11.25" customHeight="1" x14ac:dyDescent="0.2">
      <c r="A108" s="316"/>
      <c r="B108" s="2048"/>
      <c r="C108" s="2049"/>
      <c r="D108" s="2049"/>
      <c r="E108" s="2049"/>
      <c r="F108" s="2049"/>
      <c r="G108" s="2049"/>
      <c r="H108" s="2049"/>
      <c r="I108" s="2050"/>
    </row>
    <row r="109" spans="1:9" s="181" customFormat="1" ht="11.25" customHeight="1" x14ac:dyDescent="0.2">
      <c r="A109" s="316"/>
      <c r="B109" s="2048"/>
      <c r="C109" s="2049"/>
      <c r="D109" s="2049"/>
      <c r="E109" s="2049"/>
      <c r="F109" s="2049"/>
      <c r="G109" s="2049"/>
      <c r="H109" s="2049"/>
      <c r="I109" s="2050"/>
    </row>
    <row r="110" spans="1:9" s="181" customFormat="1" ht="11.25" customHeight="1" x14ac:dyDescent="0.2">
      <c r="A110" s="316"/>
      <c r="B110" s="2048"/>
      <c r="C110" s="2049"/>
      <c r="D110" s="2049"/>
      <c r="E110" s="2049"/>
      <c r="F110" s="2049"/>
      <c r="G110" s="2049"/>
      <c r="H110" s="2049"/>
      <c r="I110" s="2050"/>
    </row>
    <row r="111" spans="1:9" s="181" customFormat="1" ht="11.25" customHeight="1" x14ac:dyDescent="0.2">
      <c r="A111" s="316"/>
      <c r="B111" s="2048"/>
      <c r="C111" s="2049"/>
      <c r="D111" s="2049"/>
      <c r="E111" s="2049"/>
      <c r="F111" s="2049"/>
      <c r="G111" s="2049"/>
      <c r="H111" s="2049"/>
      <c r="I111" s="2050"/>
    </row>
    <row r="112" spans="1:9" s="181" customFormat="1" ht="11.25" customHeight="1" x14ac:dyDescent="0.2">
      <c r="A112" s="316"/>
      <c r="B112" s="2051"/>
      <c r="C112" s="2052"/>
      <c r="D112" s="2052"/>
      <c r="E112" s="2052"/>
      <c r="F112" s="2052"/>
      <c r="G112" s="2052"/>
      <c r="H112" s="2052"/>
      <c r="I112" s="205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4"/>
      <c r="D114" s="205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5" t="s">
        <v>1330</v>
      </c>
      <c r="D117" s="2056"/>
      <c r="E117" s="2057"/>
      <c r="F117" s="2057"/>
      <c r="G117" s="2057"/>
      <c r="H117" s="2057"/>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0" t="str">
        <f>'Single Audit Cover'!A7</f>
        <v>Benjamin SD 25</v>
      </c>
      <c r="C1" s="2451"/>
      <c r="D1" s="2451"/>
      <c r="E1" s="2451"/>
      <c r="F1" s="2451"/>
      <c r="G1" s="2451"/>
      <c r="H1" s="2451"/>
      <c r="I1" s="2451"/>
      <c r="J1" s="1393"/>
    </row>
    <row r="2" spans="2:10" s="317" customFormat="1" ht="12.75" customHeight="1" x14ac:dyDescent="0.2">
      <c r="B2" s="2452">
        <f>'Single Audit Cover'!E7</f>
        <v>19022025002</v>
      </c>
      <c r="C2" s="2453"/>
      <c r="D2" s="2453"/>
      <c r="E2" s="2453"/>
      <c r="F2" s="2453"/>
      <c r="G2" s="2453"/>
      <c r="H2" s="2453"/>
      <c r="I2" s="2453"/>
      <c r="J2" s="1393"/>
    </row>
    <row r="3" spans="2:10" s="317" customFormat="1" ht="12.75" customHeight="1" x14ac:dyDescent="0.2">
      <c r="B3" s="2454" t="s">
        <v>1285</v>
      </c>
      <c r="C3" s="2455"/>
      <c r="D3" s="2455"/>
      <c r="E3" s="2455"/>
      <c r="F3" s="2455"/>
      <c r="G3" s="2455"/>
      <c r="H3" s="2455"/>
      <c r="I3" s="2455"/>
      <c r="J3" s="1394"/>
    </row>
    <row r="4" spans="2:10" s="317" customFormat="1" ht="12.75" customHeight="1" x14ac:dyDescent="0.2">
      <c r="B4" s="2454" t="str">
        <f>'Single Audit Cover'!A4</f>
        <v>Year Ending June 30, 2019</v>
      </c>
      <c r="C4" s="2455"/>
      <c r="D4" s="2455"/>
      <c r="E4" s="2455"/>
      <c r="F4" s="2455"/>
      <c r="G4" s="2455"/>
      <c r="H4" s="2455"/>
      <c r="I4" s="2455"/>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54" t="s">
        <v>1284</v>
      </c>
      <c r="C7" s="2455"/>
      <c r="D7" s="2455"/>
      <c r="E7" s="2455"/>
      <c r="F7" s="2455"/>
      <c r="G7" s="2455"/>
      <c r="H7" s="2455"/>
      <c r="I7" s="2455"/>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56"/>
      <c r="D11" s="2456"/>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57"/>
      <c r="E29" s="2457"/>
      <c r="F29" s="2457"/>
      <c r="G29" s="2457"/>
      <c r="H29" s="2457"/>
      <c r="I29" s="2457"/>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58" t="s">
        <v>1751</v>
      </c>
      <c r="D37" s="2459"/>
      <c r="E37" s="2459"/>
      <c r="F37" s="2460"/>
      <c r="G37" s="2458" t="s">
        <v>1592</v>
      </c>
      <c r="H37" s="2459"/>
      <c r="I37" s="2460"/>
    </row>
    <row r="38" spans="2:9" ht="16.5" customHeight="1" x14ac:dyDescent="0.2">
      <c r="B38" s="1415"/>
      <c r="C38" s="2446"/>
      <c r="D38" s="2447"/>
      <c r="E38" s="2447"/>
      <c r="F38" s="2448"/>
      <c r="G38" s="2461"/>
      <c r="H38" s="2462"/>
      <c r="I38" s="2463"/>
    </row>
    <row r="39" spans="2:9" ht="16.5" customHeight="1" x14ac:dyDescent="0.2">
      <c r="B39" s="1415"/>
      <c r="C39" s="2446"/>
      <c r="D39" s="2447"/>
      <c r="E39" s="2447"/>
      <c r="F39" s="2448"/>
      <c r="G39" s="2449"/>
      <c r="H39" s="2449"/>
      <c r="I39" s="2449"/>
    </row>
    <row r="40" spans="2:9" ht="16.5" customHeight="1" x14ac:dyDescent="0.2">
      <c r="B40" s="1415"/>
      <c r="C40" s="2446"/>
      <c r="D40" s="2447"/>
      <c r="E40" s="2447"/>
      <c r="F40" s="2448"/>
      <c r="G40" s="2449"/>
      <c r="H40" s="2449"/>
      <c r="I40" s="2449"/>
    </row>
    <row r="41" spans="2:9" ht="16.5" customHeight="1" x14ac:dyDescent="0.2">
      <c r="B41" s="1415"/>
      <c r="C41" s="2446"/>
      <c r="D41" s="2447"/>
      <c r="E41" s="2447"/>
      <c r="F41" s="2448"/>
      <c r="G41" s="2449"/>
      <c r="H41" s="2449"/>
      <c r="I41" s="2449"/>
    </row>
    <row r="42" spans="2:9" ht="16.5" customHeight="1" x14ac:dyDescent="0.2">
      <c r="B42" s="1415"/>
      <c r="C42" s="2446"/>
      <c r="D42" s="2447"/>
      <c r="E42" s="2447"/>
      <c r="F42" s="2448"/>
      <c r="G42" s="2449"/>
      <c r="H42" s="2449"/>
      <c r="I42" s="2449"/>
    </row>
    <row r="43" spans="2:9" ht="16.5" customHeight="1" x14ac:dyDescent="0.2">
      <c r="B43" s="1415"/>
      <c r="C43" s="2439" t="s">
        <v>1593</v>
      </c>
      <c r="D43" s="2440"/>
      <c r="E43" s="2440"/>
      <c r="F43" s="2441"/>
      <c r="G43" s="2442">
        <f>SUM(G38:I42)</f>
        <v>0</v>
      </c>
      <c r="H43" s="2442"/>
      <c r="I43" s="2442"/>
    </row>
    <row r="44" spans="2:9" ht="12.75" customHeight="1" x14ac:dyDescent="0.2"/>
    <row r="45" spans="2:9" ht="12.75" customHeight="1" x14ac:dyDescent="0.2">
      <c r="B45" s="1406" t="s">
        <v>1841</v>
      </c>
      <c r="D45" s="2443">
        <v>0</v>
      </c>
      <c r="E45" s="2444"/>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45"/>
      <c r="F49" s="2445"/>
      <c r="G49" s="2445"/>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0" t="str">
        <f>'Single Audit Cover'!A7</f>
        <v>Benjamin SD 25</v>
      </c>
      <c r="C1" s="2450"/>
      <c r="D1" s="2450"/>
      <c r="E1" s="2450"/>
      <c r="F1" s="2450"/>
      <c r="G1" s="2450"/>
      <c r="H1" s="2450"/>
      <c r="I1" s="2450"/>
      <c r="J1" s="2450"/>
      <c r="K1" s="2450"/>
      <c r="L1" s="1358"/>
      <c r="M1" s="1358"/>
    </row>
    <row r="2" spans="1:13" ht="12" customHeight="1" x14ac:dyDescent="0.2">
      <c r="B2" s="2452">
        <f>'Single Audit Cover'!E7</f>
        <v>19022025002</v>
      </c>
      <c r="C2" s="2452"/>
      <c r="D2" s="2452"/>
      <c r="E2" s="2452"/>
      <c r="F2" s="2452"/>
      <c r="G2" s="2452"/>
      <c r="H2" s="2452"/>
      <c r="I2" s="2452"/>
      <c r="J2" s="2452"/>
      <c r="K2" s="2452"/>
      <c r="L2" s="1359"/>
      <c r="M2" s="1360"/>
    </row>
    <row r="3" spans="1:13" ht="10.35" customHeight="1" x14ac:dyDescent="0.2">
      <c r="B3" s="2466" t="s">
        <v>1285</v>
      </c>
      <c r="C3" s="2466"/>
      <c r="D3" s="2466"/>
      <c r="E3" s="2466"/>
      <c r="F3" s="2466"/>
      <c r="G3" s="2466"/>
      <c r="H3" s="2466"/>
      <c r="I3" s="2466"/>
      <c r="J3" s="2466"/>
      <c r="K3" s="2466"/>
      <c r="L3" s="1361"/>
      <c r="M3" s="1361"/>
    </row>
    <row r="4" spans="1:13" ht="14.25" customHeight="1" x14ac:dyDescent="0.2">
      <c r="B4" s="2467" t="str">
        <f>'Single Audit Cover'!A4</f>
        <v>Year Ending June 30, 2019</v>
      </c>
      <c r="C4" s="2467"/>
      <c r="D4" s="2467"/>
      <c r="E4" s="2467"/>
      <c r="F4" s="2467"/>
      <c r="G4" s="2467"/>
      <c r="H4" s="2467"/>
      <c r="I4" s="2467"/>
      <c r="J4" s="2467"/>
      <c r="K4" s="2467"/>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7" t="s">
        <v>1296</v>
      </c>
      <c r="C7" s="2467"/>
      <c r="D7" s="2468"/>
      <c r="E7" s="2468"/>
      <c r="F7" s="2468"/>
      <c r="G7" s="2468"/>
      <c r="H7" s="2468"/>
      <c r="I7" s="2468"/>
      <c r="J7" s="2468"/>
      <c r="K7" s="2468"/>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5"/>
      <c r="C14" s="2465"/>
      <c r="D14" s="2465"/>
      <c r="E14" s="2465"/>
      <c r="F14" s="2465"/>
      <c r="G14" s="2465"/>
      <c r="H14" s="2465"/>
      <c r="I14" s="2465"/>
      <c r="J14" s="2465"/>
      <c r="K14" s="2465"/>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5"/>
      <c r="C17" s="2465"/>
      <c r="D17" s="2465"/>
      <c r="E17" s="2465"/>
      <c r="F17" s="2465"/>
      <c r="G17" s="2465"/>
      <c r="H17" s="2465"/>
      <c r="I17" s="2465"/>
      <c r="J17" s="2465"/>
      <c r="K17" s="2465"/>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9"/>
      <c r="C20" s="2469"/>
      <c r="D20" s="2465"/>
      <c r="E20" s="2465"/>
      <c r="F20" s="2465"/>
      <c r="G20" s="2465"/>
      <c r="H20" s="2465"/>
      <c r="I20" s="2465"/>
      <c r="J20" s="2465"/>
      <c r="K20" s="2465"/>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5"/>
      <c r="C23" s="2465"/>
      <c r="D23" s="2465"/>
      <c r="E23" s="2465"/>
      <c r="F23" s="2465"/>
      <c r="G23" s="2465"/>
      <c r="H23" s="2465"/>
      <c r="I23" s="2465"/>
      <c r="J23" s="2465"/>
      <c r="K23" s="2465"/>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5"/>
      <c r="C26" s="2465"/>
      <c r="D26" s="2465"/>
      <c r="E26" s="2465"/>
      <c r="F26" s="2465"/>
      <c r="G26" s="2465"/>
      <c r="H26" s="2465"/>
      <c r="I26" s="2465"/>
      <c r="J26" s="2465"/>
      <c r="K26" s="2465"/>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4"/>
      <c r="C29" s="2464"/>
      <c r="D29" s="2465"/>
      <c r="E29" s="2465"/>
      <c r="F29" s="2465"/>
      <c r="G29" s="2465"/>
      <c r="H29" s="2465"/>
      <c r="I29" s="2465"/>
      <c r="J29" s="2465"/>
      <c r="K29" s="2465"/>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4"/>
      <c r="C32" s="2464"/>
      <c r="D32" s="2465"/>
      <c r="E32" s="2465"/>
      <c r="F32" s="2465"/>
      <c r="G32" s="2465"/>
      <c r="H32" s="2465"/>
      <c r="I32" s="2465"/>
      <c r="J32" s="2465"/>
      <c r="K32" s="2465"/>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3" t="str">
        <f>'Single Audit Cover'!A7</f>
        <v>Benjamin SD 25</v>
      </c>
      <c r="C1" s="2473"/>
      <c r="D1" s="2473"/>
      <c r="E1" s="2473"/>
      <c r="F1" s="2473"/>
      <c r="G1" s="2473"/>
      <c r="H1" s="2473"/>
      <c r="I1" s="2473"/>
      <c r="J1" s="2473"/>
      <c r="K1" s="2473"/>
      <c r="L1" s="1436"/>
    </row>
    <row r="2" spans="1:12" ht="12.75" customHeight="1" x14ac:dyDescent="0.2">
      <c r="B2" s="2474">
        <f>'Single Audit Cover'!E7</f>
        <v>19022025002</v>
      </c>
      <c r="C2" s="2474"/>
      <c r="D2" s="2474"/>
      <c r="E2" s="2474"/>
      <c r="F2" s="2474"/>
      <c r="G2" s="2474"/>
      <c r="H2" s="2474"/>
      <c r="I2" s="2474"/>
      <c r="J2" s="2474"/>
      <c r="K2" s="2474"/>
      <c r="L2" s="1437"/>
    </row>
    <row r="3" spans="1:12" ht="12.75" customHeight="1" x14ac:dyDescent="0.2">
      <c r="B3" s="2466" t="s">
        <v>1285</v>
      </c>
      <c r="C3" s="2466"/>
      <c r="D3" s="2466"/>
      <c r="E3" s="2466"/>
      <c r="F3" s="2466"/>
      <c r="G3" s="2466"/>
      <c r="H3" s="2466"/>
      <c r="I3" s="2466"/>
      <c r="J3" s="2466"/>
      <c r="K3" s="2466"/>
      <c r="L3" s="1361"/>
    </row>
    <row r="4" spans="1:12" ht="12.75" customHeight="1" x14ac:dyDescent="0.2">
      <c r="B4" s="2466" t="str">
        <f>'Single Audit Cover'!A4</f>
        <v>Year Ending June 30, 2019</v>
      </c>
      <c r="C4" s="2466"/>
      <c r="D4" s="2466"/>
      <c r="E4" s="2466"/>
      <c r="F4" s="2466"/>
      <c r="G4" s="2466"/>
      <c r="H4" s="2466"/>
      <c r="I4" s="2466"/>
      <c r="J4" s="2466"/>
      <c r="K4" s="2466"/>
      <c r="L4" s="1361"/>
    </row>
    <row r="5" spans="1:12" ht="5.25" customHeight="1" x14ac:dyDescent="0.2">
      <c r="B5" s="1244" t="s">
        <v>1169</v>
      </c>
      <c r="C5" s="1244"/>
      <c r="L5" s="322"/>
    </row>
    <row r="6" spans="1:12" ht="30.75" customHeight="1" x14ac:dyDescent="0.2">
      <c r="A6" s="322"/>
      <c r="B6" s="2475" t="s">
        <v>1308</v>
      </c>
      <c r="C6" s="2475"/>
      <c r="D6" s="2475"/>
      <c r="E6" s="2475"/>
      <c r="F6" s="2475"/>
      <c r="G6" s="2475"/>
      <c r="H6" s="2475"/>
      <c r="I6" s="2475"/>
      <c r="J6" s="2475"/>
      <c r="K6" s="2475"/>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57"/>
      <c r="G12" s="2457"/>
      <c r="H12" s="2457"/>
      <c r="I12" s="2457"/>
      <c r="J12" s="2457"/>
      <c r="K12" s="2457"/>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70"/>
      <c r="E14" s="2470"/>
      <c r="F14" s="2470"/>
      <c r="H14" s="1446" t="s">
        <v>1303</v>
      </c>
      <c r="I14" s="2471"/>
      <c r="J14" s="2471"/>
      <c r="K14" s="2471"/>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71"/>
      <c r="E16" s="2471"/>
      <c r="F16" s="2471"/>
      <c r="G16" s="2471"/>
      <c r="H16" s="2471"/>
      <c r="I16" s="2471"/>
      <c r="J16" s="2471"/>
      <c r="K16" s="2471"/>
      <c r="L16" s="322"/>
    </row>
    <row r="17" spans="2:12" ht="13.5" customHeight="1" x14ac:dyDescent="0.2">
      <c r="B17" s="1371" t="s">
        <v>1301</v>
      </c>
      <c r="C17" s="1371"/>
      <c r="D17" s="2472"/>
      <c r="E17" s="2472"/>
      <c r="F17" s="2472"/>
      <c r="G17" s="2472"/>
      <c r="H17" s="2472"/>
      <c r="I17" s="2472"/>
      <c r="J17" s="2472"/>
      <c r="K17" s="2472"/>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5"/>
      <c r="C20" s="2465"/>
      <c r="D20" s="2465"/>
      <c r="E20" s="2465"/>
      <c r="F20" s="2465"/>
      <c r="G20" s="2465"/>
      <c r="H20" s="2465"/>
      <c r="I20" s="2465"/>
      <c r="J20" s="2465"/>
      <c r="K20" s="2465"/>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5"/>
      <c r="C23" s="2465"/>
      <c r="D23" s="2465"/>
      <c r="E23" s="2465"/>
      <c r="F23" s="2465"/>
      <c r="G23" s="2465"/>
      <c r="H23" s="2465"/>
      <c r="I23" s="2465"/>
      <c r="J23" s="2465"/>
      <c r="K23" s="2465"/>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5"/>
      <c r="C26" s="2465"/>
      <c r="D26" s="2465"/>
      <c r="E26" s="2465"/>
      <c r="F26" s="2465"/>
      <c r="G26" s="2465"/>
      <c r="H26" s="2465"/>
      <c r="I26" s="2465"/>
      <c r="J26" s="2465"/>
      <c r="K26" s="2465"/>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5"/>
      <c r="C29" s="2465"/>
      <c r="D29" s="2465"/>
      <c r="E29" s="2465"/>
      <c r="F29" s="2465"/>
      <c r="G29" s="2465"/>
      <c r="H29" s="2465"/>
      <c r="I29" s="2465"/>
      <c r="J29" s="2465"/>
      <c r="K29" s="2465"/>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5"/>
      <c r="C32" s="2465"/>
      <c r="D32" s="2465"/>
      <c r="E32" s="2465"/>
      <c r="F32" s="2465"/>
      <c r="G32" s="2465"/>
      <c r="H32" s="2465"/>
      <c r="I32" s="2465"/>
      <c r="J32" s="2465"/>
      <c r="K32" s="2465"/>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5"/>
      <c r="C35" s="2465"/>
      <c r="D35" s="2465"/>
      <c r="E35" s="2465"/>
      <c r="F35" s="2465"/>
      <c r="G35" s="2465"/>
      <c r="H35" s="2465"/>
      <c r="I35" s="2465"/>
      <c r="J35" s="2465"/>
      <c r="K35" s="2465"/>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5"/>
      <c r="C38" s="2465"/>
      <c r="D38" s="2465"/>
      <c r="E38" s="2465"/>
      <c r="F38" s="2465"/>
      <c r="G38" s="2465"/>
      <c r="H38" s="2465"/>
      <c r="I38" s="2465"/>
      <c r="J38" s="2465"/>
      <c r="K38" s="2465"/>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5"/>
      <c r="C41" s="2465"/>
      <c r="D41" s="2465"/>
      <c r="E41" s="2465"/>
      <c r="F41" s="2465"/>
      <c r="G41" s="2465"/>
      <c r="H41" s="2465"/>
      <c r="I41" s="2465"/>
      <c r="J41" s="2465"/>
      <c r="K41" s="2465"/>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50" t="str">
        <f>'Single Audit Cover'!A7</f>
        <v>Benjamin SD 25</v>
      </c>
      <c r="C1" s="2450"/>
      <c r="D1" s="2450"/>
      <c r="E1" s="1456"/>
    </row>
    <row r="2" spans="2:5" s="1266" customFormat="1" ht="12.75" customHeight="1" x14ac:dyDescent="0.2">
      <c r="B2" s="2452">
        <f>'Single Audit Cover'!E7</f>
        <v>19022025002</v>
      </c>
      <c r="C2" s="2452"/>
      <c r="D2" s="2452"/>
      <c r="E2" s="1457"/>
    </row>
    <row r="3" spans="2:5" ht="12.75" customHeight="1" x14ac:dyDescent="0.2">
      <c r="B3" s="2466" t="s">
        <v>1766</v>
      </c>
      <c r="C3" s="2466"/>
      <c r="D3" s="2466"/>
      <c r="E3" s="1258"/>
    </row>
    <row r="4" spans="2:5" s="1266" customFormat="1" ht="12.75" customHeight="1" x14ac:dyDescent="0.2">
      <c r="B4" s="2476" t="str">
        <f>'Single Audit Cover'!A4</f>
        <v>Year Ending June 30, 2019</v>
      </c>
      <c r="C4" s="2476"/>
      <c r="D4" s="2476"/>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topLeftCell="A52" colorId="8" zoomScale="110" zoomScaleNormal="110" workbookViewId="0">
      <selection activeCell="F16" sqref="F1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4" t="s">
        <v>386</v>
      </c>
      <c r="B1" s="2074"/>
      <c r="C1" s="2074"/>
      <c r="D1" s="2074"/>
      <c r="E1" s="2074"/>
      <c r="F1" s="2074"/>
      <c r="G1" s="2074"/>
      <c r="H1" s="2074"/>
      <c r="I1" s="2074"/>
      <c r="J1" s="2074"/>
      <c r="K1" s="2074"/>
      <c r="L1" s="2074"/>
      <c r="M1" s="207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239018256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3.3919999999999999E-2</v>
      </c>
      <c r="E10" s="356" t="s">
        <v>1005</v>
      </c>
      <c r="F10" s="355">
        <v>2.7929999999999999E-3</v>
      </c>
      <c r="G10" s="356" t="s">
        <v>1005</v>
      </c>
      <c r="H10" s="355">
        <v>1.464E-3</v>
      </c>
      <c r="I10" s="356" t="s">
        <v>1006</v>
      </c>
      <c r="J10" s="1719">
        <f>ROUND(D10+F10+H10,5)</f>
        <v>3.8179999999999999E-2</v>
      </c>
      <c r="K10" s="222"/>
      <c r="L10" s="355"/>
      <c r="M10" s="222"/>
    </row>
    <row r="11" spans="1:14" ht="7.5" customHeight="1" x14ac:dyDescent="0.2">
      <c r="B11" s="222"/>
      <c r="C11" s="222"/>
      <c r="D11" s="2084" t="str">
        <f>IF(SUM(J10)&lt;=0.0999999,"","Enter the Tax Rates by moving the decimal two places to the left.")</f>
        <v/>
      </c>
      <c r="E11" s="2085"/>
      <c r="F11" s="2085"/>
      <c r="G11" s="2085"/>
      <c r="H11" s="2085"/>
      <c r="I11" s="2085"/>
      <c r="J11" s="208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10895797</v>
      </c>
      <c r="E16" s="356"/>
      <c r="F16" s="1720">
        <f>SUM('Acct Summary 7-8'!C17,'Acct Summary 7-8'!D17,'Acct Summary 7-8'!F17)</f>
        <v>10283322</v>
      </c>
      <c r="G16" s="356"/>
      <c r="H16" s="1720">
        <f>SUM(D16-F16)</f>
        <v>612475</v>
      </c>
      <c r="I16" s="222"/>
      <c r="J16" s="1720">
        <f>SUM('Acct Summary 7-8'!C81,'Acct Summary 7-8'!D81,'Acct Summary 7-8'!F81,'Acct Summary 7-8'!I81)</f>
        <v>11606232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22">
        <f>IF(B31="X",(J7*0.069),IF(B32="X",(J7*0.138),"Enter x in a.or b."))</f>
        <v>16492259.664000001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7086663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5"/>
      <c r="C54" s="2076"/>
      <c r="D54" s="2076"/>
      <c r="E54" s="2076"/>
      <c r="F54" s="2076"/>
      <c r="G54" s="2076"/>
      <c r="H54" s="2076"/>
      <c r="I54" s="2076"/>
      <c r="J54" s="2076"/>
      <c r="K54" s="2076"/>
      <c r="L54" s="2077"/>
      <c r="M54" s="380"/>
    </row>
    <row r="55" spans="1:13" ht="12.75" customHeight="1" x14ac:dyDescent="0.2">
      <c r="B55" s="2078"/>
      <c r="C55" s="2079"/>
      <c r="D55" s="2079"/>
      <c r="E55" s="2079"/>
      <c r="F55" s="2079"/>
      <c r="G55" s="2079"/>
      <c r="H55" s="2079"/>
      <c r="I55" s="2079"/>
      <c r="J55" s="2079"/>
      <c r="K55" s="2079"/>
      <c r="L55" s="2080"/>
      <c r="M55" s="380"/>
    </row>
    <row r="56" spans="1:13" ht="12.75" customHeight="1" x14ac:dyDescent="0.2">
      <c r="B56" s="2078"/>
      <c r="C56" s="2079"/>
      <c r="D56" s="2079"/>
      <c r="E56" s="2079"/>
      <c r="F56" s="2079"/>
      <c r="G56" s="2079"/>
      <c r="H56" s="2079"/>
      <c r="I56" s="2079"/>
      <c r="J56" s="2079"/>
      <c r="K56" s="2079"/>
      <c r="L56" s="2080"/>
      <c r="M56" s="222"/>
    </row>
    <row r="57" spans="1:13" ht="12.75" customHeight="1" x14ac:dyDescent="0.2">
      <c r="B57" s="2078"/>
      <c r="C57" s="2079"/>
      <c r="D57" s="2079"/>
      <c r="E57" s="2079"/>
      <c r="F57" s="2079"/>
      <c r="G57" s="2079"/>
      <c r="H57" s="2079"/>
      <c r="I57" s="2079"/>
      <c r="J57" s="2079"/>
      <c r="K57" s="2079"/>
      <c r="L57" s="2080"/>
      <c r="M57" s="222"/>
    </row>
    <row r="58" spans="1:13" x14ac:dyDescent="0.2">
      <c r="B58" s="2081"/>
      <c r="C58" s="2082"/>
      <c r="D58" s="2082"/>
      <c r="E58" s="2082"/>
      <c r="F58" s="2082"/>
      <c r="G58" s="2082"/>
      <c r="H58" s="2082"/>
      <c r="I58" s="2082"/>
      <c r="J58" s="2082"/>
      <c r="K58" s="2082"/>
      <c r="L58" s="208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6"/>
      <c r="D61" s="208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D9" sqref="D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9"/>
      <c r="B1" s="2090"/>
      <c r="C1" s="2090"/>
      <c r="D1" s="384"/>
      <c r="E1" s="384"/>
      <c r="F1" s="384"/>
      <c r="G1" s="384"/>
      <c r="H1" s="384"/>
      <c r="I1" s="384"/>
      <c r="J1" s="384"/>
      <c r="K1" s="384"/>
      <c r="L1" s="384"/>
      <c r="M1" s="384"/>
      <c r="N1" s="384"/>
      <c r="O1" s="2089"/>
      <c r="P1" s="2090"/>
      <c r="Q1" s="2090"/>
    </row>
    <row r="2" spans="1:18" ht="15" x14ac:dyDescent="0.2">
      <c r="A2" s="2093" t="s">
        <v>556</v>
      </c>
      <c r="B2" s="2093"/>
      <c r="C2" s="2093"/>
      <c r="D2" s="2093"/>
      <c r="E2" s="2093"/>
      <c r="F2" s="2093"/>
      <c r="G2" s="2093"/>
      <c r="H2" s="2093"/>
      <c r="I2" s="2093"/>
      <c r="J2" s="2093"/>
      <c r="K2" s="2093"/>
      <c r="L2" s="2093"/>
      <c r="M2" s="2093"/>
      <c r="N2" s="2093"/>
      <c r="O2" s="2093"/>
      <c r="P2" s="2093"/>
      <c r="Q2" s="2093"/>
      <c r="R2" s="2093"/>
    </row>
    <row r="3" spans="1:18" ht="12.75" x14ac:dyDescent="0.2">
      <c r="A3" s="2094" t="s">
        <v>1413</v>
      </c>
      <c r="B3" s="2094"/>
      <c r="C3" s="2094"/>
      <c r="D3" s="2094"/>
      <c r="E3" s="2094"/>
      <c r="F3" s="2094"/>
      <c r="G3" s="2094"/>
      <c r="H3" s="2094"/>
      <c r="I3" s="2094"/>
      <c r="J3" s="2094"/>
      <c r="K3" s="2094"/>
      <c r="L3" s="2094"/>
      <c r="M3" s="2094"/>
      <c r="N3" s="2094"/>
      <c r="O3" s="2094"/>
      <c r="P3" s="2094"/>
      <c r="Q3" s="2094"/>
      <c r="R3" s="2094"/>
    </row>
    <row r="4" spans="1:18" x14ac:dyDescent="0.2">
      <c r="A4" s="2095" t="s">
        <v>1554</v>
      </c>
      <c r="B4" s="2095"/>
      <c r="C4" s="2095"/>
      <c r="D4" s="2095"/>
      <c r="E4" s="2095"/>
      <c r="F4" s="2095"/>
      <c r="G4" s="2095"/>
      <c r="H4" s="2095"/>
      <c r="I4" s="2095"/>
      <c r="J4" s="2095"/>
      <c r="K4" s="2095"/>
      <c r="L4" s="2095"/>
      <c r="M4" s="2095"/>
      <c r="N4" s="2095"/>
      <c r="O4" s="2095"/>
      <c r="P4" s="2095"/>
      <c r="Q4" s="2095"/>
      <c r="R4" s="209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Benjamin SD 25</v>
      </c>
      <c r="E7" s="391"/>
      <c r="G7" s="252"/>
      <c r="H7" s="387"/>
      <c r="I7" s="387"/>
      <c r="J7" s="387"/>
      <c r="K7" s="387"/>
      <c r="L7" s="329"/>
      <c r="M7" s="329"/>
      <c r="N7" s="329"/>
      <c r="O7" s="329"/>
      <c r="P7" s="329"/>
    </row>
    <row r="8" spans="1:18" ht="12.75" x14ac:dyDescent="0.2">
      <c r="A8" s="329"/>
      <c r="B8" s="329"/>
      <c r="C8" s="389" t="s">
        <v>1125</v>
      </c>
      <c r="D8" s="392">
        <f>COVER!A13</f>
        <v>19022025002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11606232</v>
      </c>
      <c r="I12" s="404"/>
      <c r="J12" s="404"/>
      <c r="K12" s="405">
        <f>TRUNC((H12/H13*100000),5)/100000</f>
        <v>1.0688751275999999</v>
      </c>
      <c r="L12" s="406"/>
      <c r="M12" s="360" t="s">
        <v>1144</v>
      </c>
      <c r="N12" s="360"/>
      <c r="O12" s="407">
        <v>0.35</v>
      </c>
      <c r="P12" s="218"/>
      <c r="Q12" s="218"/>
    </row>
    <row r="13" spans="1:18" s="408" customFormat="1" ht="12.75" x14ac:dyDescent="0.2">
      <c r="A13" s="218"/>
      <c r="B13" s="401"/>
      <c r="C13" s="2091" t="s">
        <v>1324</v>
      </c>
      <c r="D13" s="2092"/>
      <c r="E13" s="218"/>
      <c r="F13" s="409" t="s">
        <v>793</v>
      </c>
      <c r="G13" s="402"/>
      <c r="H13" s="403">
        <f>SUM('Acct Summary 7-8'!C8+'Acct Summary 7-8'!D8+'Acct Summary 7-8'!F8+'Acct Summary 7-8'!I8)+H14</f>
        <v>10858361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-37436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10283322</v>
      </c>
      <c r="I17" s="404"/>
      <c r="J17" s="416"/>
      <c r="K17" s="405">
        <f>TRUNC((H17/H18*100000),5)/100000</f>
        <v>0.94704182329999997</v>
      </c>
      <c r="L17" s="406"/>
      <c r="M17" s="417" t="s">
        <v>1171</v>
      </c>
      <c r="O17" s="418" t="str">
        <f>IF(AND(O16="2", J20 &gt; 2),"1",IF(AND(O16 = "1", J20 &gt; 2),"2",IF(AND(O16="1", J20 &gt;1),"1","0")))</f>
        <v>0</v>
      </c>
      <c r="P17" s="218"/>
    </row>
    <row r="18" spans="1:18" s="408" customFormat="1" ht="11.25" x14ac:dyDescent="0.2">
      <c r="A18" s="218"/>
      <c r="B18" s="401"/>
      <c r="C18" s="2091" t="s">
        <v>1317</v>
      </c>
      <c r="D18" s="2092"/>
      <c r="E18" s="218"/>
      <c r="F18" s="419" t="s">
        <v>794</v>
      </c>
      <c r="G18" s="402"/>
      <c r="H18" s="403">
        <f>SUM('Acct Summary 7-8'!C8+'Acct Summary 7-8'!D8+'Acct Summary 7-8'!F8+'Acct Summary 7-8'!I8)+H19</f>
        <v>10858361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-37436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8" t="s">
        <v>1412</v>
      </c>
      <c r="D24" s="2088"/>
      <c r="E24" s="218"/>
      <c r="F24" s="218" t="s">
        <v>445</v>
      </c>
      <c r="G24" s="402"/>
      <c r="H24" s="403">
        <f>SUM('Assets-Liab 5-6'!C4+'Assets-Liab 5-6'!D4+'Assets-Liab 5-6'!F4+'Assets-Liab 5-6'!I4+'Assets-Liab 5-6'!C5+'Assets-Liab 5-6'!D5+'Assets-Liab 5-6'!F5+'Assets-Liab 5-6'!I5)</f>
        <v>11606232</v>
      </c>
      <c r="I24" s="422"/>
      <c r="J24" s="422"/>
      <c r="K24" s="423">
        <f>TRUNC(((H24/H25*100000)/100000),2)</f>
        <v>406.31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28564.783329999998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7756859.4619699996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7086663</v>
      </c>
      <c r="I32" s="420"/>
      <c r="J32" s="420"/>
      <c r="K32" s="423">
        <f>TRUNC(100-((((H32/H33*100))*100)/100),2)</f>
        <v>57.03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16492259.664000001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topLeftCell="B1" colorId="8" zoomScale="110" zoomScaleNormal="110" workbookViewId="0">
      <pane ySplit="2" topLeftCell="A3" activePane="bottomLeft" state="frozen"/>
      <selection pane="bottomLeft" activeCell="F15" sqref="F15"/>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8" t="s">
        <v>973</v>
      </c>
      <c r="B3" s="2099"/>
      <c r="C3" s="1546"/>
      <c r="D3" s="1547"/>
      <c r="E3" s="1547"/>
      <c r="F3" s="1547"/>
      <c r="G3" s="1547"/>
      <c r="H3" s="1547"/>
      <c r="I3" s="1547"/>
      <c r="J3" s="1547"/>
      <c r="K3" s="1547"/>
      <c r="L3" s="1547"/>
      <c r="M3" s="1548"/>
      <c r="N3" s="1549"/>
    </row>
    <row r="4" spans="1:14" ht="13.5" customHeight="1" x14ac:dyDescent="0.2">
      <c r="A4" s="463" t="s">
        <v>1651</v>
      </c>
      <c r="B4" s="464"/>
      <c r="C4" s="465">
        <v>89902</v>
      </c>
      <c r="D4" s="465">
        <v>9843</v>
      </c>
      <c r="E4" s="465">
        <v>10596</v>
      </c>
      <c r="F4" s="465">
        <v>1893</v>
      </c>
      <c r="G4" s="465">
        <v>11601</v>
      </c>
      <c r="H4" s="465">
        <v>63875</v>
      </c>
      <c r="I4" s="465">
        <v>2032</v>
      </c>
      <c r="J4" s="465">
        <v>65548</v>
      </c>
      <c r="K4" s="465">
        <v>0</v>
      </c>
      <c r="L4" s="465">
        <v>64304</v>
      </c>
      <c r="M4" s="468"/>
      <c r="N4" s="469"/>
    </row>
    <row r="5" spans="1:14" x14ac:dyDescent="0.2">
      <c r="A5" s="463" t="s">
        <v>992</v>
      </c>
      <c r="B5" s="470">
        <v>120</v>
      </c>
      <c r="C5" s="465">
        <v>7274242</v>
      </c>
      <c r="D5" s="465">
        <v>1824143</v>
      </c>
      <c r="E5" s="465">
        <v>538782</v>
      </c>
      <c r="F5" s="465">
        <v>1303034</v>
      </c>
      <c r="G5" s="465">
        <v>1370175</v>
      </c>
      <c r="H5" s="465">
        <v>1055027</v>
      </c>
      <c r="I5" s="465">
        <v>1101143</v>
      </c>
      <c r="J5" s="465">
        <v>75841</v>
      </c>
      <c r="K5" s="465">
        <v>0</v>
      </c>
      <c r="L5" s="465">
        <v>0</v>
      </c>
      <c r="M5" s="468"/>
      <c r="N5" s="469"/>
    </row>
    <row r="6" spans="1:14" ht="13.5" customHeight="1" x14ac:dyDescent="0.2">
      <c r="A6" s="471" t="s">
        <v>417</v>
      </c>
      <c r="B6" s="470">
        <v>130</v>
      </c>
      <c r="C6" s="465">
        <v>0</v>
      </c>
      <c r="D6" s="465">
        <v>0</v>
      </c>
      <c r="E6" s="465">
        <v>0</v>
      </c>
      <c r="F6" s="465">
        <v>0</v>
      </c>
      <c r="G6" s="465">
        <v>0</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0</v>
      </c>
      <c r="D8" s="465">
        <v>0</v>
      </c>
      <c r="E8" s="465">
        <v>0</v>
      </c>
      <c r="F8" s="465">
        <v>0</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0</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7364144</v>
      </c>
      <c r="D13" s="1724">
        <f t="shared" ref="D13:L13" si="0">SUM(D4:D12)</f>
        <v>1833986</v>
      </c>
      <c r="E13" s="1724">
        <f t="shared" si="0"/>
        <v>549378</v>
      </c>
      <c r="F13" s="1724">
        <f t="shared" si="0"/>
        <v>1304927</v>
      </c>
      <c r="G13" s="1724">
        <f t="shared" si="0"/>
        <v>1381776</v>
      </c>
      <c r="H13" s="1724">
        <f t="shared" si="0"/>
        <v>1118902</v>
      </c>
      <c r="I13" s="1724">
        <f t="shared" si="0"/>
        <v>1103175</v>
      </c>
      <c r="J13" s="1724">
        <f t="shared" si="0"/>
        <v>141389</v>
      </c>
      <c r="K13" s="1724">
        <f t="shared" si="0"/>
        <v>0</v>
      </c>
      <c r="L13" s="1724">
        <f t="shared" si="0"/>
        <v>64304</v>
      </c>
      <c r="M13" s="468"/>
      <c r="N13" s="469"/>
    </row>
    <row r="14" spans="1:14" ht="18" customHeight="1" thickTop="1" x14ac:dyDescent="0.2">
      <c r="A14" s="2100" t="s">
        <v>147</v>
      </c>
      <c r="B14" s="2101"/>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135061</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20404555</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734164</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2879545</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0</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549378</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6537285</v>
      </c>
    </row>
    <row r="23" spans="1:14" ht="13.5" customHeight="1" thickBot="1" x14ac:dyDescent="0.25">
      <c r="A23" s="1723" t="s">
        <v>643</v>
      </c>
      <c r="B23" s="1728"/>
      <c r="C23" s="468"/>
      <c r="D23" s="468"/>
      <c r="E23" s="468"/>
      <c r="F23" s="468"/>
      <c r="G23" s="468"/>
      <c r="H23" s="468"/>
      <c r="I23" s="468"/>
      <c r="J23" s="468"/>
      <c r="K23" s="468"/>
      <c r="L23" s="468"/>
      <c r="M23" s="1675">
        <f>SUM(M15:M22)</f>
        <v>24153325</v>
      </c>
      <c r="N23" s="1675">
        <f>SUM(N21:N22)</f>
        <v>7086663</v>
      </c>
    </row>
    <row r="24" spans="1:14" ht="18" customHeight="1" thickTop="1" x14ac:dyDescent="0.2">
      <c r="A24" s="2102" t="s">
        <v>598</v>
      </c>
      <c r="B24" s="2103"/>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1"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0</v>
      </c>
      <c r="D30" s="465">
        <v>0</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0</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0</v>
      </c>
      <c r="D32" s="465">
        <v>0</v>
      </c>
      <c r="E32" s="465">
        <v>0</v>
      </c>
      <c r="F32" s="465">
        <v>0</v>
      </c>
      <c r="G32" s="465">
        <v>0</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64304</v>
      </c>
      <c r="M33" s="468"/>
      <c r="N33" s="469"/>
    </row>
    <row r="34" spans="1:14" ht="13.5" customHeight="1" thickBot="1" x14ac:dyDescent="0.25">
      <c r="A34" s="1725" t="s">
        <v>654</v>
      </c>
      <c r="B34" s="1726"/>
      <c r="C34" s="1727">
        <f>SUM(C25:C33)</f>
        <v>0</v>
      </c>
      <c r="D34" s="1727">
        <f t="shared" ref="D34:K34" si="1">SUM(D25:D33)</f>
        <v>0</v>
      </c>
      <c r="E34" s="1727">
        <f t="shared" si="1"/>
        <v>0</v>
      </c>
      <c r="F34" s="1727">
        <f t="shared" si="1"/>
        <v>0</v>
      </c>
      <c r="G34" s="1727">
        <f t="shared" si="1"/>
        <v>0</v>
      </c>
      <c r="H34" s="1727">
        <f t="shared" si="1"/>
        <v>0</v>
      </c>
      <c r="I34" s="1727">
        <f t="shared" si="1"/>
        <v>0</v>
      </c>
      <c r="J34" s="1727">
        <f t="shared" si="1"/>
        <v>0</v>
      </c>
      <c r="K34" s="1727">
        <f t="shared" si="1"/>
        <v>0</v>
      </c>
      <c r="L34" s="1708">
        <f>SUM(L33)</f>
        <v>64304</v>
      </c>
      <c r="M34" s="468"/>
      <c r="N34" s="476"/>
    </row>
    <row r="35" spans="1:14" ht="18" customHeight="1" thickTop="1" x14ac:dyDescent="0.2">
      <c r="A35" s="2104" t="s">
        <v>529</v>
      </c>
      <c r="B35" s="2105"/>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7086663</v>
      </c>
    </row>
    <row r="37" spans="1:14" ht="13.5" thickBot="1" x14ac:dyDescent="0.25">
      <c r="A37" s="1723" t="s">
        <v>653</v>
      </c>
      <c r="B37" s="1728"/>
      <c r="C37" s="473"/>
      <c r="D37" s="473"/>
      <c r="E37" s="473"/>
      <c r="F37" s="473"/>
      <c r="G37" s="473"/>
      <c r="H37" s="473"/>
      <c r="I37" s="473"/>
      <c r="J37" s="473"/>
      <c r="K37" s="473"/>
      <c r="L37" s="476"/>
      <c r="M37" s="468"/>
      <c r="N37" s="1675">
        <f>SUM(N36:N36)</f>
        <v>7086663</v>
      </c>
    </row>
    <row r="38" spans="1:14" s="329" customFormat="1" ht="13.5" customHeight="1" thickTop="1" x14ac:dyDescent="0.2">
      <c r="A38" s="491" t="s">
        <v>420</v>
      </c>
      <c r="B38" s="479">
        <v>714</v>
      </c>
      <c r="C38" s="465">
        <v>0</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7364144</v>
      </c>
      <c r="D39" s="465">
        <v>1833986</v>
      </c>
      <c r="E39" s="465">
        <v>549378</v>
      </c>
      <c r="F39" s="465">
        <v>1304927</v>
      </c>
      <c r="G39" s="465">
        <v>1381776</v>
      </c>
      <c r="H39" s="465">
        <v>1118902</v>
      </c>
      <c r="I39" s="465">
        <v>1103175</v>
      </c>
      <c r="J39" s="465">
        <v>141389</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24153325</v>
      </c>
      <c r="N40" s="492"/>
    </row>
    <row r="41" spans="1:14" ht="13.5" customHeight="1" thickBot="1" x14ac:dyDescent="0.25">
      <c r="A41" s="1723" t="s">
        <v>655</v>
      </c>
      <c r="B41" s="1693"/>
      <c r="C41" s="1675">
        <f>(SUM(C34,C37,C38,C39))</f>
        <v>7364144</v>
      </c>
      <c r="D41" s="1675">
        <f t="shared" ref="D41:L41" si="2">SUM(D34,D37,D38:D39)</f>
        <v>1833986</v>
      </c>
      <c r="E41" s="1675">
        <f t="shared" si="2"/>
        <v>549378</v>
      </c>
      <c r="F41" s="1675">
        <f t="shared" si="2"/>
        <v>1304927</v>
      </c>
      <c r="G41" s="1675">
        <f t="shared" si="2"/>
        <v>1381776</v>
      </c>
      <c r="H41" s="1675">
        <f t="shared" si="2"/>
        <v>1118902</v>
      </c>
      <c r="I41" s="1675">
        <f t="shared" si="2"/>
        <v>1103175</v>
      </c>
      <c r="J41" s="1675">
        <f t="shared" si="2"/>
        <v>141389</v>
      </c>
      <c r="K41" s="1675">
        <f t="shared" si="2"/>
        <v>0</v>
      </c>
      <c r="L41" s="1675">
        <f t="shared" si="2"/>
        <v>64304</v>
      </c>
      <c r="M41" s="1675">
        <f>SUM(M40)</f>
        <v>24153325</v>
      </c>
      <c r="N41" s="1675">
        <f>SUM(N37)</f>
        <v>7086663</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colorId="8" zoomScale="110" zoomScaleNormal="110" zoomScaleSheetLayoutView="100" workbookViewId="0">
      <pane ySplit="2" topLeftCell="A3" activePane="bottomLeft" state="frozen"/>
      <selection pane="bottomLeft" activeCell="B6" sqref="B6"/>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4"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5"/>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6" t="s">
        <v>1175</v>
      </c>
      <c r="B3" s="2127"/>
      <c r="C3" s="1560"/>
      <c r="D3" s="1561"/>
      <c r="E3" s="1561"/>
      <c r="F3" s="1561"/>
      <c r="G3" s="1561"/>
      <c r="H3" s="1561"/>
      <c r="I3" s="1561"/>
      <c r="J3" s="1561"/>
      <c r="K3" s="1562"/>
      <c r="L3" s="501"/>
    </row>
    <row r="4" spans="1:13" ht="15.75" customHeight="1" x14ac:dyDescent="0.2">
      <c r="A4" s="1915" t="s">
        <v>1499</v>
      </c>
      <c r="B4" s="1916">
        <v>1000</v>
      </c>
      <c r="C4" s="1729">
        <f>'Revenues 9-14'!C109</f>
        <v>8778524</v>
      </c>
      <c r="D4" s="1729">
        <f>'Revenues 9-14'!D109</f>
        <v>728470</v>
      </c>
      <c r="E4" s="1729">
        <f>'Revenues 9-14'!E109</f>
        <v>1078521</v>
      </c>
      <c r="F4" s="1729">
        <f>'Revenues 9-14'!F109</f>
        <v>368172</v>
      </c>
      <c r="G4" s="1729">
        <f>'Revenues 9-14'!G109</f>
        <v>427586</v>
      </c>
      <c r="H4" s="1729">
        <f>'Revenues 9-14'!H109</f>
        <v>0</v>
      </c>
      <c r="I4" s="1729">
        <f>'Revenues 9-14'!I109</f>
        <v>36322</v>
      </c>
      <c r="J4" s="1729">
        <f>'Revenues 9-14'!J109</f>
        <v>75837</v>
      </c>
      <c r="K4" s="1729">
        <f>'Revenues 9-14'!K109</f>
        <v>108</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601443</v>
      </c>
      <c r="D6" s="1730">
        <f>'Revenues 9-14'!D170</f>
        <v>0</v>
      </c>
      <c r="E6" s="1730">
        <f>'Revenues 9-14'!E170</f>
        <v>0</v>
      </c>
      <c r="F6" s="1730">
        <f>'Revenues 9-14'!F170</f>
        <v>146806</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236060</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9616027</v>
      </c>
      <c r="D8" s="1675">
        <f t="shared" ref="D8:K8" si="0">SUM(D4:D7)</f>
        <v>728470</v>
      </c>
      <c r="E8" s="1675">
        <f t="shared" si="0"/>
        <v>1078521</v>
      </c>
      <c r="F8" s="1675">
        <f t="shared" si="0"/>
        <v>514978</v>
      </c>
      <c r="G8" s="1675">
        <f t="shared" si="0"/>
        <v>427586</v>
      </c>
      <c r="H8" s="1675">
        <f t="shared" si="0"/>
        <v>0</v>
      </c>
      <c r="I8" s="1675">
        <f t="shared" si="0"/>
        <v>36322</v>
      </c>
      <c r="J8" s="1675">
        <f t="shared" si="0"/>
        <v>75837</v>
      </c>
      <c r="K8" s="1675">
        <f t="shared" si="0"/>
        <v>108</v>
      </c>
      <c r="L8" s="347"/>
    </row>
    <row r="9" spans="1:13" ht="15.75" thickTop="1" x14ac:dyDescent="0.2">
      <c r="A9" s="509" t="s">
        <v>1653</v>
      </c>
      <c r="B9" s="510">
        <v>3998</v>
      </c>
      <c r="C9" s="477">
        <v>3714978</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13331005</v>
      </c>
      <c r="D10" s="1675">
        <f t="shared" ref="D10:K10" si="1">SUM(D8:D9)</f>
        <v>728470</v>
      </c>
      <c r="E10" s="1675">
        <f t="shared" si="1"/>
        <v>1078521</v>
      </c>
      <c r="F10" s="1675">
        <f t="shared" si="1"/>
        <v>514978</v>
      </c>
      <c r="G10" s="1675">
        <f t="shared" si="1"/>
        <v>427586</v>
      </c>
      <c r="H10" s="1675">
        <f t="shared" si="1"/>
        <v>0</v>
      </c>
      <c r="I10" s="1675">
        <f t="shared" si="1"/>
        <v>36322</v>
      </c>
      <c r="J10" s="1675">
        <f t="shared" si="1"/>
        <v>75837</v>
      </c>
      <c r="K10" s="1675">
        <f t="shared" si="1"/>
        <v>108</v>
      </c>
      <c r="L10" s="513"/>
    </row>
    <row r="11" spans="1:13" s="514" customFormat="1" ht="16.7" customHeight="1" thickTop="1" x14ac:dyDescent="0.2">
      <c r="A11" s="2100" t="s">
        <v>1176</v>
      </c>
      <c r="B11" s="2101"/>
      <c r="C11" s="1557"/>
      <c r="D11" s="1558"/>
      <c r="E11" s="1558"/>
      <c r="F11" s="1558"/>
      <c r="G11" s="1558"/>
      <c r="H11" s="1558"/>
      <c r="I11" s="1558"/>
      <c r="J11" s="1558"/>
      <c r="K11" s="1559"/>
      <c r="L11" s="513"/>
    </row>
    <row r="12" spans="1:13" ht="15.75" customHeight="1" x14ac:dyDescent="0.2">
      <c r="A12" s="1563" t="s">
        <v>456</v>
      </c>
      <c r="B12" s="1565">
        <v>1000</v>
      </c>
      <c r="C12" s="1729">
        <f>'Expenditures 15-22'!K33</f>
        <v>5910314</v>
      </c>
      <c r="D12" s="515" t="s">
        <v>1169</v>
      </c>
      <c r="E12" s="468" t="s">
        <v>1169</v>
      </c>
      <c r="F12" s="468" t="s">
        <v>1169</v>
      </c>
      <c r="G12" s="1729">
        <f>'Expenditures 15-22'!K229</f>
        <v>148439</v>
      </c>
      <c r="H12" s="516"/>
      <c r="I12" s="468" t="s">
        <v>1169</v>
      </c>
      <c r="J12" s="468" t="s">
        <v>1169</v>
      </c>
      <c r="K12" s="516" t="s">
        <v>1169</v>
      </c>
      <c r="L12" s="347"/>
    </row>
    <row r="13" spans="1:13" ht="15.75" customHeight="1" x14ac:dyDescent="0.2">
      <c r="A13" s="1563" t="s">
        <v>457</v>
      </c>
      <c r="B13" s="1565">
        <v>2000</v>
      </c>
      <c r="C13" s="1730">
        <f>'Expenditures 15-22'!K74</f>
        <v>2830728</v>
      </c>
      <c r="D13" s="1730">
        <f>'Expenditures 15-22'!K129</f>
        <v>850240</v>
      </c>
      <c r="E13" s="469" t="s">
        <v>1169</v>
      </c>
      <c r="F13" s="1730">
        <f>'Expenditures 15-22'!K184</f>
        <v>553282</v>
      </c>
      <c r="G13" s="1730">
        <f>'Expenditures 15-22'!K279</f>
        <v>137198</v>
      </c>
      <c r="H13" s="1730">
        <f>'Expenditures 15-22'!K303</f>
        <v>3052369</v>
      </c>
      <c r="I13" s="468" t="s">
        <v>1169</v>
      </c>
      <c r="J13" s="1730">
        <f>'Expenditures 15-22'!K330</f>
        <v>61621</v>
      </c>
      <c r="K13" s="1734">
        <f>'Expenditures 15-22'!K352</f>
        <v>832023</v>
      </c>
      <c r="L13" s="347"/>
    </row>
    <row r="14" spans="1:13" ht="15.75" customHeight="1" x14ac:dyDescent="0.2">
      <c r="A14" s="1563" t="s">
        <v>449</v>
      </c>
      <c r="B14" s="1565">
        <v>3000</v>
      </c>
      <c r="C14" s="1730">
        <f>'Expenditures 15-22'!K75</f>
        <v>52</v>
      </c>
      <c r="D14" s="1730">
        <f>'Expenditures 15-22'!K130</f>
        <v>0</v>
      </c>
      <c r="E14" s="515" t="s">
        <v>1169</v>
      </c>
      <c r="F14" s="1730">
        <f>'Expenditures 15-22'!K185</f>
        <v>0</v>
      </c>
      <c r="G14" s="1730">
        <f>'Expenditures 15-22'!K280</f>
        <v>0</v>
      </c>
      <c r="H14" s="507"/>
      <c r="I14" s="468" t="s">
        <v>1169</v>
      </c>
      <c r="J14" s="468" t="s">
        <v>1169</v>
      </c>
      <c r="K14" s="507" t="s">
        <v>1169</v>
      </c>
      <c r="L14" s="347"/>
    </row>
    <row r="15" spans="1:13" ht="15.75" customHeight="1" x14ac:dyDescent="0.2">
      <c r="A15" s="1563" t="s">
        <v>107</v>
      </c>
      <c r="B15" s="1565">
        <v>4000</v>
      </c>
      <c r="C15" s="1730">
        <f>'Expenditures 15-22'!K102</f>
        <v>138706</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1376268</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8879800</v>
      </c>
      <c r="D17" s="1675">
        <f t="shared" si="2"/>
        <v>850240</v>
      </c>
      <c r="E17" s="1675">
        <f t="shared" si="2"/>
        <v>1376268</v>
      </c>
      <c r="F17" s="1675">
        <f t="shared" si="2"/>
        <v>553282</v>
      </c>
      <c r="G17" s="1675">
        <f t="shared" si="2"/>
        <v>285637</v>
      </c>
      <c r="H17" s="1675">
        <f t="shared" si="2"/>
        <v>3052369</v>
      </c>
      <c r="I17" s="468"/>
      <c r="J17" s="1675">
        <f>SUM(J12:J16)</f>
        <v>61621</v>
      </c>
      <c r="K17" s="1675">
        <f>SUM(K12:K16)</f>
        <v>832023</v>
      </c>
      <c r="L17" s="347"/>
    </row>
    <row r="18" spans="1:12" ht="15" customHeight="1" thickTop="1" x14ac:dyDescent="0.2">
      <c r="A18" s="1731" t="s">
        <v>1654</v>
      </c>
      <c r="B18" s="1732">
        <v>4180</v>
      </c>
      <c r="C18" s="1729">
        <f t="shared" ref="C18:H18" si="3">C9</f>
        <v>3714978</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12594778</v>
      </c>
      <c r="D19" s="1675">
        <f t="shared" si="4"/>
        <v>850240</v>
      </c>
      <c r="E19" s="1675">
        <f t="shared" si="4"/>
        <v>1376268</v>
      </c>
      <c r="F19" s="1675">
        <f t="shared" si="4"/>
        <v>553282</v>
      </c>
      <c r="G19" s="1675">
        <f t="shared" si="4"/>
        <v>285637</v>
      </c>
      <c r="H19" s="1675">
        <f t="shared" si="4"/>
        <v>3052369</v>
      </c>
      <c r="I19" s="468"/>
      <c r="J19" s="1675">
        <f>SUM(J17:J18)</f>
        <v>61621</v>
      </c>
      <c r="K19" s="1675">
        <f>SUM(K17:K18)</f>
        <v>832023</v>
      </c>
      <c r="L19" s="347"/>
    </row>
    <row r="20" spans="1:12" ht="16.5" thickTop="1" thickBot="1" x14ac:dyDescent="0.25">
      <c r="A20" s="2116" t="s">
        <v>1655</v>
      </c>
      <c r="B20" s="2117"/>
      <c r="C20" s="1733">
        <f>C8-C17</f>
        <v>736227</v>
      </c>
      <c r="D20" s="1733">
        <f t="shared" ref="D20:K20" si="5">D8-D17</f>
        <v>-121770</v>
      </c>
      <c r="E20" s="1733">
        <f t="shared" si="5"/>
        <v>-297747</v>
      </c>
      <c r="F20" s="1733">
        <f t="shared" si="5"/>
        <v>-38304</v>
      </c>
      <c r="G20" s="1733">
        <f t="shared" si="5"/>
        <v>141949</v>
      </c>
      <c r="H20" s="1733">
        <f t="shared" si="5"/>
        <v>-3052369</v>
      </c>
      <c r="I20" s="1733">
        <f t="shared" si="5"/>
        <v>36322</v>
      </c>
      <c r="J20" s="1733">
        <f t="shared" si="5"/>
        <v>14216</v>
      </c>
      <c r="K20" s="1733">
        <f t="shared" si="5"/>
        <v>-831915</v>
      </c>
      <c r="L20" s="347"/>
    </row>
    <row r="21" spans="1:12" ht="16.7" customHeight="1" thickTop="1" x14ac:dyDescent="0.2">
      <c r="A21" s="2128" t="s">
        <v>595</v>
      </c>
      <c r="B21" s="2129"/>
      <c r="C21" s="1557"/>
      <c r="D21" s="1558"/>
      <c r="E21" s="1558"/>
      <c r="F21" s="1558"/>
      <c r="G21" s="1558"/>
      <c r="H21" s="1558"/>
      <c r="I21" s="1558"/>
      <c r="J21" s="1558"/>
      <c r="K21" s="1559"/>
      <c r="L21" s="519"/>
    </row>
    <row r="22" spans="1:12" ht="15.75" customHeight="1" collapsed="1" x14ac:dyDescent="0.2">
      <c r="A22" s="2124" t="s">
        <v>596</v>
      </c>
      <c r="B22" s="2125"/>
      <c r="C22" s="473"/>
      <c r="D22" s="473"/>
      <c r="E22" s="473"/>
      <c r="F22" s="473"/>
      <c r="G22" s="473"/>
      <c r="H22" s="473"/>
      <c r="I22" s="473"/>
      <c r="J22" s="473"/>
      <c r="K22" s="473"/>
      <c r="L22" s="347"/>
    </row>
    <row r="23" spans="1:12" s="481" customFormat="1" ht="15.75" customHeight="1" x14ac:dyDescent="0.2">
      <c r="A23" s="2120" t="s">
        <v>293</v>
      </c>
      <c r="B23" s="2121"/>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4000359</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22" t="s">
        <v>981</v>
      </c>
      <c r="B32" s="2123"/>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32084</v>
      </c>
      <c r="F37" s="472"/>
      <c r="G37" s="472"/>
      <c r="H37" s="472"/>
      <c r="I37" s="473"/>
      <c r="J37" s="472"/>
      <c r="K37" s="472"/>
      <c r="L37" s="519"/>
    </row>
    <row r="38" spans="1:12" s="481" customFormat="1" x14ac:dyDescent="0.2">
      <c r="A38" s="1476" t="s">
        <v>442</v>
      </c>
      <c r="B38" s="520">
        <v>7500</v>
      </c>
      <c r="C38" s="473"/>
      <c r="D38" s="473"/>
      <c r="E38" s="1730">
        <f>SUM(C58:D61,H58:H61)</f>
        <v>5352</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130" t="s">
        <v>374</v>
      </c>
      <c r="B44" s="2131"/>
      <c r="C44" s="1690">
        <f>SUM(C24:C43)</f>
        <v>0</v>
      </c>
      <c r="D44" s="1690">
        <f t="shared" ref="D44:K44" si="6">SUM(D24:D43)</f>
        <v>0</v>
      </c>
      <c r="E44" s="1690">
        <f t="shared" si="6"/>
        <v>37436</v>
      </c>
      <c r="F44" s="1690">
        <f t="shared" si="6"/>
        <v>0</v>
      </c>
      <c r="G44" s="1690">
        <f t="shared" si="6"/>
        <v>0</v>
      </c>
      <c r="H44" s="1690">
        <f t="shared" si="6"/>
        <v>4000359</v>
      </c>
      <c r="I44" s="1690">
        <f t="shared" si="6"/>
        <v>0</v>
      </c>
      <c r="J44" s="1690">
        <f t="shared" si="6"/>
        <v>0</v>
      </c>
      <c r="K44" s="1690">
        <f t="shared" si="6"/>
        <v>0</v>
      </c>
      <c r="L44" s="519"/>
    </row>
    <row r="45" spans="1:12" ht="15.75" customHeight="1" thickTop="1" x14ac:dyDescent="0.2">
      <c r="A45" s="2124" t="s">
        <v>108</v>
      </c>
      <c r="B45" s="2125"/>
      <c r="C45" s="523"/>
      <c r="D45" s="523"/>
      <c r="E45" s="523"/>
      <c r="F45" s="523"/>
      <c r="G45" s="523"/>
      <c r="H45" s="523"/>
      <c r="I45" s="523"/>
      <c r="J45" s="523"/>
      <c r="K45" s="523"/>
      <c r="L45" s="347"/>
    </row>
    <row r="46" spans="1:12" s="481" customFormat="1" ht="15.75" customHeight="1" x14ac:dyDescent="0.2">
      <c r="A46" s="2132" t="s">
        <v>109</v>
      </c>
      <c r="B46" s="2133"/>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4000359</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32084</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5352</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06" t="s">
        <v>440</v>
      </c>
      <c r="B76" s="2107"/>
      <c r="C76" s="1690">
        <f t="shared" ref="C76:K76" si="7">SUM(C47:C75)</f>
        <v>37436</v>
      </c>
      <c r="D76" s="1690">
        <f t="shared" si="7"/>
        <v>0</v>
      </c>
      <c r="E76" s="1690">
        <f t="shared" si="7"/>
        <v>0</v>
      </c>
      <c r="F76" s="1690">
        <f t="shared" si="7"/>
        <v>0</v>
      </c>
      <c r="G76" s="1690">
        <f t="shared" si="7"/>
        <v>0</v>
      </c>
      <c r="H76" s="1690">
        <f t="shared" si="7"/>
        <v>0</v>
      </c>
      <c r="I76" s="1690">
        <f t="shared" si="7"/>
        <v>4000359</v>
      </c>
      <c r="J76" s="1690">
        <f t="shared" si="7"/>
        <v>0</v>
      </c>
      <c r="K76" s="1690">
        <f t="shared" si="7"/>
        <v>0</v>
      </c>
      <c r="L76" s="519"/>
    </row>
    <row r="77" spans="1:12" ht="14.25" thickTop="1" thickBot="1" x14ac:dyDescent="0.25">
      <c r="A77" s="2108" t="s">
        <v>1177</v>
      </c>
      <c r="B77" s="2109"/>
      <c r="C77" s="1690">
        <f t="shared" ref="C77:K77" si="8">C44-C76</f>
        <v>-37436</v>
      </c>
      <c r="D77" s="1690">
        <f t="shared" si="8"/>
        <v>0</v>
      </c>
      <c r="E77" s="1690">
        <f t="shared" si="8"/>
        <v>37436</v>
      </c>
      <c r="F77" s="1690">
        <f t="shared" si="8"/>
        <v>0</v>
      </c>
      <c r="G77" s="1690">
        <f t="shared" si="8"/>
        <v>0</v>
      </c>
      <c r="H77" s="1690">
        <f t="shared" si="8"/>
        <v>4000359</v>
      </c>
      <c r="I77" s="1690">
        <f t="shared" si="8"/>
        <v>-4000359</v>
      </c>
      <c r="J77" s="1690">
        <f t="shared" si="8"/>
        <v>0</v>
      </c>
      <c r="K77" s="1690">
        <f t="shared" si="8"/>
        <v>0</v>
      </c>
      <c r="L77" s="347"/>
    </row>
    <row r="78" spans="1:12" ht="21.75" customHeight="1" thickTop="1" thickBot="1" x14ac:dyDescent="0.25">
      <c r="A78" s="2112" t="s">
        <v>597</v>
      </c>
      <c r="B78" s="2113"/>
      <c r="C78" s="1689">
        <f t="shared" ref="C78:K78" si="9">C20+C77</f>
        <v>698791</v>
      </c>
      <c r="D78" s="1689">
        <f t="shared" si="9"/>
        <v>-121770</v>
      </c>
      <c r="E78" s="1689">
        <f t="shared" si="9"/>
        <v>-260311</v>
      </c>
      <c r="F78" s="1689">
        <f t="shared" si="9"/>
        <v>-38304</v>
      </c>
      <c r="G78" s="1689">
        <f t="shared" si="9"/>
        <v>141949</v>
      </c>
      <c r="H78" s="1689">
        <f t="shared" si="9"/>
        <v>947990</v>
      </c>
      <c r="I78" s="1689">
        <f t="shared" si="9"/>
        <v>-3964037</v>
      </c>
      <c r="J78" s="1689">
        <f t="shared" si="9"/>
        <v>14216</v>
      </c>
      <c r="K78" s="1689">
        <f t="shared" si="9"/>
        <v>-831915</v>
      </c>
      <c r="L78" s="528"/>
    </row>
    <row r="79" spans="1:12" ht="13.5" thickTop="1" x14ac:dyDescent="0.2">
      <c r="A79" s="1481" t="s">
        <v>1949</v>
      </c>
      <c r="B79" s="529"/>
      <c r="C79" s="474">
        <v>6665353</v>
      </c>
      <c r="D79" s="474">
        <v>1955756</v>
      </c>
      <c r="E79" s="474">
        <v>809689</v>
      </c>
      <c r="F79" s="474">
        <v>1343231</v>
      </c>
      <c r="G79" s="474">
        <v>1239827</v>
      </c>
      <c r="H79" s="474">
        <v>170912</v>
      </c>
      <c r="I79" s="474">
        <v>5067212</v>
      </c>
      <c r="J79" s="474">
        <v>127173</v>
      </c>
      <c r="K79" s="474">
        <v>831915</v>
      </c>
      <c r="L79" s="347"/>
    </row>
    <row r="80" spans="1:12" x14ac:dyDescent="0.2">
      <c r="A80" s="2118" t="s">
        <v>1795</v>
      </c>
      <c r="B80" s="2119"/>
      <c r="C80" s="467">
        <v>0</v>
      </c>
      <c r="D80" s="467">
        <v>0</v>
      </c>
      <c r="E80" s="467">
        <v>0</v>
      </c>
      <c r="F80" s="467">
        <v>0</v>
      </c>
      <c r="G80" s="467">
        <v>0</v>
      </c>
      <c r="H80" s="467">
        <v>0</v>
      </c>
      <c r="I80" s="467">
        <v>0</v>
      </c>
      <c r="J80" s="467">
        <v>0</v>
      </c>
      <c r="K80" s="467">
        <v>0</v>
      </c>
      <c r="L80" s="347"/>
    </row>
    <row r="81" spans="1:12" ht="13.5" thickBot="1" x14ac:dyDescent="0.25">
      <c r="A81" s="2110" t="s">
        <v>1950</v>
      </c>
      <c r="B81" s="2111"/>
      <c r="C81" s="1675">
        <f>(SUM(C78:C80))</f>
        <v>7364144</v>
      </c>
      <c r="D81" s="1675">
        <f>SUM(D78:D80)</f>
        <v>1833986</v>
      </c>
      <c r="E81" s="1675">
        <f t="shared" ref="E81:K81" si="10">SUM(E78:E80)</f>
        <v>549378</v>
      </c>
      <c r="F81" s="1675">
        <f t="shared" si="10"/>
        <v>1304927</v>
      </c>
      <c r="G81" s="1675">
        <f t="shared" si="10"/>
        <v>1381776</v>
      </c>
      <c r="H81" s="1675">
        <f t="shared" si="10"/>
        <v>1118902</v>
      </c>
      <c r="I81" s="1675">
        <f t="shared" si="10"/>
        <v>1103175</v>
      </c>
      <c r="J81" s="1675">
        <f t="shared" si="10"/>
        <v>141389</v>
      </c>
      <c r="K81" s="1675">
        <f t="shared" si="10"/>
        <v>0</v>
      </c>
      <c r="L81" s="347"/>
    </row>
    <row r="82" spans="1:12" ht="0.75" customHeight="1" thickTop="1" thickBot="1" x14ac:dyDescent="0.25">
      <c r="A82" s="531" t="s">
        <v>343</v>
      </c>
      <c r="B82" s="532"/>
      <c r="C82" s="533">
        <f>(C81-C79)</f>
        <v>698791</v>
      </c>
      <c r="D82" s="533">
        <f t="shared" ref="D82:K82" si="11">(D81-D79)</f>
        <v>-121770</v>
      </c>
      <c r="E82" s="533">
        <f t="shared" si="11"/>
        <v>-260311</v>
      </c>
      <c r="F82" s="533">
        <f t="shared" si="11"/>
        <v>-38304</v>
      </c>
      <c r="G82" s="533">
        <f t="shared" si="11"/>
        <v>141949</v>
      </c>
      <c r="H82" s="533">
        <f t="shared" si="11"/>
        <v>947990</v>
      </c>
      <c r="I82" s="533">
        <f t="shared" si="11"/>
        <v>-3964037</v>
      </c>
      <c r="J82" s="533">
        <f t="shared" si="11"/>
        <v>14216</v>
      </c>
      <c r="K82" s="533">
        <f t="shared" si="11"/>
        <v>-831915</v>
      </c>
    </row>
    <row r="83" spans="1:12" ht="14.25" hidden="1" thickTop="1" thickBot="1" x14ac:dyDescent="0.25">
      <c r="A83" s="534" t="s">
        <v>344</v>
      </c>
      <c r="B83" s="464"/>
      <c r="C83" s="535">
        <f>C82/C81</f>
        <v>9.4891001588236185E-2</v>
      </c>
      <c r="D83" s="535">
        <f t="shared" ref="D83:K83" si="12">D82/D81</f>
        <v>-6.6396362894809449E-2</v>
      </c>
      <c r="E83" s="535">
        <f t="shared" si="12"/>
        <v>-0.47382858432627445</v>
      </c>
      <c r="F83" s="535">
        <f t="shared" si="12"/>
        <v>-2.9353366126994077E-2</v>
      </c>
      <c r="G83" s="535">
        <f t="shared" si="12"/>
        <v>0.10272938594967636</v>
      </c>
      <c r="H83" s="535">
        <f t="shared" si="12"/>
        <v>0.8472502506921965</v>
      </c>
      <c r="I83" s="535">
        <f t="shared" si="12"/>
        <v>-3.5932984340653116</v>
      </c>
      <c r="J83" s="535">
        <f t="shared" si="12"/>
        <v>0.1005453040901343</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90" activePane="bottomLeft" state="frozen"/>
      <selection pane="bottomLeft" activeCell="C125" sqref="C125"/>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4" t="s">
        <v>1802</v>
      </c>
      <c r="B1" s="452"/>
      <c r="C1" s="453" t="s">
        <v>425</v>
      </c>
      <c r="D1" s="453" t="s">
        <v>426</v>
      </c>
      <c r="E1" s="453" t="s">
        <v>427</v>
      </c>
      <c r="F1" s="453" t="s">
        <v>428</v>
      </c>
      <c r="G1" s="453" t="s">
        <v>429</v>
      </c>
      <c r="H1" s="453" t="s">
        <v>430</v>
      </c>
      <c r="I1" s="453" t="s">
        <v>431</v>
      </c>
      <c r="J1" s="453" t="s">
        <v>432</v>
      </c>
      <c r="K1" s="453" t="s">
        <v>756</v>
      </c>
    </row>
    <row r="2" spans="1:12" ht="36" x14ac:dyDescent="0.2">
      <c r="A2" s="2115"/>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7765813</v>
      </c>
      <c r="D5" s="477">
        <v>643412</v>
      </c>
      <c r="E5" s="477">
        <v>1074350</v>
      </c>
      <c r="F5" s="477">
        <v>340912</v>
      </c>
      <c r="G5" s="477">
        <v>201914</v>
      </c>
      <c r="H5" s="477">
        <v>0</v>
      </c>
      <c r="I5" s="477">
        <v>0</v>
      </c>
      <c r="J5" s="477">
        <v>74769</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608496</v>
      </c>
      <c r="D7" s="477">
        <v>0</v>
      </c>
      <c r="E7" s="468"/>
      <c r="F7" s="477">
        <v>0</v>
      </c>
      <c r="G7" s="477">
        <v>0</v>
      </c>
      <c r="H7" s="477">
        <v>0</v>
      </c>
      <c r="I7" s="468"/>
      <c r="J7" s="468"/>
      <c r="K7" s="468"/>
    </row>
    <row r="8" spans="1:12" x14ac:dyDescent="0.2">
      <c r="A8" s="463" t="s">
        <v>413</v>
      </c>
      <c r="B8" s="470">
        <v>1150</v>
      </c>
      <c r="C8" s="472"/>
      <c r="D8" s="472"/>
      <c r="E8" s="473"/>
      <c r="F8" s="473"/>
      <c r="G8" s="477">
        <v>201914</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8374309</v>
      </c>
      <c r="D12" s="1694">
        <f t="shared" si="0"/>
        <v>643412</v>
      </c>
      <c r="E12" s="1694">
        <f t="shared" si="0"/>
        <v>1074350</v>
      </c>
      <c r="F12" s="1694">
        <f t="shared" si="0"/>
        <v>340912</v>
      </c>
      <c r="G12" s="1694">
        <f t="shared" si="0"/>
        <v>403828</v>
      </c>
      <c r="H12" s="1694">
        <f t="shared" si="0"/>
        <v>0</v>
      </c>
      <c r="I12" s="1694">
        <f t="shared" si="0"/>
        <v>0</v>
      </c>
      <c r="J12" s="1694">
        <f t="shared" si="0"/>
        <v>74769</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42678</v>
      </c>
      <c r="D16" s="477">
        <v>0</v>
      </c>
      <c r="E16" s="477">
        <v>0</v>
      </c>
      <c r="F16" s="477">
        <v>0</v>
      </c>
      <c r="G16" s="477">
        <v>6000</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42678</v>
      </c>
      <c r="D18" s="1697">
        <f t="shared" ref="D18:K18" si="1">SUM(D14:D17)</f>
        <v>0</v>
      </c>
      <c r="E18" s="1697">
        <f t="shared" si="1"/>
        <v>0</v>
      </c>
      <c r="F18" s="1697">
        <f t="shared" si="1"/>
        <v>0</v>
      </c>
      <c r="G18" s="1697">
        <f t="shared" si="1"/>
        <v>6000</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0</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0</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0</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3735</v>
      </c>
      <c r="G42" s="468"/>
      <c r="H42" s="468"/>
      <c r="I42" s="468"/>
      <c r="J42" s="468"/>
      <c r="K42" s="468"/>
    </row>
    <row r="43" spans="1:11" ht="12.75" customHeight="1" x14ac:dyDescent="0.2">
      <c r="A43" s="463" t="s">
        <v>837</v>
      </c>
      <c r="B43" s="470">
        <v>1412</v>
      </c>
      <c r="C43" s="468"/>
      <c r="D43" s="468"/>
      <c r="E43" s="468"/>
      <c r="F43" s="477">
        <v>4897</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8632</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103934</v>
      </c>
      <c r="D65" s="477">
        <v>25059</v>
      </c>
      <c r="E65" s="477">
        <v>4171</v>
      </c>
      <c r="F65" s="477">
        <v>18628</v>
      </c>
      <c r="G65" s="477">
        <v>17758</v>
      </c>
      <c r="H65" s="477">
        <v>0</v>
      </c>
      <c r="I65" s="477">
        <v>36322</v>
      </c>
      <c r="J65" s="477">
        <v>1068</v>
      </c>
      <c r="K65" s="477">
        <v>108</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103934</v>
      </c>
      <c r="D67" s="1675">
        <f t="shared" ref="D67:K67" si="2">SUM(D65:D66)</f>
        <v>25059</v>
      </c>
      <c r="E67" s="1675">
        <f t="shared" si="2"/>
        <v>4171</v>
      </c>
      <c r="F67" s="1675">
        <f t="shared" si="2"/>
        <v>18628</v>
      </c>
      <c r="G67" s="1675">
        <f t="shared" si="2"/>
        <v>17758</v>
      </c>
      <c r="H67" s="1675">
        <f t="shared" si="2"/>
        <v>0</v>
      </c>
      <c r="I67" s="1675">
        <f t="shared" si="2"/>
        <v>36322</v>
      </c>
      <c r="J67" s="1675">
        <f t="shared" si="2"/>
        <v>1068</v>
      </c>
      <c r="K67" s="1675">
        <f t="shared" si="2"/>
        <v>108</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60043</v>
      </c>
      <c r="D69" s="468"/>
      <c r="E69" s="468"/>
      <c r="F69" s="468"/>
      <c r="G69" s="468"/>
      <c r="H69" s="468"/>
      <c r="I69" s="468"/>
      <c r="J69" s="468"/>
      <c r="K69" s="468"/>
    </row>
    <row r="70" spans="1:11" ht="12.75" customHeight="1" x14ac:dyDescent="0.2">
      <c r="A70" s="463" t="s">
        <v>997</v>
      </c>
      <c r="B70" s="470">
        <v>1612</v>
      </c>
      <c r="C70" s="477">
        <v>7926</v>
      </c>
      <c r="D70" s="468"/>
      <c r="E70" s="468"/>
      <c r="F70" s="468"/>
      <c r="G70" s="468"/>
      <c r="H70" s="468"/>
      <c r="I70" s="468"/>
      <c r="J70" s="468"/>
      <c r="K70" s="468"/>
    </row>
    <row r="71" spans="1:11" ht="12.75" customHeight="1" x14ac:dyDescent="0.2">
      <c r="A71" s="463" t="s">
        <v>273</v>
      </c>
      <c r="B71" s="470">
        <v>1613</v>
      </c>
      <c r="C71" s="477">
        <v>2620</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70589</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0</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31741</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0</v>
      </c>
      <c r="D81" s="477">
        <v>0</v>
      </c>
      <c r="E81" s="468"/>
      <c r="F81" s="468"/>
      <c r="G81" s="468"/>
      <c r="H81" s="468"/>
      <c r="I81" s="468"/>
      <c r="J81" s="468"/>
      <c r="K81" s="468"/>
    </row>
    <row r="82" spans="1:11" ht="12.75" customHeight="1" thickBot="1" x14ac:dyDescent="0.25">
      <c r="A82" s="1695" t="s">
        <v>241</v>
      </c>
      <c r="B82" s="1696"/>
      <c r="C82" s="1694">
        <f>SUM(C77:C81)</f>
        <v>31741</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69800</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0</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69800</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55526</v>
      </c>
      <c r="E95" s="516"/>
      <c r="F95" s="516"/>
      <c r="G95" s="516"/>
      <c r="H95" s="516"/>
      <c r="I95" s="516"/>
      <c r="J95" s="516"/>
      <c r="K95" s="516"/>
    </row>
    <row r="96" spans="1:11" ht="12.75" customHeight="1" x14ac:dyDescent="0.2">
      <c r="A96" s="463" t="s">
        <v>391</v>
      </c>
      <c r="B96" s="470">
        <v>1920</v>
      </c>
      <c r="C96" s="477">
        <v>35287</v>
      </c>
      <c r="D96" s="477">
        <v>0</v>
      </c>
      <c r="E96" s="477">
        <v>0</v>
      </c>
      <c r="F96" s="477">
        <v>0</v>
      </c>
      <c r="G96" s="477">
        <v>0</v>
      </c>
      <c r="H96" s="477">
        <v>0</v>
      </c>
      <c r="I96" s="477">
        <v>0</v>
      </c>
      <c r="J96" s="477">
        <v>0</v>
      </c>
      <c r="K96" s="477">
        <v>0</v>
      </c>
    </row>
    <row r="97" spans="1:12" ht="12.75" customHeight="1" x14ac:dyDescent="0.2">
      <c r="A97" s="1482" t="s">
        <v>244</v>
      </c>
      <c r="B97" s="552">
        <v>1930</v>
      </c>
      <c r="C97" s="477">
        <v>0</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2440</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0</v>
      </c>
      <c r="D101" s="521"/>
      <c r="E101" s="476"/>
      <c r="F101" s="521"/>
      <c r="G101" s="472"/>
      <c r="H101" s="521"/>
      <c r="I101" s="468"/>
      <c r="J101" s="472"/>
      <c r="K101" s="472"/>
    </row>
    <row r="102" spans="1:12" ht="12.75" customHeight="1" x14ac:dyDescent="0.2">
      <c r="A102" s="463" t="s">
        <v>247</v>
      </c>
      <c r="B102" s="470">
        <v>1980</v>
      </c>
      <c r="C102" s="477">
        <v>0</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39480</v>
      </c>
      <c r="D106" s="477">
        <v>0</v>
      </c>
      <c r="E106" s="477">
        <v>0</v>
      </c>
      <c r="F106" s="477">
        <v>0</v>
      </c>
      <c r="G106" s="477">
        <v>0</v>
      </c>
      <c r="H106" s="477">
        <v>0</v>
      </c>
      <c r="I106" s="516"/>
      <c r="J106" s="477">
        <v>0</v>
      </c>
      <c r="K106" s="477">
        <v>0</v>
      </c>
    </row>
    <row r="107" spans="1:12" ht="12.75" customHeight="1" x14ac:dyDescent="0.2">
      <c r="A107" s="463" t="s">
        <v>78</v>
      </c>
      <c r="B107" s="470">
        <v>1999</v>
      </c>
      <c r="C107" s="477">
        <v>8266</v>
      </c>
      <c r="D107" s="477">
        <v>4473</v>
      </c>
      <c r="E107" s="477">
        <v>0</v>
      </c>
      <c r="F107" s="477">
        <v>0</v>
      </c>
      <c r="G107" s="477">
        <v>0</v>
      </c>
      <c r="H107" s="477">
        <v>0</v>
      </c>
      <c r="I107" s="477">
        <v>0</v>
      </c>
      <c r="J107" s="477">
        <v>0</v>
      </c>
      <c r="K107" s="477">
        <v>0</v>
      </c>
    </row>
    <row r="108" spans="1:12" ht="12.75" customHeight="1" thickBot="1" x14ac:dyDescent="0.25">
      <c r="A108" s="1695" t="s">
        <v>487</v>
      </c>
      <c r="B108" s="1699"/>
      <c r="C108" s="1694">
        <f>SUM(C95:C107)</f>
        <v>85473</v>
      </c>
      <c r="D108" s="1694">
        <f t="shared" ref="D108:K108" si="3">SUM(D95:D107)</f>
        <v>59999</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8778524</v>
      </c>
      <c r="D109" s="1702">
        <f t="shared" si="4"/>
        <v>728470</v>
      </c>
      <c r="E109" s="1702">
        <f t="shared" si="4"/>
        <v>1078521</v>
      </c>
      <c r="F109" s="1702">
        <f t="shared" si="4"/>
        <v>368172</v>
      </c>
      <c r="G109" s="1702">
        <f t="shared" si="4"/>
        <v>427586</v>
      </c>
      <c r="H109" s="1702">
        <f t="shared" si="4"/>
        <v>0</v>
      </c>
      <c r="I109" s="1702">
        <f t="shared" si="4"/>
        <v>36322</v>
      </c>
      <c r="J109" s="1702">
        <f t="shared" si="4"/>
        <v>75837</v>
      </c>
      <c r="K109" s="1689">
        <f t="shared" si="4"/>
        <v>108</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568334</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568334</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23012</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23012</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0</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0</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0</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60325</v>
      </c>
      <c r="G152" s="477">
        <v>0</v>
      </c>
      <c r="H152" s="468"/>
      <c r="I152" s="468"/>
      <c r="J152" s="468"/>
      <c r="K152" s="468"/>
    </row>
    <row r="153" spans="1:11" ht="12.75" customHeight="1" x14ac:dyDescent="0.2">
      <c r="A153" s="463" t="s">
        <v>1057</v>
      </c>
      <c r="B153" s="554">
        <v>3510</v>
      </c>
      <c r="C153" s="477">
        <v>0</v>
      </c>
      <c r="D153" s="477">
        <v>0</v>
      </c>
      <c r="E153" s="553"/>
      <c r="F153" s="477">
        <v>86481</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146806</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9347</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750</v>
      </c>
      <c r="D168" s="572">
        <v>0</v>
      </c>
      <c r="E168" s="572">
        <v>0</v>
      </c>
      <c r="F168" s="572">
        <v>0</v>
      </c>
      <c r="G168" s="573">
        <v>0</v>
      </c>
      <c r="H168" s="574">
        <v>0</v>
      </c>
      <c r="I168" s="573">
        <v>0</v>
      </c>
      <c r="J168" s="573">
        <v>0</v>
      </c>
      <c r="K168" s="574">
        <v>0</v>
      </c>
    </row>
    <row r="169" spans="1:11" ht="12.75" customHeight="1" thickTop="1" thickBot="1" x14ac:dyDescent="0.25">
      <c r="A169" s="2134" t="s">
        <v>398</v>
      </c>
      <c r="B169" s="2135"/>
      <c r="C169" s="1709">
        <f t="shared" ref="C169:K169" si="6">SUM(C132,C141,C145,C146:C150,C155,C156:C167,C168)</f>
        <v>33109</v>
      </c>
      <c r="D169" s="1709">
        <f t="shared" si="6"/>
        <v>0</v>
      </c>
      <c r="E169" s="1709">
        <f t="shared" si="6"/>
        <v>0</v>
      </c>
      <c r="F169" s="1709">
        <f t="shared" si="6"/>
        <v>146806</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601443</v>
      </c>
      <c r="D170" s="1702">
        <f t="shared" si="7"/>
        <v>0</v>
      </c>
      <c r="E170" s="1702">
        <f t="shared" si="7"/>
        <v>0</v>
      </c>
      <c r="F170" s="1702">
        <f t="shared" si="7"/>
        <v>146806</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6" t="s">
        <v>1492</v>
      </c>
      <c r="B172" s="2137"/>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40" t="s">
        <v>1665</v>
      </c>
      <c r="B175" s="2141"/>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4" t="s">
        <v>1664</v>
      </c>
      <c r="B176" s="2145"/>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42" t="s">
        <v>785</v>
      </c>
      <c r="B181" s="2143"/>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8" t="s">
        <v>1803</v>
      </c>
      <c r="B182" s="2139"/>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0</v>
      </c>
      <c r="D191" s="468"/>
      <c r="E191" s="553"/>
      <c r="F191" s="468"/>
      <c r="G191" s="477">
        <v>0</v>
      </c>
      <c r="H191" s="468"/>
      <c r="I191" s="468"/>
      <c r="J191" s="468"/>
      <c r="K191" s="468"/>
    </row>
    <row r="192" spans="1:11" ht="12.75" customHeight="1" x14ac:dyDescent="0.2">
      <c r="A192" s="463" t="s">
        <v>1047</v>
      </c>
      <c r="B192" s="470">
        <v>4215</v>
      </c>
      <c r="C192" s="477">
        <v>8803</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8803</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43487</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43487</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2303</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2303</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6523</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126660</v>
      </c>
      <c r="D213" s="477">
        <v>0</v>
      </c>
      <c r="E213" s="468"/>
      <c r="F213" s="477">
        <v>0</v>
      </c>
      <c r="G213" s="477">
        <v>0</v>
      </c>
      <c r="H213" s="468"/>
      <c r="I213" s="468"/>
      <c r="J213" s="468"/>
      <c r="K213" s="468"/>
    </row>
    <row r="214" spans="1:11" ht="12.75" customHeight="1" x14ac:dyDescent="0.2">
      <c r="A214" s="463" t="s">
        <v>1054</v>
      </c>
      <c r="B214" s="470">
        <v>4625</v>
      </c>
      <c r="C214" s="477">
        <v>0</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133183</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0</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0</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11092</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8648</v>
      </c>
      <c r="D263" s="581">
        <v>0</v>
      </c>
      <c r="E263" s="468"/>
      <c r="F263" s="581">
        <v>0</v>
      </c>
      <c r="G263" s="581">
        <v>0</v>
      </c>
      <c r="H263" s="468"/>
      <c r="I263" s="468"/>
      <c r="J263" s="468"/>
      <c r="K263" s="468"/>
    </row>
    <row r="264" spans="1:11" ht="12.75" customHeight="1" thickTop="1" thickBot="1" x14ac:dyDescent="0.25">
      <c r="A264" s="463" t="s">
        <v>377</v>
      </c>
      <c r="B264" s="470">
        <v>4992</v>
      </c>
      <c r="C264" s="581">
        <v>28544</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236060</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236060</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9616027</v>
      </c>
      <c r="D268" s="1702">
        <f t="shared" si="12"/>
        <v>728470</v>
      </c>
      <c r="E268" s="1702">
        <f t="shared" si="12"/>
        <v>1078521</v>
      </c>
      <c r="F268" s="1702">
        <f t="shared" si="12"/>
        <v>514978</v>
      </c>
      <c r="G268" s="1702">
        <f t="shared" si="12"/>
        <v>427586</v>
      </c>
      <c r="H268" s="1702">
        <f t="shared" si="12"/>
        <v>0</v>
      </c>
      <c r="I268" s="1702">
        <f t="shared" si="12"/>
        <v>36322</v>
      </c>
      <c r="J268" s="1702">
        <f t="shared" si="12"/>
        <v>75837</v>
      </c>
      <c r="K268" s="1689">
        <f t="shared" si="12"/>
        <v>108</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3"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colorId="8" zoomScale="110" zoomScaleNormal="110" workbookViewId="0">
      <pane ySplit="2" topLeftCell="A297" activePane="bottomLeft" state="frozen"/>
      <selection pane="bottomLeft" activeCell="A312" sqref="A312:B312"/>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4"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6"/>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52" t="s">
        <v>297</v>
      </c>
      <c r="B3" s="2153"/>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3652937</v>
      </c>
      <c r="D5" s="466">
        <v>541927</v>
      </c>
      <c r="E5" s="466">
        <v>0</v>
      </c>
      <c r="F5" s="466">
        <v>127376</v>
      </c>
      <c r="G5" s="466">
        <v>0</v>
      </c>
      <c r="H5" s="466">
        <v>0</v>
      </c>
      <c r="I5" s="466">
        <v>0</v>
      </c>
      <c r="J5" s="466">
        <v>0</v>
      </c>
      <c r="K5" s="1658">
        <f>SUM(C5:J5)</f>
        <v>4322240</v>
      </c>
      <c r="L5" s="466">
        <v>4779516</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924906</v>
      </c>
      <c r="D8" s="466">
        <v>299008</v>
      </c>
      <c r="E8" s="466">
        <v>200</v>
      </c>
      <c r="F8" s="466">
        <v>1390</v>
      </c>
      <c r="G8" s="466">
        <v>0</v>
      </c>
      <c r="H8" s="466">
        <v>0</v>
      </c>
      <c r="I8" s="466">
        <v>0</v>
      </c>
      <c r="J8" s="466">
        <v>0</v>
      </c>
      <c r="K8" s="1658">
        <f t="shared" si="0"/>
        <v>1225504</v>
      </c>
      <c r="L8" s="466">
        <v>1325405</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72357</v>
      </c>
      <c r="D10" s="466">
        <v>21930</v>
      </c>
      <c r="E10" s="466">
        <v>0</v>
      </c>
      <c r="F10" s="466">
        <v>973</v>
      </c>
      <c r="G10" s="466">
        <v>0</v>
      </c>
      <c r="H10" s="466">
        <v>0</v>
      </c>
      <c r="I10" s="466">
        <v>0</v>
      </c>
      <c r="J10" s="466">
        <v>0</v>
      </c>
      <c r="K10" s="1658">
        <f t="shared" si="0"/>
        <v>95260</v>
      </c>
      <c r="L10" s="466">
        <v>84110</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0</v>
      </c>
      <c r="D12" s="466">
        <v>0</v>
      </c>
      <c r="E12" s="466">
        <v>0</v>
      </c>
      <c r="F12" s="466">
        <v>0</v>
      </c>
      <c r="G12" s="466">
        <v>0</v>
      </c>
      <c r="H12" s="466">
        <v>0</v>
      </c>
      <c r="I12" s="466">
        <v>0</v>
      </c>
      <c r="J12" s="466">
        <v>0</v>
      </c>
      <c r="K12" s="1658">
        <f t="shared" si="0"/>
        <v>0</v>
      </c>
      <c r="L12" s="466">
        <v>0</v>
      </c>
    </row>
    <row r="13" spans="1:14" x14ac:dyDescent="0.2">
      <c r="A13" s="1491" t="s">
        <v>723</v>
      </c>
      <c r="B13" s="605">
        <v>1400</v>
      </c>
      <c r="C13" s="466">
        <v>0</v>
      </c>
      <c r="D13" s="466">
        <v>0</v>
      </c>
      <c r="E13" s="466">
        <v>0</v>
      </c>
      <c r="F13" s="466">
        <v>0</v>
      </c>
      <c r="G13" s="466">
        <v>0</v>
      </c>
      <c r="H13" s="466">
        <v>0</v>
      </c>
      <c r="I13" s="466">
        <v>0</v>
      </c>
      <c r="J13" s="466">
        <v>0</v>
      </c>
      <c r="K13" s="1658">
        <f t="shared" si="0"/>
        <v>0</v>
      </c>
      <c r="L13" s="466">
        <v>0</v>
      </c>
    </row>
    <row r="14" spans="1:14" x14ac:dyDescent="0.2">
      <c r="A14" s="1491" t="s">
        <v>963</v>
      </c>
      <c r="B14" s="605">
        <v>1500</v>
      </c>
      <c r="C14" s="466">
        <v>0</v>
      </c>
      <c r="D14" s="466">
        <v>0</v>
      </c>
      <c r="E14" s="466">
        <v>5901</v>
      </c>
      <c r="F14" s="466">
        <v>0</v>
      </c>
      <c r="G14" s="466">
        <v>0</v>
      </c>
      <c r="H14" s="466">
        <v>0</v>
      </c>
      <c r="I14" s="466">
        <v>0</v>
      </c>
      <c r="J14" s="466">
        <v>0</v>
      </c>
      <c r="K14" s="1658">
        <f t="shared" si="0"/>
        <v>5901</v>
      </c>
      <c r="L14" s="466">
        <v>6750</v>
      </c>
    </row>
    <row r="15" spans="1:14" x14ac:dyDescent="0.2">
      <c r="A15" s="1491" t="s">
        <v>964</v>
      </c>
      <c r="B15" s="605">
        <v>1600</v>
      </c>
      <c r="C15" s="466">
        <v>18598</v>
      </c>
      <c r="D15" s="466">
        <v>0</v>
      </c>
      <c r="E15" s="466">
        <v>0</v>
      </c>
      <c r="F15" s="466">
        <v>0</v>
      </c>
      <c r="G15" s="466">
        <v>0</v>
      </c>
      <c r="H15" s="466">
        <v>0</v>
      </c>
      <c r="I15" s="466">
        <v>0</v>
      </c>
      <c r="J15" s="466">
        <v>0</v>
      </c>
      <c r="K15" s="1658">
        <f t="shared" si="0"/>
        <v>18598</v>
      </c>
      <c r="L15" s="466">
        <v>22045</v>
      </c>
    </row>
    <row r="16" spans="1:14" x14ac:dyDescent="0.2">
      <c r="A16" s="1491" t="s">
        <v>987</v>
      </c>
      <c r="B16" s="605" t="s">
        <v>424</v>
      </c>
      <c r="C16" s="466">
        <v>0</v>
      </c>
      <c r="D16" s="466">
        <v>0</v>
      </c>
      <c r="E16" s="466">
        <v>2300</v>
      </c>
      <c r="F16" s="466">
        <v>2044</v>
      </c>
      <c r="G16" s="466">
        <v>0</v>
      </c>
      <c r="H16" s="466">
        <v>0</v>
      </c>
      <c r="I16" s="466">
        <v>0</v>
      </c>
      <c r="J16" s="466">
        <v>0</v>
      </c>
      <c r="K16" s="1658">
        <f t="shared" si="0"/>
        <v>4344</v>
      </c>
      <c r="L16" s="466">
        <v>3285</v>
      </c>
    </row>
    <row r="17" spans="1:12" x14ac:dyDescent="0.2">
      <c r="A17" s="1491" t="s">
        <v>724</v>
      </c>
      <c r="B17" s="605" t="s">
        <v>162</v>
      </c>
      <c r="C17" s="466">
        <v>0</v>
      </c>
      <c r="D17" s="466">
        <v>0</v>
      </c>
      <c r="E17" s="466">
        <v>0</v>
      </c>
      <c r="F17" s="466">
        <v>0</v>
      </c>
      <c r="G17" s="466">
        <v>0</v>
      </c>
      <c r="H17" s="466">
        <v>0</v>
      </c>
      <c r="I17" s="466">
        <v>0</v>
      </c>
      <c r="J17" s="466">
        <v>0</v>
      </c>
      <c r="K17" s="1658">
        <f t="shared" si="0"/>
        <v>0</v>
      </c>
      <c r="L17" s="466">
        <v>0</v>
      </c>
    </row>
    <row r="18" spans="1:12" x14ac:dyDescent="0.2">
      <c r="A18" s="1491" t="s">
        <v>1087</v>
      </c>
      <c r="B18" s="605">
        <v>1800</v>
      </c>
      <c r="C18" s="466">
        <v>70118</v>
      </c>
      <c r="D18" s="466">
        <v>15742</v>
      </c>
      <c r="E18" s="466">
        <v>0</v>
      </c>
      <c r="F18" s="466">
        <v>0</v>
      </c>
      <c r="G18" s="466">
        <v>0</v>
      </c>
      <c r="H18" s="466">
        <v>0</v>
      </c>
      <c r="I18" s="466">
        <v>0</v>
      </c>
      <c r="J18" s="466">
        <v>0</v>
      </c>
      <c r="K18" s="1658">
        <f t="shared" si="0"/>
        <v>85860</v>
      </c>
      <c r="L18" s="466">
        <v>73829</v>
      </c>
    </row>
    <row r="19" spans="1:12" x14ac:dyDescent="0.2">
      <c r="A19" s="1491" t="s">
        <v>134</v>
      </c>
      <c r="B19" s="605">
        <v>1900</v>
      </c>
      <c r="C19" s="466">
        <v>0</v>
      </c>
      <c r="D19" s="466">
        <v>0</v>
      </c>
      <c r="E19" s="466">
        <v>0</v>
      </c>
      <c r="F19" s="466">
        <v>0</v>
      </c>
      <c r="G19" s="466">
        <v>0</v>
      </c>
      <c r="H19" s="466">
        <v>0</v>
      </c>
      <c r="I19" s="466">
        <v>0</v>
      </c>
      <c r="J19" s="466">
        <v>0</v>
      </c>
      <c r="K19" s="1658">
        <f t="shared" si="0"/>
        <v>0</v>
      </c>
      <c r="L19" s="466">
        <v>0</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0</v>
      </c>
      <c r="I21" s="607"/>
      <c r="J21" s="473"/>
      <c r="K21" s="1658">
        <f t="shared" si="0"/>
        <v>0</v>
      </c>
      <c r="L21" s="466">
        <v>0</v>
      </c>
    </row>
    <row r="22" spans="1:12" x14ac:dyDescent="0.2">
      <c r="A22" s="1492" t="s">
        <v>740</v>
      </c>
      <c r="B22" s="593" t="s">
        <v>727</v>
      </c>
      <c r="C22" s="473"/>
      <c r="D22" s="473"/>
      <c r="E22" s="473"/>
      <c r="F22" s="473"/>
      <c r="G22" s="473"/>
      <c r="H22" s="466">
        <v>152607</v>
      </c>
      <c r="I22" s="607"/>
      <c r="J22" s="473"/>
      <c r="K22" s="1658">
        <f t="shared" si="0"/>
        <v>152607</v>
      </c>
      <c r="L22" s="466">
        <v>105000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0</v>
      </c>
      <c r="I24" s="607"/>
      <c r="J24" s="473"/>
      <c r="K24" s="1658">
        <f t="shared" si="0"/>
        <v>0</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0</v>
      </c>
      <c r="I27" s="607"/>
      <c r="J27" s="473"/>
      <c r="K27" s="1658">
        <f t="shared" si="0"/>
        <v>0</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4738916</v>
      </c>
      <c r="D33" s="1657">
        <f t="shared" ref="D33:L33" si="1">SUM(D5:D32)</f>
        <v>878607</v>
      </c>
      <c r="E33" s="1657">
        <f t="shared" si="1"/>
        <v>8401</v>
      </c>
      <c r="F33" s="1657">
        <f t="shared" si="1"/>
        <v>131783</v>
      </c>
      <c r="G33" s="1657">
        <f t="shared" si="1"/>
        <v>0</v>
      </c>
      <c r="H33" s="1657">
        <f t="shared" si="1"/>
        <v>152607</v>
      </c>
      <c r="I33" s="1657">
        <f t="shared" si="1"/>
        <v>0</v>
      </c>
      <c r="J33" s="1657">
        <f t="shared" si="1"/>
        <v>0</v>
      </c>
      <c r="K33" s="1657">
        <f t="shared" si="1"/>
        <v>5910314</v>
      </c>
      <c r="L33" s="1657">
        <f t="shared" si="1"/>
        <v>6399940</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107665</v>
      </c>
      <c r="D36" s="466">
        <v>2164</v>
      </c>
      <c r="E36" s="466">
        <v>107</v>
      </c>
      <c r="F36" s="466">
        <v>0</v>
      </c>
      <c r="G36" s="466">
        <v>0</v>
      </c>
      <c r="H36" s="466">
        <v>0</v>
      </c>
      <c r="I36" s="466">
        <v>0</v>
      </c>
      <c r="J36" s="466">
        <v>0</v>
      </c>
      <c r="K36" s="1658">
        <f t="shared" ref="K36:K41" si="2">SUM(C36:J36)</f>
        <v>109936</v>
      </c>
      <c r="L36" s="466">
        <v>121729</v>
      </c>
    </row>
    <row r="37" spans="1:14" x14ac:dyDescent="0.2">
      <c r="A37" s="1491" t="s">
        <v>1090</v>
      </c>
      <c r="B37" s="605">
        <v>2120</v>
      </c>
      <c r="C37" s="466">
        <v>0</v>
      </c>
      <c r="D37" s="466">
        <v>0</v>
      </c>
      <c r="E37" s="466">
        <v>0</v>
      </c>
      <c r="F37" s="466">
        <v>0</v>
      </c>
      <c r="G37" s="466">
        <v>0</v>
      </c>
      <c r="H37" s="466">
        <v>0</v>
      </c>
      <c r="I37" s="466">
        <v>0</v>
      </c>
      <c r="J37" s="466">
        <v>0</v>
      </c>
      <c r="K37" s="1658">
        <f t="shared" si="2"/>
        <v>0</v>
      </c>
      <c r="L37" s="466">
        <v>0</v>
      </c>
    </row>
    <row r="38" spans="1:14" x14ac:dyDescent="0.2">
      <c r="A38" s="1491" t="s">
        <v>198</v>
      </c>
      <c r="B38" s="605">
        <v>2130</v>
      </c>
      <c r="C38" s="466">
        <v>97573</v>
      </c>
      <c r="D38" s="466">
        <v>31257</v>
      </c>
      <c r="E38" s="466">
        <v>0</v>
      </c>
      <c r="F38" s="466">
        <v>1499</v>
      </c>
      <c r="G38" s="466">
        <v>0</v>
      </c>
      <c r="H38" s="466">
        <v>0</v>
      </c>
      <c r="I38" s="466">
        <v>0</v>
      </c>
      <c r="J38" s="466">
        <v>0</v>
      </c>
      <c r="K38" s="1658">
        <f t="shared" si="2"/>
        <v>130329</v>
      </c>
      <c r="L38" s="466">
        <v>133735</v>
      </c>
    </row>
    <row r="39" spans="1:14" x14ac:dyDescent="0.2">
      <c r="A39" s="1491" t="s">
        <v>199</v>
      </c>
      <c r="B39" s="605">
        <v>2140</v>
      </c>
      <c r="C39" s="466">
        <v>110829</v>
      </c>
      <c r="D39" s="466">
        <v>13222</v>
      </c>
      <c r="E39" s="466">
        <v>300</v>
      </c>
      <c r="F39" s="466">
        <v>2525</v>
      </c>
      <c r="G39" s="466">
        <v>0</v>
      </c>
      <c r="H39" s="466">
        <v>0</v>
      </c>
      <c r="I39" s="466">
        <v>0</v>
      </c>
      <c r="J39" s="466">
        <v>0</v>
      </c>
      <c r="K39" s="1658">
        <f t="shared" si="2"/>
        <v>126876</v>
      </c>
      <c r="L39" s="466">
        <v>128392</v>
      </c>
    </row>
    <row r="40" spans="1:14" x14ac:dyDescent="0.2">
      <c r="A40" s="1491" t="s">
        <v>200</v>
      </c>
      <c r="B40" s="605">
        <v>2150</v>
      </c>
      <c r="C40" s="466">
        <v>194102</v>
      </c>
      <c r="D40" s="466">
        <v>27940</v>
      </c>
      <c r="E40" s="466">
        <v>30</v>
      </c>
      <c r="F40" s="466">
        <v>0</v>
      </c>
      <c r="G40" s="466">
        <v>0</v>
      </c>
      <c r="H40" s="466">
        <v>0</v>
      </c>
      <c r="I40" s="466">
        <v>0</v>
      </c>
      <c r="J40" s="466">
        <v>0</v>
      </c>
      <c r="K40" s="1658">
        <f t="shared" si="2"/>
        <v>222072</v>
      </c>
      <c r="L40" s="466">
        <v>239974</v>
      </c>
    </row>
    <row r="41" spans="1:14" x14ac:dyDescent="0.2">
      <c r="A41" s="1491" t="s">
        <v>1669</v>
      </c>
      <c r="B41" s="605">
        <v>2190</v>
      </c>
      <c r="C41" s="466">
        <v>0</v>
      </c>
      <c r="D41" s="466">
        <v>0</v>
      </c>
      <c r="E41" s="466">
        <v>0</v>
      </c>
      <c r="F41" s="466">
        <v>0</v>
      </c>
      <c r="G41" s="466">
        <v>0</v>
      </c>
      <c r="H41" s="466">
        <v>0</v>
      </c>
      <c r="I41" s="466">
        <v>0</v>
      </c>
      <c r="J41" s="466">
        <v>0</v>
      </c>
      <c r="K41" s="1658">
        <f t="shared" si="2"/>
        <v>0</v>
      </c>
      <c r="L41" s="466">
        <v>0</v>
      </c>
    </row>
    <row r="42" spans="1:14" ht="12.75" customHeight="1" thickBot="1" x14ac:dyDescent="0.25">
      <c r="A42" s="1655" t="s">
        <v>560</v>
      </c>
      <c r="B42" s="1656" t="s">
        <v>716</v>
      </c>
      <c r="C42" s="1657">
        <f>SUM(C36:C41)</f>
        <v>510169</v>
      </c>
      <c r="D42" s="1657">
        <f t="shared" ref="D42:L42" si="3">SUM(D36:D41)</f>
        <v>74583</v>
      </c>
      <c r="E42" s="1657">
        <f t="shared" si="3"/>
        <v>437</v>
      </c>
      <c r="F42" s="1657">
        <f t="shared" si="3"/>
        <v>4024</v>
      </c>
      <c r="G42" s="1657">
        <f t="shared" si="3"/>
        <v>0</v>
      </c>
      <c r="H42" s="1657">
        <f t="shared" si="3"/>
        <v>0</v>
      </c>
      <c r="I42" s="1657">
        <f t="shared" si="3"/>
        <v>0</v>
      </c>
      <c r="J42" s="1657">
        <f t="shared" si="3"/>
        <v>0</v>
      </c>
      <c r="K42" s="1657">
        <f t="shared" si="3"/>
        <v>589213</v>
      </c>
      <c r="L42" s="1657">
        <f t="shared" si="3"/>
        <v>623830</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0</v>
      </c>
      <c r="D44" s="466">
        <v>0</v>
      </c>
      <c r="E44" s="466">
        <v>42592</v>
      </c>
      <c r="F44" s="466">
        <v>3780</v>
      </c>
      <c r="G44" s="466">
        <v>0</v>
      </c>
      <c r="H44" s="466">
        <v>0</v>
      </c>
      <c r="I44" s="466">
        <v>0</v>
      </c>
      <c r="J44" s="466">
        <v>0</v>
      </c>
      <c r="K44" s="1659">
        <f>SUM(C44:J44)</f>
        <v>46372</v>
      </c>
      <c r="L44" s="466">
        <v>55528</v>
      </c>
    </row>
    <row r="45" spans="1:14" x14ac:dyDescent="0.2">
      <c r="A45" s="1491" t="s">
        <v>815</v>
      </c>
      <c r="B45" s="605">
        <v>2220</v>
      </c>
      <c r="C45" s="466">
        <v>254558</v>
      </c>
      <c r="D45" s="466">
        <v>49270</v>
      </c>
      <c r="E45" s="466">
        <v>152518</v>
      </c>
      <c r="F45" s="466">
        <v>274995</v>
      </c>
      <c r="G45" s="466">
        <v>34500</v>
      </c>
      <c r="H45" s="466">
        <v>0</v>
      </c>
      <c r="I45" s="466">
        <v>6700</v>
      </c>
      <c r="J45" s="466">
        <v>0</v>
      </c>
      <c r="K45" s="1659">
        <f>SUM(C45:J45)</f>
        <v>772541</v>
      </c>
      <c r="L45" s="466">
        <v>722434</v>
      </c>
    </row>
    <row r="46" spans="1:14" x14ac:dyDescent="0.2">
      <c r="A46" s="1491" t="s">
        <v>816</v>
      </c>
      <c r="B46" s="605">
        <v>2230</v>
      </c>
      <c r="C46" s="466">
        <v>0</v>
      </c>
      <c r="D46" s="466">
        <v>0</v>
      </c>
      <c r="E46" s="466">
        <v>4058</v>
      </c>
      <c r="F46" s="466">
        <v>0</v>
      </c>
      <c r="G46" s="466">
        <v>0</v>
      </c>
      <c r="H46" s="466">
        <v>0</v>
      </c>
      <c r="I46" s="466">
        <v>0</v>
      </c>
      <c r="J46" s="466">
        <v>0</v>
      </c>
      <c r="K46" s="1659">
        <f>SUM(C46:J46)</f>
        <v>4058</v>
      </c>
      <c r="L46" s="466">
        <v>5350</v>
      </c>
    </row>
    <row r="47" spans="1:14" ht="12.75" customHeight="1" thickBot="1" x14ac:dyDescent="0.25">
      <c r="A47" s="1655" t="s">
        <v>561</v>
      </c>
      <c r="B47" s="1656" t="s">
        <v>32</v>
      </c>
      <c r="C47" s="1657">
        <f>SUM(C44:C46)</f>
        <v>254558</v>
      </c>
      <c r="D47" s="1657">
        <f t="shared" ref="D47:K47" si="4">SUM(D44:D46)</f>
        <v>49270</v>
      </c>
      <c r="E47" s="1657">
        <f t="shared" si="4"/>
        <v>199168</v>
      </c>
      <c r="F47" s="1657">
        <f t="shared" si="4"/>
        <v>278775</v>
      </c>
      <c r="G47" s="1657">
        <f t="shared" si="4"/>
        <v>34500</v>
      </c>
      <c r="H47" s="1657">
        <f t="shared" si="4"/>
        <v>0</v>
      </c>
      <c r="I47" s="1657">
        <f t="shared" si="4"/>
        <v>6700</v>
      </c>
      <c r="J47" s="1657">
        <f t="shared" si="4"/>
        <v>0</v>
      </c>
      <c r="K47" s="1657">
        <f t="shared" si="4"/>
        <v>822971</v>
      </c>
      <c r="L47" s="1657">
        <f>SUM(L44:L46)</f>
        <v>783312</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2031</v>
      </c>
      <c r="D49" s="466">
        <v>0</v>
      </c>
      <c r="E49" s="466">
        <v>53206</v>
      </c>
      <c r="F49" s="466">
        <v>10959</v>
      </c>
      <c r="G49" s="466">
        <v>0</v>
      </c>
      <c r="H49" s="466">
        <v>0</v>
      </c>
      <c r="I49" s="466">
        <v>0</v>
      </c>
      <c r="J49" s="466">
        <v>0</v>
      </c>
      <c r="K49" s="1659">
        <f>SUM(C49:J49)</f>
        <v>66196</v>
      </c>
      <c r="L49" s="466">
        <v>75783</v>
      </c>
    </row>
    <row r="50" spans="1:14" x14ac:dyDescent="0.2">
      <c r="A50" s="1491" t="s">
        <v>818</v>
      </c>
      <c r="B50" s="605">
        <v>2320</v>
      </c>
      <c r="C50" s="466">
        <v>297183</v>
      </c>
      <c r="D50" s="466">
        <v>51221</v>
      </c>
      <c r="E50" s="466">
        <v>26411</v>
      </c>
      <c r="F50" s="466">
        <v>10528</v>
      </c>
      <c r="G50" s="466">
        <v>0</v>
      </c>
      <c r="H50" s="466">
        <v>0</v>
      </c>
      <c r="I50" s="466">
        <v>0</v>
      </c>
      <c r="J50" s="466">
        <v>0</v>
      </c>
      <c r="K50" s="1659">
        <f>SUM(C50:J50)</f>
        <v>385343</v>
      </c>
      <c r="L50" s="466">
        <v>381971</v>
      </c>
    </row>
    <row r="51" spans="1:14" x14ac:dyDescent="0.2">
      <c r="A51" s="1491" t="s">
        <v>42</v>
      </c>
      <c r="B51" s="605">
        <v>2330</v>
      </c>
      <c r="C51" s="466">
        <v>34762</v>
      </c>
      <c r="D51" s="466">
        <v>11488</v>
      </c>
      <c r="E51" s="466">
        <v>2529</v>
      </c>
      <c r="F51" s="466">
        <v>20</v>
      </c>
      <c r="G51" s="466">
        <v>0</v>
      </c>
      <c r="H51" s="466">
        <v>0</v>
      </c>
      <c r="I51" s="466">
        <v>0</v>
      </c>
      <c r="J51" s="466">
        <v>0</v>
      </c>
      <c r="K51" s="1659">
        <f>SUM(C51:J51)</f>
        <v>48799</v>
      </c>
      <c r="L51" s="466">
        <v>46696</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333976</v>
      </c>
      <c r="D53" s="1657">
        <f t="shared" ref="D53:L53" si="5">SUM(D49:D52)</f>
        <v>62709</v>
      </c>
      <c r="E53" s="1657">
        <f t="shared" si="5"/>
        <v>82146</v>
      </c>
      <c r="F53" s="1657">
        <f t="shared" si="5"/>
        <v>21507</v>
      </c>
      <c r="G53" s="1657">
        <f t="shared" si="5"/>
        <v>0</v>
      </c>
      <c r="H53" s="1657">
        <f t="shared" si="5"/>
        <v>0</v>
      </c>
      <c r="I53" s="1657">
        <f t="shared" si="5"/>
        <v>0</v>
      </c>
      <c r="J53" s="1657">
        <f t="shared" si="5"/>
        <v>0</v>
      </c>
      <c r="K53" s="1657">
        <f t="shared" si="5"/>
        <v>500338</v>
      </c>
      <c r="L53" s="1657">
        <f t="shared" si="5"/>
        <v>504450</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372352</v>
      </c>
      <c r="D55" s="466">
        <v>103571</v>
      </c>
      <c r="E55" s="466">
        <v>1922</v>
      </c>
      <c r="F55" s="466">
        <v>27484</v>
      </c>
      <c r="G55" s="466">
        <v>0</v>
      </c>
      <c r="H55" s="466">
        <v>0</v>
      </c>
      <c r="I55" s="466">
        <v>0</v>
      </c>
      <c r="J55" s="466">
        <v>0</v>
      </c>
      <c r="K55" s="1659">
        <f>SUM(C55:J55)</f>
        <v>505329</v>
      </c>
      <c r="L55" s="466">
        <v>530953</v>
      </c>
    </row>
    <row r="56" spans="1:14" ht="12.75" customHeight="1" x14ac:dyDescent="0.2">
      <c r="A56" s="1495" t="s">
        <v>376</v>
      </c>
      <c r="B56" s="619">
        <v>2490</v>
      </c>
      <c r="C56" s="466">
        <v>0</v>
      </c>
      <c r="D56" s="466">
        <v>0</v>
      </c>
      <c r="E56" s="466">
        <v>0</v>
      </c>
      <c r="F56" s="466">
        <v>0</v>
      </c>
      <c r="G56" s="466">
        <v>0</v>
      </c>
      <c r="H56" s="466">
        <v>0</v>
      </c>
      <c r="I56" s="466">
        <v>0</v>
      </c>
      <c r="J56" s="466">
        <v>0</v>
      </c>
      <c r="K56" s="1659">
        <f>SUM(C56:J56)</f>
        <v>0</v>
      </c>
      <c r="L56" s="466">
        <v>0</v>
      </c>
    </row>
    <row r="57" spans="1:14" s="343" customFormat="1" ht="12.75" customHeight="1" thickBot="1" x14ac:dyDescent="0.25">
      <c r="A57" s="1655" t="s">
        <v>263</v>
      </c>
      <c r="B57" s="1660" t="s">
        <v>34</v>
      </c>
      <c r="C57" s="1661">
        <f>SUM(C55:C56)</f>
        <v>372352</v>
      </c>
      <c r="D57" s="1661">
        <f t="shared" ref="D57:K57" si="6">SUM(D55:D56)</f>
        <v>103571</v>
      </c>
      <c r="E57" s="1661">
        <f t="shared" si="6"/>
        <v>1922</v>
      </c>
      <c r="F57" s="1661">
        <f t="shared" si="6"/>
        <v>27484</v>
      </c>
      <c r="G57" s="1661">
        <f t="shared" si="6"/>
        <v>0</v>
      </c>
      <c r="H57" s="1661">
        <f t="shared" si="6"/>
        <v>0</v>
      </c>
      <c r="I57" s="1661">
        <f t="shared" si="6"/>
        <v>0</v>
      </c>
      <c r="J57" s="1661">
        <f t="shared" si="6"/>
        <v>0</v>
      </c>
      <c r="K57" s="1661">
        <f t="shared" si="6"/>
        <v>505329</v>
      </c>
      <c r="L57" s="1657">
        <f>SUM(L55:L56)</f>
        <v>530953</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79973</v>
      </c>
      <c r="D59" s="466">
        <v>0</v>
      </c>
      <c r="E59" s="466">
        <v>1227</v>
      </c>
      <c r="F59" s="466">
        <v>688</v>
      </c>
      <c r="G59" s="466">
        <v>0</v>
      </c>
      <c r="H59" s="466">
        <v>0</v>
      </c>
      <c r="I59" s="466">
        <v>0</v>
      </c>
      <c r="J59" s="466">
        <v>0</v>
      </c>
      <c r="K59" s="1659">
        <f t="shared" ref="K59:K64" si="7">SUM(C59:J59)</f>
        <v>81888</v>
      </c>
      <c r="L59" s="466">
        <v>82051</v>
      </c>
      <c r="M59" s="600"/>
      <c r="N59" s="600"/>
    </row>
    <row r="60" spans="1:14" s="343" customFormat="1" x14ac:dyDescent="0.2">
      <c r="A60" s="1491" t="s">
        <v>463</v>
      </c>
      <c r="B60" s="605">
        <v>2520</v>
      </c>
      <c r="C60" s="466">
        <v>62898</v>
      </c>
      <c r="D60" s="466">
        <v>11729</v>
      </c>
      <c r="E60" s="466">
        <v>17671</v>
      </c>
      <c r="F60" s="466">
        <v>9203</v>
      </c>
      <c r="G60" s="466">
        <v>5024</v>
      </c>
      <c r="H60" s="466">
        <v>0</v>
      </c>
      <c r="I60" s="466">
        <v>0</v>
      </c>
      <c r="J60" s="466">
        <v>0</v>
      </c>
      <c r="K60" s="1659">
        <f t="shared" si="7"/>
        <v>106525</v>
      </c>
      <c r="L60" s="466">
        <v>112617</v>
      </c>
      <c r="M60" s="600"/>
      <c r="N60" s="600"/>
    </row>
    <row r="61" spans="1:14" s="343" customFormat="1" x14ac:dyDescent="0.2">
      <c r="A61" s="1491" t="s">
        <v>197</v>
      </c>
      <c r="B61" s="605">
        <v>2540</v>
      </c>
      <c r="C61" s="466">
        <v>0</v>
      </c>
      <c r="D61" s="466">
        <v>0</v>
      </c>
      <c r="E61" s="466">
        <v>0</v>
      </c>
      <c r="F61" s="466">
        <v>0</v>
      </c>
      <c r="G61" s="466">
        <v>0</v>
      </c>
      <c r="H61" s="466">
        <v>0</v>
      </c>
      <c r="I61" s="466">
        <v>0</v>
      </c>
      <c r="J61" s="466">
        <v>0</v>
      </c>
      <c r="K61" s="1659">
        <f t="shared" si="7"/>
        <v>0</v>
      </c>
      <c r="L61" s="466">
        <v>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26042</v>
      </c>
      <c r="D63" s="466">
        <v>0</v>
      </c>
      <c r="E63" s="466">
        <v>69775</v>
      </c>
      <c r="F63" s="466">
        <v>15012</v>
      </c>
      <c r="G63" s="466">
        <v>0</v>
      </c>
      <c r="H63" s="466">
        <v>0</v>
      </c>
      <c r="I63" s="466">
        <v>0</v>
      </c>
      <c r="J63" s="466">
        <v>0</v>
      </c>
      <c r="K63" s="1659">
        <f t="shared" si="7"/>
        <v>110829</v>
      </c>
      <c r="L63" s="466">
        <v>132210</v>
      </c>
    </row>
    <row r="64" spans="1:14" s="600" customFormat="1" x14ac:dyDescent="0.2">
      <c r="A64" s="1496" t="s">
        <v>101</v>
      </c>
      <c r="B64" s="621">
        <v>2570</v>
      </c>
      <c r="C64" s="466">
        <v>0</v>
      </c>
      <c r="D64" s="466">
        <v>0</v>
      </c>
      <c r="E64" s="466">
        <v>0</v>
      </c>
      <c r="F64" s="466">
        <v>0</v>
      </c>
      <c r="G64" s="466">
        <v>0</v>
      </c>
      <c r="H64" s="466">
        <v>0</v>
      </c>
      <c r="I64" s="466">
        <v>0</v>
      </c>
      <c r="J64" s="466">
        <v>0</v>
      </c>
      <c r="K64" s="1659">
        <f t="shared" si="7"/>
        <v>0</v>
      </c>
      <c r="L64" s="466">
        <v>0</v>
      </c>
    </row>
    <row r="65" spans="1:14" s="343" customFormat="1" ht="12.75" customHeight="1" thickBot="1" x14ac:dyDescent="0.25">
      <c r="A65" s="1655" t="s">
        <v>719</v>
      </c>
      <c r="B65" s="1656" t="s">
        <v>35</v>
      </c>
      <c r="C65" s="1657">
        <f>SUM(C59:C64)</f>
        <v>168913</v>
      </c>
      <c r="D65" s="1657">
        <f t="shared" ref="D65:L65" si="8">SUM(D59:D64)</f>
        <v>11729</v>
      </c>
      <c r="E65" s="1657">
        <f t="shared" si="8"/>
        <v>88673</v>
      </c>
      <c r="F65" s="1657">
        <f t="shared" si="8"/>
        <v>24903</v>
      </c>
      <c r="G65" s="1657">
        <f t="shared" si="8"/>
        <v>5024</v>
      </c>
      <c r="H65" s="1657">
        <f t="shared" si="8"/>
        <v>0</v>
      </c>
      <c r="I65" s="1657">
        <f t="shared" si="8"/>
        <v>0</v>
      </c>
      <c r="J65" s="1657">
        <f t="shared" si="8"/>
        <v>0</v>
      </c>
      <c r="K65" s="1657">
        <f t="shared" si="8"/>
        <v>299242</v>
      </c>
      <c r="L65" s="1657">
        <f t="shared" si="8"/>
        <v>326878</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0</v>
      </c>
      <c r="D69" s="466">
        <v>0</v>
      </c>
      <c r="E69" s="466">
        <v>0</v>
      </c>
      <c r="F69" s="466">
        <v>0</v>
      </c>
      <c r="G69" s="466">
        <v>0</v>
      </c>
      <c r="H69" s="466">
        <v>0</v>
      </c>
      <c r="I69" s="466">
        <v>0</v>
      </c>
      <c r="J69" s="466">
        <v>0</v>
      </c>
      <c r="K69" s="1659">
        <f>SUM(C69:J69)</f>
        <v>0</v>
      </c>
      <c r="L69" s="466">
        <v>0</v>
      </c>
      <c r="M69" s="600"/>
      <c r="N69" s="600"/>
    </row>
    <row r="70" spans="1:14" s="343" customFormat="1" x14ac:dyDescent="0.2">
      <c r="A70" s="1491" t="s">
        <v>403</v>
      </c>
      <c r="B70" s="605">
        <v>2640</v>
      </c>
      <c r="C70" s="466">
        <v>0</v>
      </c>
      <c r="D70" s="466">
        <v>0</v>
      </c>
      <c r="E70" s="466">
        <v>0</v>
      </c>
      <c r="F70" s="466">
        <v>0</v>
      </c>
      <c r="G70" s="466">
        <v>0</v>
      </c>
      <c r="H70" s="466">
        <v>0</v>
      </c>
      <c r="I70" s="466">
        <v>0</v>
      </c>
      <c r="J70" s="466">
        <v>0</v>
      </c>
      <c r="K70" s="1659">
        <f>SUM(C70:J70)</f>
        <v>0</v>
      </c>
      <c r="L70" s="466">
        <v>0</v>
      </c>
      <c r="M70" s="600"/>
      <c r="N70" s="600"/>
    </row>
    <row r="71" spans="1:14" s="343" customFormat="1" x14ac:dyDescent="0.2">
      <c r="A71" s="1491" t="s">
        <v>404</v>
      </c>
      <c r="B71" s="605">
        <v>2660</v>
      </c>
      <c r="C71" s="466">
        <v>74333</v>
      </c>
      <c r="D71" s="466">
        <v>30194</v>
      </c>
      <c r="E71" s="466">
        <v>0</v>
      </c>
      <c r="F71" s="466">
        <v>0</v>
      </c>
      <c r="G71" s="466">
        <v>0</v>
      </c>
      <c r="H71" s="466">
        <v>0</v>
      </c>
      <c r="I71" s="466">
        <v>0</v>
      </c>
      <c r="J71" s="466">
        <v>0</v>
      </c>
      <c r="K71" s="1659">
        <f>SUM(C71:J71)</f>
        <v>104527</v>
      </c>
      <c r="L71" s="466">
        <v>106340</v>
      </c>
      <c r="M71" s="600"/>
      <c r="N71" s="600"/>
    </row>
    <row r="72" spans="1:14" s="343" customFormat="1" ht="12.75" customHeight="1" thickBot="1" x14ac:dyDescent="0.25">
      <c r="A72" s="1655" t="s">
        <v>37</v>
      </c>
      <c r="B72" s="1662" t="s">
        <v>36</v>
      </c>
      <c r="C72" s="1657">
        <f>SUM(C67:C71)</f>
        <v>74333</v>
      </c>
      <c r="D72" s="1657">
        <f t="shared" ref="D72:K72" si="9">SUM(D67:D71)</f>
        <v>30194</v>
      </c>
      <c r="E72" s="1657">
        <f t="shared" si="9"/>
        <v>0</v>
      </c>
      <c r="F72" s="1657">
        <f t="shared" si="9"/>
        <v>0</v>
      </c>
      <c r="G72" s="1657">
        <f t="shared" si="9"/>
        <v>0</v>
      </c>
      <c r="H72" s="1657">
        <f t="shared" si="9"/>
        <v>0</v>
      </c>
      <c r="I72" s="1657">
        <f t="shared" si="9"/>
        <v>0</v>
      </c>
      <c r="J72" s="1657">
        <f t="shared" si="9"/>
        <v>0</v>
      </c>
      <c r="K72" s="1657">
        <f t="shared" si="9"/>
        <v>104527</v>
      </c>
      <c r="L72" s="1657">
        <f>SUM(L67:L71)</f>
        <v>106340</v>
      </c>
      <c r="M72" s="600"/>
      <c r="N72" s="600"/>
    </row>
    <row r="73" spans="1:14" s="343" customFormat="1" ht="14.25" thickTop="1" thickBot="1" x14ac:dyDescent="0.25">
      <c r="A73" s="1497" t="s">
        <v>980</v>
      </c>
      <c r="B73" s="623" t="s">
        <v>574</v>
      </c>
      <c r="C73" s="565">
        <v>0</v>
      </c>
      <c r="D73" s="565">
        <v>7510</v>
      </c>
      <c r="E73" s="565">
        <v>1598</v>
      </c>
      <c r="F73" s="565">
        <v>0</v>
      </c>
      <c r="G73" s="565">
        <v>0</v>
      </c>
      <c r="H73" s="565">
        <v>0</v>
      </c>
      <c r="I73" s="565">
        <v>0</v>
      </c>
      <c r="J73" s="565">
        <v>0</v>
      </c>
      <c r="K73" s="1657">
        <f>SUM(C73:J73)</f>
        <v>9108</v>
      </c>
      <c r="L73" s="565">
        <v>29225</v>
      </c>
      <c r="M73" s="600"/>
      <c r="N73" s="600"/>
    </row>
    <row r="74" spans="1:14" ht="12.75" customHeight="1" thickTop="1" thickBot="1" x14ac:dyDescent="0.25">
      <c r="A74" s="1655" t="s">
        <v>811</v>
      </c>
      <c r="B74" s="1663">
        <v>2000</v>
      </c>
      <c r="C74" s="1664">
        <f>SUM(C42,C47,C53,C57,C65,C72,C73)</f>
        <v>1714301</v>
      </c>
      <c r="D74" s="1664">
        <f t="shared" ref="D74:K74" si="10">SUM(D42,D47,D53,D57,D65,D72,D73)</f>
        <v>339566</v>
      </c>
      <c r="E74" s="1664">
        <f t="shared" si="10"/>
        <v>373944</v>
      </c>
      <c r="F74" s="1664">
        <f t="shared" si="10"/>
        <v>356693</v>
      </c>
      <c r="G74" s="1664">
        <f t="shared" si="10"/>
        <v>39524</v>
      </c>
      <c r="H74" s="1664">
        <f t="shared" si="10"/>
        <v>0</v>
      </c>
      <c r="I74" s="1664">
        <f t="shared" si="10"/>
        <v>6700</v>
      </c>
      <c r="J74" s="1664">
        <f t="shared" si="10"/>
        <v>0</v>
      </c>
      <c r="K74" s="1664">
        <f t="shared" si="10"/>
        <v>2830728</v>
      </c>
      <c r="L74" s="1664">
        <f>SUM(L42,L47,L53,L57,L65,L72,L73)</f>
        <v>2904988</v>
      </c>
    </row>
    <row r="75" spans="1:14" s="259" customFormat="1" ht="15.75" customHeight="1" thickTop="1" thickBot="1" x14ac:dyDescent="0.25">
      <c r="A75" s="1597" t="s">
        <v>47</v>
      </c>
      <c r="B75" s="1598" t="s">
        <v>575</v>
      </c>
      <c r="C75" s="565">
        <v>0</v>
      </c>
      <c r="D75" s="565">
        <v>0</v>
      </c>
      <c r="E75" s="565">
        <v>52</v>
      </c>
      <c r="F75" s="565">
        <v>0</v>
      </c>
      <c r="G75" s="565">
        <v>0</v>
      </c>
      <c r="H75" s="565">
        <v>0</v>
      </c>
      <c r="I75" s="565">
        <v>0</v>
      </c>
      <c r="J75" s="565">
        <v>0</v>
      </c>
      <c r="K75" s="1657">
        <f>SUM(C75:J75)</f>
        <v>52</v>
      </c>
      <c r="L75" s="565">
        <v>1000</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0</v>
      </c>
      <c r="F79" s="607"/>
      <c r="G79" s="607"/>
      <c r="H79" s="477">
        <v>0</v>
      </c>
      <c r="I79" s="473"/>
      <c r="J79" s="473"/>
      <c r="K79" s="1658">
        <f t="shared" si="11"/>
        <v>0</v>
      </c>
      <c r="L79" s="477">
        <v>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42600</v>
      </c>
    </row>
    <row r="84" spans="1:12" ht="13.5" thickBot="1" x14ac:dyDescent="0.25">
      <c r="A84" s="1655" t="s">
        <v>1485</v>
      </c>
      <c r="B84" s="1665">
        <v>4100</v>
      </c>
      <c r="C84" s="607"/>
      <c r="D84" s="607"/>
      <c r="E84" s="1657">
        <f>SUM(E78:E83)</f>
        <v>0</v>
      </c>
      <c r="F84" s="607"/>
      <c r="G84" s="607"/>
      <c r="H84" s="1657">
        <f>SUM(H78:H83)</f>
        <v>0</v>
      </c>
      <c r="I84" s="473"/>
      <c r="J84" s="473"/>
      <c r="K84" s="1657">
        <f>SUM(K78:K83)</f>
        <v>0</v>
      </c>
      <c r="L84" s="1657">
        <f>SUM(L78:L83)</f>
        <v>42600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138706</v>
      </c>
      <c r="I86" s="473"/>
      <c r="J86" s="473"/>
      <c r="K86" s="1664">
        <f t="shared" ref="K86:K98" si="12">H86</f>
        <v>138706</v>
      </c>
      <c r="L86" s="525">
        <v>200000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138706</v>
      </c>
      <c r="I92" s="473"/>
      <c r="J92" s="473"/>
      <c r="K92" s="1664">
        <f t="shared" si="12"/>
        <v>138706</v>
      </c>
      <c r="L92" s="1657">
        <f>SUM(L85:L91)</f>
        <v>200000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0</v>
      </c>
      <c r="F102" s="607"/>
      <c r="G102" s="607"/>
      <c r="H102" s="1664">
        <f>SUM(H84,H92,H100,H101)</f>
        <v>138706</v>
      </c>
      <c r="I102" s="473"/>
      <c r="J102" s="473"/>
      <c r="K102" s="1664">
        <f>SUM(K84,K92,K100,K101)</f>
        <v>138706</v>
      </c>
      <c r="L102" s="1664">
        <f>SUM(L84,L92,L100,L101)</f>
        <v>242600</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6453217</v>
      </c>
      <c r="D114" s="1657">
        <f t="shared" ref="D114:K114" si="13">SUM(D33,D74,D75,D102,D112,D113)</f>
        <v>1218173</v>
      </c>
      <c r="E114" s="1657">
        <f t="shared" si="13"/>
        <v>382397</v>
      </c>
      <c r="F114" s="1657">
        <f t="shared" si="13"/>
        <v>488476</v>
      </c>
      <c r="G114" s="1657">
        <f t="shared" si="13"/>
        <v>39524</v>
      </c>
      <c r="H114" s="1657">
        <f>SUM(H33,H74,H75,H102,H112,H113)</f>
        <v>291313</v>
      </c>
      <c r="I114" s="1657">
        <f t="shared" si="13"/>
        <v>6700</v>
      </c>
      <c r="J114" s="1657">
        <f t="shared" si="13"/>
        <v>0</v>
      </c>
      <c r="K114" s="1657">
        <f t="shared" si="13"/>
        <v>8879800</v>
      </c>
      <c r="L114" s="1657">
        <f>SUM(L33,L74,L75,L102,L112,L113)</f>
        <v>9548528</v>
      </c>
    </row>
    <row r="115" spans="1:14" ht="13.5" thickTop="1" x14ac:dyDescent="0.2">
      <c r="A115" s="2171" t="s">
        <v>996</v>
      </c>
      <c r="B115" s="2172"/>
      <c r="C115" s="609"/>
      <c r="D115" s="609"/>
      <c r="E115" s="609"/>
      <c r="F115" s="609"/>
      <c r="G115" s="609"/>
      <c r="H115" s="609"/>
      <c r="I115" s="609"/>
      <c r="J115" s="609"/>
      <c r="K115" s="1671">
        <f>'Revenues 9-14'!C268-'Expenditures 15-22'!K114</f>
        <v>736227</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9" t="s">
        <v>296</v>
      </c>
      <c r="B117" s="2150"/>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2715</v>
      </c>
      <c r="F123" s="466">
        <v>0</v>
      </c>
      <c r="G123" s="466">
        <v>0</v>
      </c>
      <c r="H123" s="466">
        <v>0</v>
      </c>
      <c r="I123" s="466">
        <v>0</v>
      </c>
      <c r="J123" s="466">
        <v>0</v>
      </c>
      <c r="K123" s="1657">
        <f>SUM(C123:J123)</f>
        <v>2715</v>
      </c>
      <c r="L123" s="466">
        <v>20000</v>
      </c>
    </row>
    <row r="124" spans="1:14" ht="14.25" thickTop="1" thickBot="1" x14ac:dyDescent="0.25">
      <c r="A124" s="1491" t="s">
        <v>197</v>
      </c>
      <c r="B124" s="605">
        <v>2540</v>
      </c>
      <c r="C124" s="466">
        <v>71896</v>
      </c>
      <c r="D124" s="466">
        <v>10058</v>
      </c>
      <c r="E124" s="466">
        <v>555526</v>
      </c>
      <c r="F124" s="466">
        <v>169556</v>
      </c>
      <c r="G124" s="466">
        <v>40489</v>
      </c>
      <c r="H124" s="466">
        <v>0</v>
      </c>
      <c r="I124" s="466">
        <v>0</v>
      </c>
      <c r="J124" s="466">
        <v>0</v>
      </c>
      <c r="K124" s="1657">
        <f>SUM(C124:J124)</f>
        <v>847525</v>
      </c>
      <c r="L124" s="466">
        <v>961538</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0</v>
      </c>
      <c r="H126" s="643"/>
      <c r="I126" s="466">
        <v>0</v>
      </c>
      <c r="J126" s="607"/>
      <c r="K126" s="1657">
        <f>SUM(C126:J126)</f>
        <v>0</v>
      </c>
      <c r="L126" s="466">
        <v>0</v>
      </c>
    </row>
    <row r="127" spans="1:14" ht="12.75" customHeight="1" thickTop="1" thickBot="1" x14ac:dyDescent="0.25">
      <c r="A127" s="1655" t="s">
        <v>719</v>
      </c>
      <c r="B127" s="1656" t="s">
        <v>35</v>
      </c>
      <c r="C127" s="1657">
        <f>SUM(C122:C126)</f>
        <v>71896</v>
      </c>
      <c r="D127" s="1657">
        <f t="shared" ref="D127:L127" si="14">SUM(D122:D126)</f>
        <v>10058</v>
      </c>
      <c r="E127" s="1657">
        <f t="shared" si="14"/>
        <v>558241</v>
      </c>
      <c r="F127" s="1657">
        <f t="shared" si="14"/>
        <v>169556</v>
      </c>
      <c r="G127" s="1657">
        <f t="shared" si="14"/>
        <v>40489</v>
      </c>
      <c r="H127" s="1657">
        <f t="shared" si="14"/>
        <v>0</v>
      </c>
      <c r="I127" s="1657">
        <f t="shared" si="14"/>
        <v>0</v>
      </c>
      <c r="J127" s="1657">
        <f t="shared" si="14"/>
        <v>0</v>
      </c>
      <c r="K127" s="1657">
        <f t="shared" si="14"/>
        <v>850240</v>
      </c>
      <c r="L127" s="1657">
        <f t="shared" si="14"/>
        <v>981538</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71896</v>
      </c>
      <c r="D129" s="1664">
        <f t="shared" ref="D129:L129" si="15">SUM(D120,D127,D128)</f>
        <v>10058</v>
      </c>
      <c r="E129" s="1664">
        <f t="shared" si="15"/>
        <v>558241</v>
      </c>
      <c r="F129" s="1664">
        <f t="shared" si="15"/>
        <v>169556</v>
      </c>
      <c r="G129" s="1664">
        <f t="shared" si="15"/>
        <v>40489</v>
      </c>
      <c r="H129" s="1664">
        <f t="shared" si="15"/>
        <v>0</v>
      </c>
      <c r="I129" s="1664">
        <f t="shared" si="15"/>
        <v>0</v>
      </c>
      <c r="J129" s="1664">
        <f t="shared" si="15"/>
        <v>0</v>
      </c>
      <c r="K129" s="1664">
        <f t="shared" si="15"/>
        <v>850240</v>
      </c>
      <c r="L129" s="1664">
        <f t="shared" si="15"/>
        <v>981538</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161" t="s">
        <v>620</v>
      </c>
      <c r="B151" s="2143"/>
      <c r="C151" s="1657">
        <f>SUM(C129,C130,C139,C149,C150)</f>
        <v>71896</v>
      </c>
      <c r="D151" s="1657">
        <f t="shared" ref="D151:K151" si="16">SUM(D129,D130,D139,D149,D150)</f>
        <v>10058</v>
      </c>
      <c r="E151" s="1657">
        <f t="shared" si="16"/>
        <v>558241</v>
      </c>
      <c r="F151" s="1657">
        <f t="shared" si="16"/>
        <v>169556</v>
      </c>
      <c r="G151" s="1657">
        <f t="shared" si="16"/>
        <v>40489</v>
      </c>
      <c r="H151" s="1657">
        <f t="shared" si="16"/>
        <v>0</v>
      </c>
      <c r="I151" s="1657">
        <f t="shared" si="16"/>
        <v>0</v>
      </c>
      <c r="J151" s="1657">
        <f t="shared" si="16"/>
        <v>0</v>
      </c>
      <c r="K151" s="1657">
        <f t="shared" si="16"/>
        <v>850240</v>
      </c>
      <c r="L151" s="1657">
        <f>SUM(L129,L130,L139,L149,L150)</f>
        <v>981538</v>
      </c>
    </row>
    <row r="152" spans="1:14" ht="12.75" customHeight="1" thickTop="1" x14ac:dyDescent="0.2">
      <c r="A152" s="2164" t="s">
        <v>1178</v>
      </c>
      <c r="B152" s="2165"/>
      <c r="C152" s="609"/>
      <c r="D152" s="609"/>
      <c r="E152" s="609"/>
      <c r="F152" s="609"/>
      <c r="G152" s="609"/>
      <c r="H152" s="609"/>
      <c r="I152" s="609"/>
      <c r="J152" s="607"/>
      <c r="K152" s="1671">
        <f>'Revenues 9-14'!D268-'Expenditures 15-22'!K151</f>
        <v>-121770</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9" t="s">
        <v>621</v>
      </c>
      <c r="B154" s="2151"/>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216884</v>
      </c>
      <c r="I169" s="607"/>
      <c r="J169" s="607"/>
      <c r="K169" s="1658">
        <f>SUM(C169:H169)</f>
        <v>216884</v>
      </c>
      <c r="L169" s="466">
        <v>211532</v>
      </c>
    </row>
    <row r="170" spans="1:14" ht="33.75" customHeight="1" x14ac:dyDescent="0.2">
      <c r="A170" s="658" t="s">
        <v>1670</v>
      </c>
      <c r="B170" s="660" t="s">
        <v>31</v>
      </c>
      <c r="C170" s="607"/>
      <c r="D170" s="607"/>
      <c r="E170" s="607"/>
      <c r="F170" s="607"/>
      <c r="G170" s="607"/>
      <c r="H170" s="466">
        <v>1157084</v>
      </c>
      <c r="I170" s="607"/>
      <c r="J170" s="607"/>
      <c r="K170" s="1658">
        <f>SUM(C170:J170)</f>
        <v>1157084</v>
      </c>
      <c r="L170" s="466">
        <v>1170000</v>
      </c>
    </row>
    <row r="171" spans="1:14" ht="15.75" customHeight="1" x14ac:dyDescent="0.2">
      <c r="A171" s="612" t="s">
        <v>766</v>
      </c>
      <c r="B171" s="661" t="s">
        <v>84</v>
      </c>
      <c r="C171" s="607"/>
      <c r="D171" s="607"/>
      <c r="E171" s="466">
        <v>0</v>
      </c>
      <c r="F171" s="607"/>
      <c r="G171" s="607"/>
      <c r="H171" s="466">
        <v>2300</v>
      </c>
      <c r="I171" s="473"/>
      <c r="J171" s="607"/>
      <c r="K171" s="1658">
        <f>SUM(C171:J171)</f>
        <v>2300</v>
      </c>
      <c r="L171" s="466">
        <v>3000</v>
      </c>
    </row>
    <row r="172" spans="1:14" ht="12.75" customHeight="1" thickBot="1" x14ac:dyDescent="0.25">
      <c r="A172" s="1655" t="s">
        <v>638</v>
      </c>
      <c r="B172" s="1656" t="s">
        <v>492</v>
      </c>
      <c r="C172" s="607"/>
      <c r="D172" s="607"/>
      <c r="E172" s="1664">
        <f>SUM(E168,E169,E170,E171)</f>
        <v>0</v>
      </c>
      <c r="F172" s="607"/>
      <c r="G172" s="607"/>
      <c r="H172" s="1664">
        <f>SUM(H168,H169,H170,H171)</f>
        <v>1376268</v>
      </c>
      <c r="I172" s="628"/>
      <c r="J172" s="607"/>
      <c r="K172" s="1664">
        <f>SUM(K168,K169,K170,K171)</f>
        <v>1376268</v>
      </c>
      <c r="L172" s="1664">
        <f>SUM(L168,L169,L170,L171)</f>
        <v>1384532</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1376268</v>
      </c>
      <c r="I174" s="628"/>
      <c r="J174" s="607"/>
      <c r="K174" s="1664">
        <f>SUM(K160,K172,K173)</f>
        <v>1376268</v>
      </c>
      <c r="L174" s="1664">
        <f>SUM(L160,L172,L173)</f>
        <v>1384532</v>
      </c>
    </row>
    <row r="175" spans="1:14" ht="13.5" thickTop="1" x14ac:dyDescent="0.2">
      <c r="A175" s="2171" t="s">
        <v>996</v>
      </c>
      <c r="B175" s="2172"/>
      <c r="C175" s="607"/>
      <c r="D175" s="607"/>
      <c r="E175" s="607"/>
      <c r="F175" s="607"/>
      <c r="G175" s="607"/>
      <c r="H175" s="609"/>
      <c r="I175" s="607"/>
      <c r="J175" s="607"/>
      <c r="K175" s="1671">
        <f>'Revenues 9-14'!E268-'Expenditures 15-22'!K174</f>
        <v>-297747</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54096</v>
      </c>
      <c r="D180" s="466">
        <v>0</v>
      </c>
      <c r="E180" s="466">
        <v>0</v>
      </c>
      <c r="F180" s="466">
        <v>0</v>
      </c>
      <c r="G180" s="466">
        <v>0</v>
      </c>
      <c r="H180" s="466">
        <v>0</v>
      </c>
      <c r="I180" s="466">
        <v>0</v>
      </c>
      <c r="J180" s="466">
        <v>0</v>
      </c>
      <c r="K180" s="1658">
        <f>SUM(C180:J180)</f>
        <v>54096</v>
      </c>
      <c r="L180" s="466">
        <v>50000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22487</v>
      </c>
      <c r="D182" s="466">
        <v>0</v>
      </c>
      <c r="E182" s="466">
        <v>476699</v>
      </c>
      <c r="F182" s="466">
        <v>0</v>
      </c>
      <c r="G182" s="466">
        <v>0</v>
      </c>
      <c r="H182" s="466">
        <v>0</v>
      </c>
      <c r="I182" s="466">
        <v>0</v>
      </c>
      <c r="J182" s="466">
        <v>0</v>
      </c>
      <c r="K182" s="1658">
        <f>SUM(C182:J182)</f>
        <v>499186</v>
      </c>
      <c r="L182" s="466">
        <v>444457</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76583</v>
      </c>
      <c r="D184" s="1664">
        <f t="shared" ref="D184:J184" si="17">SUM(D180,D182,D183)</f>
        <v>0</v>
      </c>
      <c r="E184" s="1664">
        <f t="shared" si="17"/>
        <v>476699</v>
      </c>
      <c r="F184" s="1664">
        <f t="shared" si="17"/>
        <v>0</v>
      </c>
      <c r="G184" s="1664">
        <f t="shared" si="17"/>
        <v>0</v>
      </c>
      <c r="H184" s="1664">
        <f t="shared" si="17"/>
        <v>0</v>
      </c>
      <c r="I184" s="1664">
        <f t="shared" si="17"/>
        <v>0</v>
      </c>
      <c r="J184" s="1664">
        <f t="shared" si="17"/>
        <v>0</v>
      </c>
      <c r="K184" s="1664">
        <f>SUM(K180,K182,K183)</f>
        <v>553282</v>
      </c>
      <c r="L184" s="1664">
        <f>SUM(L180, L182:L183)</f>
        <v>494457</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76583</v>
      </c>
      <c r="D210" s="1657">
        <f>SUM(D184,D185)</f>
        <v>0</v>
      </c>
      <c r="E210" s="1657">
        <f>SUM(E184,E185,E196)</f>
        <v>476699</v>
      </c>
      <c r="F210" s="1657">
        <f>SUM(F184,F185)</f>
        <v>0</v>
      </c>
      <c r="G210" s="1657">
        <f>SUM(G184,G185)</f>
        <v>0</v>
      </c>
      <c r="H210" s="1657">
        <f>SUM(H184,H185,H196,H208,H209)</f>
        <v>0</v>
      </c>
      <c r="I210" s="1657">
        <f>SUM(I184,I185)</f>
        <v>0</v>
      </c>
      <c r="J210" s="1657">
        <f>SUM(J184,J185)</f>
        <v>0</v>
      </c>
      <c r="K210" s="1658">
        <f>SUM(K184,K185,K196,K208,K209)</f>
        <v>553282</v>
      </c>
      <c r="L210" s="1657">
        <f>SUM(L184,L185,L196,L208,L209)</f>
        <v>494457</v>
      </c>
    </row>
    <row r="211" spans="1:14" ht="13.5" thickTop="1" x14ac:dyDescent="0.2">
      <c r="A211" s="2171" t="s">
        <v>996</v>
      </c>
      <c r="B211" s="2172"/>
      <c r="C211" s="609"/>
      <c r="D211" s="609"/>
      <c r="E211" s="609"/>
      <c r="F211" s="609"/>
      <c r="G211" s="609"/>
      <c r="H211" s="609"/>
      <c r="I211" s="607"/>
      <c r="J211" s="607"/>
      <c r="K211" s="1671">
        <f>'Revenues 9-14'!F268-'Expenditures 15-22'!K210</f>
        <v>-38304</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6" t="s">
        <v>965</v>
      </c>
      <c r="B213" s="2167"/>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51805</v>
      </c>
      <c r="E215" s="607"/>
      <c r="F215" s="607"/>
      <c r="G215" s="607"/>
      <c r="H215" s="607"/>
      <c r="I215" s="607"/>
      <c r="J215" s="607"/>
      <c r="K215" s="1658">
        <f>D215</f>
        <v>51805</v>
      </c>
      <c r="L215" s="466">
        <v>58206</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94565</v>
      </c>
      <c r="E217" s="607"/>
      <c r="F217" s="607"/>
      <c r="G217" s="607"/>
      <c r="H217" s="607"/>
      <c r="I217" s="607"/>
      <c r="J217" s="607"/>
      <c r="K217" s="1658">
        <f t="shared" si="19"/>
        <v>94565</v>
      </c>
      <c r="L217" s="466">
        <v>96950</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1016</v>
      </c>
      <c r="E219" s="607"/>
      <c r="F219" s="607"/>
      <c r="G219" s="607"/>
      <c r="H219" s="607"/>
      <c r="I219" s="607"/>
      <c r="J219" s="607"/>
      <c r="K219" s="1658">
        <f t="shared" si="19"/>
        <v>1016</v>
      </c>
      <c r="L219" s="466">
        <v>1200</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0</v>
      </c>
      <c r="E221" s="607"/>
      <c r="F221" s="607"/>
      <c r="G221" s="607"/>
      <c r="H221" s="607"/>
      <c r="I221" s="607"/>
      <c r="J221" s="607"/>
      <c r="K221" s="1658">
        <f t="shared" si="19"/>
        <v>0</v>
      </c>
      <c r="L221" s="466">
        <v>0</v>
      </c>
    </row>
    <row r="222" spans="1:14" x14ac:dyDescent="0.2">
      <c r="A222" s="1491" t="s">
        <v>723</v>
      </c>
      <c r="B222" s="605">
        <v>1400</v>
      </c>
      <c r="C222" s="607"/>
      <c r="D222" s="466">
        <v>0</v>
      </c>
      <c r="E222" s="607"/>
      <c r="F222" s="607"/>
      <c r="G222" s="607"/>
      <c r="H222" s="607"/>
      <c r="I222" s="607"/>
      <c r="J222" s="607"/>
      <c r="K222" s="1658">
        <f t="shared" si="19"/>
        <v>0</v>
      </c>
      <c r="L222" s="466">
        <v>0</v>
      </c>
    </row>
    <row r="223" spans="1:14" x14ac:dyDescent="0.2">
      <c r="A223" s="1491" t="s">
        <v>963</v>
      </c>
      <c r="B223" s="605">
        <v>1500</v>
      </c>
      <c r="C223" s="607"/>
      <c r="D223" s="466">
        <v>0</v>
      </c>
      <c r="E223" s="607"/>
      <c r="F223" s="607"/>
      <c r="G223" s="607"/>
      <c r="H223" s="607"/>
      <c r="I223" s="607"/>
      <c r="J223" s="607"/>
      <c r="K223" s="1658">
        <f t="shared" si="19"/>
        <v>0</v>
      </c>
      <c r="L223" s="466">
        <v>0</v>
      </c>
    </row>
    <row r="224" spans="1:14" x14ac:dyDescent="0.2">
      <c r="A224" s="1491" t="s">
        <v>964</v>
      </c>
      <c r="B224" s="605">
        <v>1600</v>
      </c>
      <c r="C224" s="607"/>
      <c r="D224" s="466">
        <v>0</v>
      </c>
      <c r="E224" s="607"/>
      <c r="F224" s="607"/>
      <c r="G224" s="607"/>
      <c r="H224" s="607"/>
      <c r="I224" s="607"/>
      <c r="J224" s="607"/>
      <c r="K224" s="1658">
        <f t="shared" si="19"/>
        <v>0</v>
      </c>
      <c r="L224" s="466">
        <v>1320</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0</v>
      </c>
      <c r="E226" s="607"/>
      <c r="F226" s="607"/>
      <c r="G226" s="607"/>
      <c r="H226" s="607"/>
      <c r="I226" s="607"/>
      <c r="J226" s="607"/>
      <c r="K226" s="1658">
        <f t="shared" si="19"/>
        <v>0</v>
      </c>
      <c r="L226" s="466">
        <v>0</v>
      </c>
    </row>
    <row r="227" spans="1:12" x14ac:dyDescent="0.2">
      <c r="A227" s="1491" t="s">
        <v>1087</v>
      </c>
      <c r="B227" s="605">
        <v>1800</v>
      </c>
      <c r="C227" s="607"/>
      <c r="D227" s="466">
        <v>1053</v>
      </c>
      <c r="E227" s="607"/>
      <c r="F227" s="607"/>
      <c r="G227" s="607"/>
      <c r="H227" s="607"/>
      <c r="I227" s="607"/>
      <c r="J227" s="607"/>
      <c r="K227" s="1658">
        <f t="shared" si="19"/>
        <v>1053</v>
      </c>
      <c r="L227" s="466">
        <v>1500</v>
      </c>
    </row>
    <row r="228" spans="1:12" x14ac:dyDescent="0.2">
      <c r="A228" s="1491" t="s">
        <v>1088</v>
      </c>
      <c r="B228" s="605">
        <v>1900</v>
      </c>
      <c r="C228" s="607"/>
      <c r="D228" s="466">
        <v>0</v>
      </c>
      <c r="E228" s="607"/>
      <c r="F228" s="607"/>
      <c r="G228" s="607"/>
      <c r="H228" s="607"/>
      <c r="I228" s="607"/>
      <c r="J228" s="607"/>
      <c r="K228" s="1658">
        <f t="shared" si="19"/>
        <v>0</v>
      </c>
      <c r="L228" s="466">
        <v>0</v>
      </c>
    </row>
    <row r="229" spans="1:12" ht="12.75" customHeight="1" thickBot="1" x14ac:dyDescent="0.25">
      <c r="A229" s="1655" t="s">
        <v>715</v>
      </c>
      <c r="B229" s="1662" t="s">
        <v>570</v>
      </c>
      <c r="C229" s="607"/>
      <c r="D229" s="1657">
        <f>SUM(D215:D228)</f>
        <v>148439</v>
      </c>
      <c r="E229" s="607"/>
      <c r="F229" s="607"/>
      <c r="G229" s="607"/>
      <c r="H229" s="607"/>
      <c r="I229" s="607"/>
      <c r="J229" s="607"/>
      <c r="K229" s="1657">
        <f>SUM(K215:K228)</f>
        <v>148439</v>
      </c>
      <c r="L229" s="1657">
        <f>SUM(L215:L228)</f>
        <v>159176</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1617</v>
      </c>
      <c r="E232" s="607"/>
      <c r="F232" s="607"/>
      <c r="G232" s="607"/>
      <c r="H232" s="607"/>
      <c r="I232" s="607"/>
      <c r="J232" s="607"/>
      <c r="K232" s="1658">
        <f t="shared" ref="K232:K237" si="20">D232</f>
        <v>1617</v>
      </c>
      <c r="L232" s="466">
        <v>2000</v>
      </c>
    </row>
    <row r="233" spans="1:12" x14ac:dyDescent="0.2">
      <c r="A233" s="1491" t="s">
        <v>1090</v>
      </c>
      <c r="B233" s="605">
        <v>2120</v>
      </c>
      <c r="C233" s="607"/>
      <c r="D233" s="466">
        <v>0</v>
      </c>
      <c r="E233" s="607"/>
      <c r="F233" s="607"/>
      <c r="G233" s="607"/>
      <c r="H233" s="607"/>
      <c r="I233" s="607"/>
      <c r="J233" s="607"/>
      <c r="K233" s="1658">
        <f t="shared" si="20"/>
        <v>0</v>
      </c>
      <c r="L233" s="466">
        <v>0</v>
      </c>
    </row>
    <row r="234" spans="1:12" x14ac:dyDescent="0.2">
      <c r="A234" s="1491" t="s">
        <v>198</v>
      </c>
      <c r="B234" s="605">
        <v>2130</v>
      </c>
      <c r="C234" s="607"/>
      <c r="D234" s="466">
        <v>18649</v>
      </c>
      <c r="E234" s="607"/>
      <c r="F234" s="607"/>
      <c r="G234" s="607"/>
      <c r="H234" s="607"/>
      <c r="I234" s="607"/>
      <c r="J234" s="607"/>
      <c r="K234" s="1658">
        <f t="shared" si="20"/>
        <v>18649</v>
      </c>
      <c r="L234" s="466">
        <v>20400</v>
      </c>
    </row>
    <row r="235" spans="1:12" x14ac:dyDescent="0.2">
      <c r="A235" s="1491" t="s">
        <v>199</v>
      </c>
      <c r="B235" s="605">
        <v>2140</v>
      </c>
      <c r="C235" s="607"/>
      <c r="D235" s="466">
        <v>1576</v>
      </c>
      <c r="E235" s="607"/>
      <c r="F235" s="607"/>
      <c r="G235" s="607"/>
      <c r="H235" s="607"/>
      <c r="I235" s="607"/>
      <c r="J235" s="607"/>
      <c r="K235" s="1658">
        <f t="shared" si="20"/>
        <v>1576</v>
      </c>
      <c r="L235" s="466">
        <v>1700</v>
      </c>
    </row>
    <row r="236" spans="1:12" x14ac:dyDescent="0.2">
      <c r="A236" s="1491" t="s">
        <v>200</v>
      </c>
      <c r="B236" s="605">
        <v>2150</v>
      </c>
      <c r="C236" s="607"/>
      <c r="D236" s="466">
        <v>2679</v>
      </c>
      <c r="E236" s="607"/>
      <c r="F236" s="607"/>
      <c r="G236" s="607"/>
      <c r="H236" s="607"/>
      <c r="I236" s="607"/>
      <c r="J236" s="607"/>
      <c r="K236" s="1658">
        <f t="shared" si="20"/>
        <v>2679</v>
      </c>
      <c r="L236" s="466">
        <v>2800</v>
      </c>
    </row>
    <row r="237" spans="1:12" x14ac:dyDescent="0.2">
      <c r="A237" s="1491" t="s">
        <v>165</v>
      </c>
      <c r="B237" s="605">
        <v>2190</v>
      </c>
      <c r="C237" s="607"/>
      <c r="D237" s="466">
        <v>0</v>
      </c>
      <c r="E237" s="607"/>
      <c r="F237" s="607"/>
      <c r="G237" s="607"/>
      <c r="H237" s="607"/>
      <c r="I237" s="607"/>
      <c r="J237" s="607"/>
      <c r="K237" s="1658">
        <f t="shared" si="20"/>
        <v>0</v>
      </c>
      <c r="L237" s="466">
        <v>0</v>
      </c>
    </row>
    <row r="238" spans="1:12" ht="12.75" customHeight="1" thickBot="1" x14ac:dyDescent="0.25">
      <c r="A238" s="1655" t="s">
        <v>560</v>
      </c>
      <c r="B238" s="1662" t="s">
        <v>716</v>
      </c>
      <c r="C238" s="607"/>
      <c r="D238" s="1657">
        <f>SUM(D232:D237)</f>
        <v>24521</v>
      </c>
      <c r="E238" s="607"/>
      <c r="F238" s="607"/>
      <c r="G238" s="607"/>
      <c r="H238" s="607"/>
      <c r="I238" s="607"/>
      <c r="J238" s="607"/>
      <c r="K238" s="1657">
        <f>SUM(K232:K237)</f>
        <v>24521</v>
      </c>
      <c r="L238" s="1657">
        <f>SUM(L232:L237)</f>
        <v>26900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0</v>
      </c>
      <c r="E240" s="607"/>
      <c r="F240" s="607"/>
      <c r="G240" s="607"/>
      <c r="H240" s="607"/>
      <c r="I240" s="607"/>
      <c r="J240" s="607"/>
      <c r="K240" s="1659">
        <f>D240</f>
        <v>0</v>
      </c>
      <c r="L240" s="466">
        <v>0</v>
      </c>
    </row>
    <row r="241" spans="1:12" x14ac:dyDescent="0.2">
      <c r="A241" s="1491" t="s">
        <v>815</v>
      </c>
      <c r="B241" s="605">
        <v>2220</v>
      </c>
      <c r="C241" s="607"/>
      <c r="D241" s="466">
        <v>17193</v>
      </c>
      <c r="E241" s="607"/>
      <c r="F241" s="607"/>
      <c r="G241" s="607"/>
      <c r="H241" s="607"/>
      <c r="I241" s="607"/>
      <c r="J241" s="607"/>
      <c r="K241" s="1659">
        <f>D241</f>
        <v>17193</v>
      </c>
      <c r="L241" s="466">
        <v>22322</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17193</v>
      </c>
      <c r="E243" s="607"/>
      <c r="F243" s="607"/>
      <c r="G243" s="607"/>
      <c r="H243" s="607"/>
      <c r="I243" s="607"/>
      <c r="J243" s="607"/>
      <c r="K243" s="1657">
        <f>SUM(K240:K242)</f>
        <v>17193</v>
      </c>
      <c r="L243" s="1657">
        <f>SUM(L240:L242)</f>
        <v>22322</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1488</v>
      </c>
    </row>
    <row r="246" spans="1:12" x14ac:dyDescent="0.2">
      <c r="A246" s="1491" t="s">
        <v>818</v>
      </c>
      <c r="B246" s="605">
        <v>2320</v>
      </c>
      <c r="C246" s="607"/>
      <c r="D246" s="466">
        <v>17149</v>
      </c>
      <c r="E246" s="607"/>
      <c r="F246" s="607"/>
      <c r="G246" s="607"/>
      <c r="H246" s="607"/>
      <c r="I246" s="607"/>
      <c r="J246" s="607"/>
      <c r="K246" s="1659">
        <f t="shared" ref="K246:K256" si="21">D246</f>
        <v>17149</v>
      </c>
      <c r="L246" s="466">
        <v>15708</v>
      </c>
    </row>
    <row r="247" spans="1:12" x14ac:dyDescent="0.2">
      <c r="A247" s="1491" t="s">
        <v>819</v>
      </c>
      <c r="B247" s="605">
        <v>2330</v>
      </c>
      <c r="C247" s="607"/>
      <c r="D247" s="466">
        <v>9045</v>
      </c>
      <c r="E247" s="607"/>
      <c r="F247" s="607"/>
      <c r="G247" s="607"/>
      <c r="H247" s="607"/>
      <c r="I247" s="607"/>
      <c r="J247" s="607"/>
      <c r="K247" s="1659">
        <f t="shared" si="21"/>
        <v>9045</v>
      </c>
      <c r="L247" s="466">
        <v>9050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26194</v>
      </c>
      <c r="E257" s="607"/>
      <c r="F257" s="607"/>
      <c r="G257" s="607"/>
      <c r="H257" s="607"/>
      <c r="I257" s="607"/>
      <c r="J257" s="607"/>
      <c r="K257" s="1657">
        <f>SUM(K245:K256)</f>
        <v>26194</v>
      </c>
      <c r="L257" s="1657">
        <f>SUM(L245:L256)</f>
        <v>26246</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24108</v>
      </c>
      <c r="E259" s="607"/>
      <c r="F259" s="607"/>
      <c r="G259" s="607"/>
      <c r="H259" s="607"/>
      <c r="I259" s="607"/>
      <c r="J259" s="607"/>
      <c r="K259" s="1659">
        <f>D259</f>
        <v>24108</v>
      </c>
      <c r="L259" s="466">
        <v>27900</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24108</v>
      </c>
      <c r="E261" s="607"/>
      <c r="F261" s="607"/>
      <c r="G261" s="607"/>
      <c r="H261" s="607"/>
      <c r="I261" s="607"/>
      <c r="J261" s="607"/>
      <c r="K261" s="1657">
        <f>SUM(K259:K260)</f>
        <v>24108</v>
      </c>
      <c r="L261" s="1657">
        <f>SUM(L259:L260)</f>
        <v>27900</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1134</v>
      </c>
      <c r="E263" s="607"/>
      <c r="F263" s="607"/>
      <c r="G263" s="607"/>
      <c r="H263" s="607"/>
      <c r="I263" s="607"/>
      <c r="J263" s="607"/>
      <c r="K263" s="1659">
        <f>D263</f>
        <v>1134</v>
      </c>
      <c r="L263" s="466">
        <v>1500</v>
      </c>
    </row>
    <row r="264" spans="1:14" x14ac:dyDescent="0.2">
      <c r="A264" s="1491" t="s">
        <v>463</v>
      </c>
      <c r="B264" s="674">
        <v>2520</v>
      </c>
      <c r="C264" s="607"/>
      <c r="D264" s="466">
        <v>12828</v>
      </c>
      <c r="E264" s="607"/>
      <c r="F264" s="607"/>
      <c r="G264" s="607"/>
      <c r="H264" s="607"/>
      <c r="I264" s="607"/>
      <c r="J264" s="607"/>
      <c r="K264" s="1659">
        <f t="shared" ref="K264:K269" si="22">D264</f>
        <v>12828</v>
      </c>
      <c r="L264" s="466">
        <v>13833</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14692</v>
      </c>
      <c r="E266" s="607"/>
      <c r="F266" s="607"/>
      <c r="G266" s="607"/>
      <c r="H266" s="607"/>
      <c r="I266" s="607"/>
      <c r="J266" s="607"/>
      <c r="K266" s="1659">
        <f t="shared" si="22"/>
        <v>14692</v>
      </c>
      <c r="L266" s="466">
        <v>14000</v>
      </c>
    </row>
    <row r="267" spans="1:14" x14ac:dyDescent="0.2">
      <c r="A267" s="1491" t="s">
        <v>953</v>
      </c>
      <c r="B267" s="605">
        <v>2550</v>
      </c>
      <c r="C267" s="607"/>
      <c r="D267" s="466">
        <v>35</v>
      </c>
      <c r="E267" s="607"/>
      <c r="F267" s="607"/>
      <c r="G267" s="607"/>
      <c r="H267" s="607"/>
      <c r="I267" s="607"/>
      <c r="J267" s="607"/>
      <c r="K267" s="1659">
        <f t="shared" si="22"/>
        <v>35</v>
      </c>
      <c r="L267" s="466">
        <v>2501</v>
      </c>
    </row>
    <row r="268" spans="1:14" x14ac:dyDescent="0.2">
      <c r="A268" s="1491" t="s">
        <v>100</v>
      </c>
      <c r="B268" s="605">
        <v>2560</v>
      </c>
      <c r="C268" s="607"/>
      <c r="D268" s="466">
        <v>1610</v>
      </c>
      <c r="E268" s="607"/>
      <c r="F268" s="607"/>
      <c r="G268" s="607"/>
      <c r="H268" s="607"/>
      <c r="I268" s="607"/>
      <c r="J268" s="607"/>
      <c r="K268" s="1659">
        <f t="shared" si="22"/>
        <v>1610</v>
      </c>
      <c r="L268" s="466">
        <v>3000</v>
      </c>
    </row>
    <row r="269" spans="1:14" x14ac:dyDescent="0.2">
      <c r="A269" s="1491" t="s">
        <v>101</v>
      </c>
      <c r="B269" s="605">
        <v>2570</v>
      </c>
      <c r="C269" s="607"/>
      <c r="D269" s="466">
        <v>0</v>
      </c>
      <c r="E269" s="607"/>
      <c r="F269" s="607"/>
      <c r="G269" s="607"/>
      <c r="H269" s="607"/>
      <c r="I269" s="607"/>
      <c r="J269" s="607"/>
      <c r="K269" s="1659">
        <f t="shared" si="22"/>
        <v>0</v>
      </c>
      <c r="L269" s="466">
        <v>0</v>
      </c>
    </row>
    <row r="270" spans="1:14" ht="12.75" customHeight="1" thickBot="1" x14ac:dyDescent="0.25">
      <c r="A270" s="1655" t="s">
        <v>719</v>
      </c>
      <c r="B270" s="1662" t="s">
        <v>35</v>
      </c>
      <c r="C270" s="607"/>
      <c r="D270" s="1657">
        <f>SUM(D263:D269)</f>
        <v>30299</v>
      </c>
      <c r="E270" s="607"/>
      <c r="F270" s="607"/>
      <c r="G270" s="607"/>
      <c r="H270" s="607"/>
      <c r="I270" s="607"/>
      <c r="J270" s="607"/>
      <c r="K270" s="1657">
        <f>SUM(K263:K269)</f>
        <v>30299</v>
      </c>
      <c r="L270" s="1657">
        <f>SUM(L263:L269)</f>
        <v>34834</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0</v>
      </c>
      <c r="E274" s="607"/>
      <c r="F274" s="607"/>
      <c r="G274" s="607"/>
      <c r="H274" s="607"/>
      <c r="I274" s="607"/>
      <c r="J274" s="607"/>
      <c r="K274" s="1659">
        <f>D274</f>
        <v>0</v>
      </c>
      <c r="L274" s="466">
        <v>0</v>
      </c>
    </row>
    <row r="275" spans="1:12" x14ac:dyDescent="0.2">
      <c r="A275" s="1491" t="s">
        <v>403</v>
      </c>
      <c r="B275" s="605">
        <v>2640</v>
      </c>
      <c r="C275" s="607"/>
      <c r="D275" s="466">
        <v>0</v>
      </c>
      <c r="E275" s="607"/>
      <c r="F275" s="607"/>
      <c r="G275" s="607"/>
      <c r="H275" s="607"/>
      <c r="I275" s="607"/>
      <c r="J275" s="607"/>
      <c r="K275" s="1659">
        <f>D275</f>
        <v>0</v>
      </c>
      <c r="L275" s="466">
        <v>0</v>
      </c>
    </row>
    <row r="276" spans="1:12" x14ac:dyDescent="0.2">
      <c r="A276" s="1491" t="s">
        <v>404</v>
      </c>
      <c r="B276" s="605">
        <v>2660</v>
      </c>
      <c r="C276" s="607"/>
      <c r="D276" s="466">
        <v>14883</v>
      </c>
      <c r="E276" s="607"/>
      <c r="F276" s="607"/>
      <c r="G276" s="607"/>
      <c r="H276" s="607"/>
      <c r="I276" s="607"/>
      <c r="J276" s="607"/>
      <c r="K276" s="1659">
        <f>D276</f>
        <v>14883</v>
      </c>
      <c r="L276" s="466">
        <v>16200</v>
      </c>
    </row>
    <row r="277" spans="1:12" ht="12.75" customHeight="1" thickBot="1" x14ac:dyDescent="0.25">
      <c r="A277" s="1678" t="s">
        <v>37</v>
      </c>
      <c r="B277" s="1656" t="s">
        <v>36</v>
      </c>
      <c r="C277" s="607"/>
      <c r="D277" s="1657">
        <f>SUM(D272:D276)</f>
        <v>14883</v>
      </c>
      <c r="E277" s="607"/>
      <c r="F277" s="607"/>
      <c r="G277" s="607"/>
      <c r="H277" s="607"/>
      <c r="I277" s="607"/>
      <c r="J277" s="607"/>
      <c r="K277" s="1657">
        <f>SUM(K272:K276)</f>
        <v>14883</v>
      </c>
      <c r="L277" s="1657">
        <f>SUM(L272:L276)</f>
        <v>16200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137198</v>
      </c>
      <c r="E279" s="607"/>
      <c r="F279" s="607"/>
      <c r="G279" s="607"/>
      <c r="H279" s="607"/>
      <c r="I279" s="607"/>
      <c r="J279" s="607"/>
      <c r="K279" s="1664">
        <f>SUM(K238,K243,K257,K261,K270,K277,K278)</f>
        <v>137198</v>
      </c>
      <c r="L279" s="1664">
        <f>SUM(L238,L243,L257,L261,L270,L277,L278)</f>
        <v>154402</v>
      </c>
    </row>
    <row r="280" spans="1:12" ht="15.75" customHeight="1" thickTop="1" thickBot="1" x14ac:dyDescent="0.25">
      <c r="A280" s="1611" t="s">
        <v>875</v>
      </c>
      <c r="B280" s="1600">
        <v>3000</v>
      </c>
      <c r="C280" s="607"/>
      <c r="D280" s="568">
        <v>0</v>
      </c>
      <c r="E280" s="607"/>
      <c r="F280" s="607"/>
      <c r="G280" s="607"/>
      <c r="H280" s="607"/>
      <c r="I280" s="607"/>
      <c r="J280" s="607"/>
      <c r="K280" s="1666">
        <f>D280</f>
        <v>0</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62" t="s">
        <v>505</v>
      </c>
      <c r="B295" s="2163"/>
      <c r="C295" s="607"/>
      <c r="D295" s="1657">
        <f>SUM(D229,D279,D280,D285)</f>
        <v>285637</v>
      </c>
      <c r="E295" s="607"/>
      <c r="F295" s="607"/>
      <c r="G295" s="607"/>
      <c r="H295" s="1657">
        <f>H293</f>
        <v>0</v>
      </c>
      <c r="I295" s="607"/>
      <c r="J295" s="607"/>
      <c r="K295" s="1657">
        <f>SUM(K229,K279,K280,K285,K293,K294)</f>
        <v>285637</v>
      </c>
      <c r="L295" s="1657">
        <f>SUM(L229,L279,L280,L285,L293,L294)</f>
        <v>313578</v>
      </c>
    </row>
    <row r="296" spans="1:14" ht="13.5" thickTop="1" x14ac:dyDescent="0.2">
      <c r="A296" s="2171" t="s">
        <v>996</v>
      </c>
      <c r="B296" s="2172"/>
      <c r="C296" s="607"/>
      <c r="D296" s="609"/>
      <c r="E296" s="607"/>
      <c r="F296" s="607"/>
      <c r="G296" s="607"/>
      <c r="H296" s="676"/>
      <c r="I296" s="607"/>
      <c r="J296" s="607"/>
      <c r="K296" s="1671">
        <f>'Revenues 9-14'!G268-'Expenditures 15-22'!K295</f>
        <v>141949</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4" t="s">
        <v>143</v>
      </c>
      <c r="B298" s="2148"/>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219109</v>
      </c>
      <c r="F301" s="466">
        <v>0</v>
      </c>
      <c r="G301" s="466">
        <v>2826065</v>
      </c>
      <c r="H301" s="466">
        <v>0</v>
      </c>
      <c r="I301" s="466">
        <v>7195</v>
      </c>
      <c r="J301" s="466">
        <v>0</v>
      </c>
      <c r="K301" s="1658">
        <f>SUM(C301:J301)</f>
        <v>3052369</v>
      </c>
      <c r="L301" s="466">
        <v>2800000</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219109</v>
      </c>
      <c r="F303" s="1664">
        <f t="shared" si="23"/>
        <v>0</v>
      </c>
      <c r="G303" s="1664">
        <f t="shared" si="23"/>
        <v>2826065</v>
      </c>
      <c r="H303" s="1664">
        <f t="shared" si="23"/>
        <v>0</v>
      </c>
      <c r="I303" s="1664">
        <f t="shared" si="23"/>
        <v>7195</v>
      </c>
      <c r="J303" s="1664">
        <f t="shared" si="23"/>
        <v>0</v>
      </c>
      <c r="K303" s="1664">
        <f t="shared" si="23"/>
        <v>3052369</v>
      </c>
      <c r="L303" s="1664">
        <f t="shared" si="23"/>
        <v>2800000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9" t="s">
        <v>277</v>
      </c>
      <c r="B312" s="2160"/>
      <c r="C312" s="1657">
        <f>SUM(C303)</f>
        <v>0</v>
      </c>
      <c r="D312" s="1657">
        <f>SUM(D303)</f>
        <v>0</v>
      </c>
      <c r="E312" s="1657">
        <f>SUM(E303,E310)</f>
        <v>219109</v>
      </c>
      <c r="F312" s="1657">
        <f>SUM(F303)</f>
        <v>0</v>
      </c>
      <c r="G312" s="1657">
        <f>SUM(G303)</f>
        <v>2826065</v>
      </c>
      <c r="H312" s="1657">
        <f>SUM(H303,H310)</f>
        <v>0</v>
      </c>
      <c r="I312" s="1657">
        <f>SUM(I303)</f>
        <v>7195</v>
      </c>
      <c r="J312" s="1657">
        <f>SUM(J303)</f>
        <v>0</v>
      </c>
      <c r="K312" s="1657">
        <f>SUM(K303,K310,K311)</f>
        <v>3052369</v>
      </c>
      <c r="L312" s="1657">
        <f>SUM(L303,L310,L311)</f>
        <v>2800000</v>
      </c>
      <c r="M312" s="654"/>
      <c r="N312" s="654"/>
    </row>
    <row r="313" spans="1:14" ht="13.5" thickTop="1" x14ac:dyDescent="0.2">
      <c r="A313" s="2155" t="s">
        <v>996</v>
      </c>
      <c r="B313" s="2156"/>
      <c r="C313" s="617"/>
      <c r="D313" s="617"/>
      <c r="E313" s="617"/>
      <c r="F313" s="617"/>
      <c r="G313" s="617"/>
      <c r="H313" s="617"/>
      <c r="I313" s="617"/>
      <c r="J313" s="617"/>
      <c r="K313" s="1672">
        <f>'Revenues 9-14'!H268-'Expenditures 15-22'!K312</f>
        <v>-3052369</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8" t="s">
        <v>149</v>
      </c>
      <c r="B315" s="2169"/>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70" t="s">
        <v>898</v>
      </c>
      <c r="B317" s="2169"/>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61621</v>
      </c>
      <c r="F322" s="466">
        <v>0</v>
      </c>
      <c r="G322" s="466">
        <v>0</v>
      </c>
      <c r="H322" s="466">
        <v>0</v>
      </c>
      <c r="I322" s="466">
        <v>0</v>
      </c>
      <c r="J322" s="466">
        <v>0</v>
      </c>
      <c r="K322" s="1658">
        <f t="shared" si="24"/>
        <v>61621</v>
      </c>
      <c r="L322" s="466">
        <v>70000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61621</v>
      </c>
      <c r="F330" s="1657">
        <f t="shared" si="25"/>
        <v>0</v>
      </c>
      <c r="G330" s="1657">
        <f t="shared" si="25"/>
        <v>0</v>
      </c>
      <c r="H330" s="1657">
        <f t="shared" si="25"/>
        <v>0</v>
      </c>
      <c r="I330" s="1657">
        <f t="shared" si="25"/>
        <v>0</v>
      </c>
      <c r="J330" s="1657">
        <f t="shared" si="25"/>
        <v>0</v>
      </c>
      <c r="K330" s="1657">
        <f>SUM(K319:K329)</f>
        <v>61621</v>
      </c>
      <c r="L330" s="1657">
        <f>SUM(L319:L329)</f>
        <v>70000</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61621</v>
      </c>
      <c r="F342" s="1657">
        <f>SUM(F330)</f>
        <v>0</v>
      </c>
      <c r="G342" s="1657">
        <f>SUM(G330)</f>
        <v>0</v>
      </c>
      <c r="H342" s="1657">
        <f>SUM(H330,H334,H340)</f>
        <v>0</v>
      </c>
      <c r="I342" s="1657">
        <f>SUM(I330)</f>
        <v>0</v>
      </c>
      <c r="J342" s="1657">
        <f>SUM(J330)</f>
        <v>0</v>
      </c>
      <c r="K342" s="1657">
        <f>SUM(K330,K334,K340)</f>
        <v>61621</v>
      </c>
      <c r="L342" s="1664">
        <f>SUM(L330,L340,L341)</f>
        <v>70000</v>
      </c>
    </row>
    <row r="343" spans="1:14" ht="12.75" customHeight="1" thickTop="1" x14ac:dyDescent="0.2">
      <c r="A343" s="2157" t="s">
        <v>996</v>
      </c>
      <c r="B343" s="2158"/>
      <c r="C343" s="607"/>
      <c r="D343" s="607"/>
      <c r="E343" s="607"/>
      <c r="F343" s="607"/>
      <c r="G343" s="607"/>
      <c r="H343" s="607"/>
      <c r="I343" s="607"/>
      <c r="J343" s="607"/>
      <c r="K343" s="1671">
        <f>'Revenues 9-14'!J268-'Expenditures 15-22'!K342</f>
        <v>14216</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7" t="s">
        <v>966</v>
      </c>
      <c r="B345" s="2148"/>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32850</v>
      </c>
      <c r="F348" s="466">
        <v>0</v>
      </c>
      <c r="G348" s="466">
        <v>799173</v>
      </c>
      <c r="H348" s="466">
        <v>0</v>
      </c>
      <c r="I348" s="466">
        <v>0</v>
      </c>
      <c r="J348" s="466">
        <v>0</v>
      </c>
      <c r="K348" s="1658">
        <f>SUM(C348:J348)</f>
        <v>832023</v>
      </c>
      <c r="L348" s="466">
        <v>887150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32850</v>
      </c>
      <c r="F350" s="1657">
        <f t="shared" si="26"/>
        <v>0</v>
      </c>
      <c r="G350" s="1657">
        <f t="shared" si="26"/>
        <v>799173</v>
      </c>
      <c r="H350" s="1657">
        <f t="shared" si="26"/>
        <v>0</v>
      </c>
      <c r="I350" s="1657">
        <f t="shared" si="26"/>
        <v>0</v>
      </c>
      <c r="J350" s="1657">
        <f t="shared" si="26"/>
        <v>0</v>
      </c>
      <c r="K350" s="1657">
        <f t="shared" si="26"/>
        <v>832023</v>
      </c>
      <c r="L350" s="1657">
        <f t="shared" si="26"/>
        <v>887150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32850</v>
      </c>
      <c r="F352" s="1657">
        <f t="shared" si="27"/>
        <v>0</v>
      </c>
      <c r="G352" s="1657">
        <f t="shared" si="27"/>
        <v>799173</v>
      </c>
      <c r="H352" s="1657">
        <f t="shared" si="27"/>
        <v>0</v>
      </c>
      <c r="I352" s="1657">
        <f t="shared" si="27"/>
        <v>0</v>
      </c>
      <c r="J352" s="1657">
        <f t="shared" si="27"/>
        <v>0</v>
      </c>
      <c r="K352" s="1657">
        <f t="shared" si="27"/>
        <v>832023</v>
      </c>
      <c r="L352" s="1657">
        <f t="shared" si="27"/>
        <v>887150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32850</v>
      </c>
      <c r="F367" s="1657">
        <f t="shared" si="28"/>
        <v>0</v>
      </c>
      <c r="G367" s="1657">
        <f t="shared" si="28"/>
        <v>799173</v>
      </c>
      <c r="H367" s="1657">
        <f t="shared" si="28"/>
        <v>0</v>
      </c>
      <c r="I367" s="1657">
        <f t="shared" si="28"/>
        <v>0</v>
      </c>
      <c r="J367" s="1657">
        <f t="shared" si="28"/>
        <v>0</v>
      </c>
      <c r="K367" s="1657">
        <f t="shared" si="28"/>
        <v>832023</v>
      </c>
      <c r="L367" s="1657">
        <f t="shared" si="28"/>
        <v>887150</v>
      </c>
    </row>
    <row r="368" spans="1:14" ht="13.5" thickTop="1" x14ac:dyDescent="0.2">
      <c r="A368" s="2171" t="s">
        <v>996</v>
      </c>
      <c r="B368" s="2172"/>
      <c r="C368" s="643"/>
      <c r="D368" s="643"/>
      <c r="E368" s="617"/>
      <c r="F368" s="617"/>
      <c r="G368" s="617"/>
      <c r="H368" s="617"/>
      <c r="I368" s="617"/>
      <c r="J368" s="614"/>
      <c r="K368" s="1658">
        <f>'Revenues 9-14'!K268-'Expenditures 15-22'!K367</f>
        <v>-831915</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purl.org/dc/elements/1.1/"/>
    <ds:schemaRef ds:uri="d21dc803-237d-4c68-8692-8d731fd29118"/>
    <ds:schemaRef ds:uri="http://schemas.microsoft.com/office/2006/metadata/properties"/>
    <ds:schemaRef ds:uri="4d435f69-8686-490b-bd6d-b153bf22ab50"/>
    <ds:schemaRef ds:uri="http://www.w3.org/XML/1998/namespace"/>
    <ds:schemaRef ds:uri="http://schemas.microsoft.com/office/2006/documentManagement/types"/>
    <ds:schemaRef ds:uri="http://schemas.openxmlformats.org/package/2006/metadata/core-properties"/>
    <ds:schemaRef ds:uri="http://purl.org/dc/dcmitype/"/>
    <ds:schemaRef ds:uri="http://schemas.microsoft.com/office/infopath/2007/PartnerControls"/>
    <ds:schemaRef ds:uri="6ce3111e-7420-4802-b50a-75d4e9a0b980"/>
    <ds:schemaRef ds:uri="http://schemas.microsoft.com/sharepoint/v3"/>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2019-10-29T21:40:23Z</cp:lastPrinted>
  <dcterms:created xsi:type="dcterms:W3CDTF">2003-10-29T19:06:34Z</dcterms:created>
  <dcterms:modified xsi:type="dcterms:W3CDTF">2019-12-04T20:03:05Z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Benjamin SD 25</vt:lpwstr>
  </property>
  <property fmtid="{D5CDD505-2E9C-101B-9397-08002B2CF9AE}" pid="6" name="PPC_Template_Engagement_Date">
    <vt:lpwstr>6/30/2019</vt:lpwstr>
  </property>
</Properties>
</file>